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A52FD287-A6E5-47C0-AC4E-A3B37D9D9663}" xr6:coauthVersionLast="36" xr6:coauthVersionMax="36" xr10:uidLastSave="{00000000-0000-0000-0000-000000000000}"/>
  <bookViews>
    <workbookView xWindow="-120" yWindow="-120" windowWidth="29040" windowHeight="15750" tabRatio="712" activeTab="3" xr2:uid="{00000000-000D-0000-FFFF-FFFF00000000}"/>
  </bookViews>
  <sheets>
    <sheet name="Planung" sheetId="22" r:id="rId1"/>
    <sheet name="proof" sheetId="34" state="hidden" r:id="rId2"/>
    <sheet name="Pairings" sheetId="13" state="hidden" r:id="rId3"/>
    <sheet name="Vorrunde" sheetId="6" r:id="rId4"/>
    <sheet name="TieBreak" sheetId="41" state="hidden" r:id="rId5"/>
    <sheet name="Endrunde 1" sheetId="21" r:id="rId6"/>
    <sheet name="Endrunde 2" sheetId="24" r:id="rId7"/>
    <sheet name="Endrunde 3" sheetId="39" r:id="rId8"/>
    <sheet name="Endrunde 4" sheetId="40" r:id="rId9"/>
    <sheet name="DirVergleich_A" sheetId="36" state="hidden" r:id="rId10"/>
    <sheet name="DirVergleich_B" sheetId="20" state="hidden" r:id="rId11"/>
    <sheet name="DirVergleich_C" sheetId="37" state="hidden" r:id="rId12"/>
    <sheet name="DirVergleich_D" sheetId="38" state="hidden" r:id="rId13"/>
    <sheet name="Sprache" sheetId="9" r:id="rId14"/>
    <sheet name="Einstellungen" sheetId="14" r:id="rId15"/>
    <sheet name="Info" sheetId="43" r:id="rId16"/>
    <sheet name="Calc1" sheetId="3" state="hidden" r:id="rId17"/>
    <sheet name="Calc2" sheetId="17" state="hidden" r:id="rId18"/>
    <sheet name="Calc3" sheetId="25" state="hidden" r:id="rId19"/>
    <sheet name="Calc4" sheetId="35" state="hidden" r:id="rId20"/>
    <sheet name="CalcE" sheetId="42" state="hidden" r:id="rId21"/>
    <sheet name="CalcE1" sheetId="26" state="hidden" r:id="rId22"/>
    <sheet name="CalcE2" sheetId="27" state="hidden" r:id="rId23"/>
    <sheet name="CalcE3" sheetId="28" state="hidden" r:id="rId24"/>
    <sheet name="CalcE4" sheetId="29" state="hidden" r:id="rId25"/>
    <sheet name="CalcE5" sheetId="30" state="hidden" r:id="rId26"/>
    <sheet name="CalcE6" sheetId="31" state="hidden" r:id="rId27"/>
  </sheets>
  <calcPr calcId="191029" concurrentCalc="0"/>
</workbook>
</file>

<file path=xl/calcChain.xml><?xml version="1.0" encoding="utf-8"?>
<calcChain xmlns="http://schemas.openxmlformats.org/spreadsheetml/2006/main">
  <c r="Q11" i="40" l="1"/>
  <c r="R11" i="24"/>
  <c r="O11" i="24"/>
  <c r="L11" i="24"/>
  <c r="R11" i="39"/>
  <c r="O11" i="39"/>
  <c r="L11" i="39"/>
  <c r="U11" i="39"/>
  <c r="U11" i="24"/>
  <c r="U11" i="21"/>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5" i="22"/>
  <c r="Q64" i="3"/>
  <c r="F4" i="3"/>
  <c r="Q65" i="3"/>
  <c r="F5" i="3"/>
  <c r="Q66" i="3"/>
  <c r="F6" i="3"/>
  <c r="Q67" i="3"/>
  <c r="F7" i="3"/>
  <c r="Q68" i="3"/>
  <c r="F8" i="3"/>
  <c r="Q69" i="3"/>
  <c r="F9" i="3"/>
  <c r="F13" i="3"/>
  <c r="Q64" i="17"/>
  <c r="F4" i="17"/>
  <c r="Q65" i="17"/>
  <c r="F5" i="17"/>
  <c r="Q66" i="17"/>
  <c r="F6" i="17"/>
  <c r="Q67" i="17"/>
  <c r="F7" i="17"/>
  <c r="Q68" i="17"/>
  <c r="F8" i="17"/>
  <c r="Q69" i="17"/>
  <c r="F9" i="17"/>
  <c r="F13" i="17"/>
  <c r="Q64" i="25"/>
  <c r="F4" i="25"/>
  <c r="Q65" i="25"/>
  <c r="F5" i="25"/>
  <c r="Q66" i="25"/>
  <c r="F6" i="25"/>
  <c r="Q67" i="25"/>
  <c r="F7" i="25"/>
  <c r="Q68" i="25"/>
  <c r="F8" i="25"/>
  <c r="Q69" i="25"/>
  <c r="F9" i="25"/>
  <c r="F13" i="25"/>
  <c r="Q64" i="35"/>
  <c r="F4" i="35"/>
  <c r="Q65" i="35"/>
  <c r="F5" i="35"/>
  <c r="Q66" i="35"/>
  <c r="F6" i="35"/>
  <c r="Q67" i="35"/>
  <c r="F7" i="35"/>
  <c r="Q68" i="35"/>
  <c r="F8" i="35"/>
  <c r="Q69" i="35"/>
  <c r="F9" i="35"/>
  <c r="F13" i="35"/>
  <c r="F14" i="3"/>
  <c r="I6" i="22" a="1"/>
  <c r="I6" i="22"/>
  <c r="L6" i="22"/>
  <c r="V64" i="35"/>
  <c r="F12" i="6"/>
  <c r="K6" i="22" a="1"/>
  <c r="K6" i="22"/>
  <c r="N6" i="22"/>
  <c r="H12" i="6"/>
  <c r="AA64" i="35"/>
  <c r="I7" i="22"/>
  <c r="L7" i="22"/>
  <c r="V65" i="35"/>
  <c r="F13" i="6"/>
  <c r="K7" i="22"/>
  <c r="N7" i="22"/>
  <c r="H13" i="6"/>
  <c r="AA65" i="35"/>
  <c r="I8" i="22"/>
  <c r="L8" i="22"/>
  <c r="V66" i="35"/>
  <c r="I9" i="22"/>
  <c r="L9" i="22"/>
  <c r="V67" i="35"/>
  <c r="I10" i="22"/>
  <c r="L10" i="22"/>
  <c r="V68" i="35"/>
  <c r="I11" i="22"/>
  <c r="L11" i="22"/>
  <c r="V69" i="35"/>
  <c r="I12" i="22"/>
  <c r="L12" i="22"/>
  <c r="V70" i="35"/>
  <c r="I13" i="22"/>
  <c r="L13" i="22"/>
  <c r="V71" i="35"/>
  <c r="I14" i="22"/>
  <c r="L14" i="22"/>
  <c r="V72" i="35"/>
  <c r="I15" i="22"/>
  <c r="L15" i="22"/>
  <c r="V73" i="35"/>
  <c r="I16" i="22"/>
  <c r="L16" i="22"/>
  <c r="V74" i="35"/>
  <c r="I17" i="22"/>
  <c r="L17" i="22"/>
  <c r="V75" i="35"/>
  <c r="I18" i="22"/>
  <c r="L18" i="22"/>
  <c r="V76" i="35"/>
  <c r="I19" i="22"/>
  <c r="L19" i="22"/>
  <c r="V77" i="35"/>
  <c r="I20" i="22"/>
  <c r="L20" i="22"/>
  <c r="V78" i="35"/>
  <c r="I21" i="22"/>
  <c r="L21" i="22"/>
  <c r="V79" i="35"/>
  <c r="I22" i="22"/>
  <c r="L22" i="22"/>
  <c r="V80" i="35"/>
  <c r="I23" i="22"/>
  <c r="L23" i="22"/>
  <c r="V81" i="35"/>
  <c r="I24" i="22"/>
  <c r="L24" i="22"/>
  <c r="V82" i="35"/>
  <c r="I25" i="22"/>
  <c r="L25" i="22"/>
  <c r="V83" i="35"/>
  <c r="I26" i="22"/>
  <c r="L26" i="22"/>
  <c r="V84" i="35"/>
  <c r="I27" i="22"/>
  <c r="L27" i="22"/>
  <c r="V85" i="35"/>
  <c r="I28" i="22"/>
  <c r="L28" i="22"/>
  <c r="V86" i="35"/>
  <c r="I29" i="22"/>
  <c r="L29" i="22"/>
  <c r="V87" i="35"/>
  <c r="I30" i="22"/>
  <c r="L30" i="22"/>
  <c r="V88" i="35"/>
  <c r="I31" i="22"/>
  <c r="L31" i="22"/>
  <c r="V89" i="35"/>
  <c r="I32" i="22"/>
  <c r="L32" i="22"/>
  <c r="V90" i="35"/>
  <c r="I33" i="22"/>
  <c r="L33" i="22"/>
  <c r="V91" i="35"/>
  <c r="I34" i="22"/>
  <c r="L34" i="22"/>
  <c r="V92" i="35"/>
  <c r="I35" i="22"/>
  <c r="L35" i="22"/>
  <c r="V93" i="35"/>
  <c r="I36" i="22"/>
  <c r="L36" i="22"/>
  <c r="V94" i="35"/>
  <c r="I37" i="22"/>
  <c r="L37" i="22"/>
  <c r="V95" i="35"/>
  <c r="I38" i="22"/>
  <c r="L38" i="22"/>
  <c r="V96" i="35"/>
  <c r="I39" i="22"/>
  <c r="L39" i="22"/>
  <c r="V97" i="35"/>
  <c r="I40" i="22"/>
  <c r="L40" i="22"/>
  <c r="V98" i="35"/>
  <c r="I41" i="22"/>
  <c r="L41" i="22"/>
  <c r="V99" i="35"/>
  <c r="I42" i="22"/>
  <c r="L42" i="22"/>
  <c r="V100" i="35"/>
  <c r="I43" i="22"/>
  <c r="L43" i="22"/>
  <c r="V101" i="35"/>
  <c r="I44" i="22"/>
  <c r="L44" i="22"/>
  <c r="V102" i="35"/>
  <c r="I45" i="22"/>
  <c r="L45" i="22"/>
  <c r="V103" i="35"/>
  <c r="I46" i="22"/>
  <c r="L46" i="22"/>
  <c r="V104" i="35"/>
  <c r="I47" i="22"/>
  <c r="L47" i="22"/>
  <c r="V105" i="35"/>
  <c r="I48" i="22"/>
  <c r="L48" i="22"/>
  <c r="V106" i="35"/>
  <c r="I49" i="22"/>
  <c r="L49" i="22"/>
  <c r="V107" i="35"/>
  <c r="I50" i="22"/>
  <c r="L50" i="22"/>
  <c r="V108" i="35"/>
  <c r="I51" i="22"/>
  <c r="L51" i="22"/>
  <c r="V109" i="35"/>
  <c r="I52" i="22"/>
  <c r="L52" i="22"/>
  <c r="V110" i="35"/>
  <c r="I53" i="22"/>
  <c r="L53" i="22"/>
  <c r="V111" i="35"/>
  <c r="I54" i="22"/>
  <c r="L54" i="22"/>
  <c r="V112" i="35"/>
  <c r="I55" i="22"/>
  <c r="L55" i="22"/>
  <c r="V113" i="35"/>
  <c r="I56" i="22"/>
  <c r="L56" i="22"/>
  <c r="V114" i="35"/>
  <c r="I57" i="22"/>
  <c r="L57" i="22"/>
  <c r="V115" i="35"/>
  <c r="I58" i="22"/>
  <c r="L58" i="22"/>
  <c r="V116" i="35"/>
  <c r="I59" i="22"/>
  <c r="L59" i="22"/>
  <c r="V117" i="35"/>
  <c r="I60" i="22"/>
  <c r="L60" i="22"/>
  <c r="V118" i="35"/>
  <c r="I61" i="22"/>
  <c r="L61" i="22"/>
  <c r="V119" i="35"/>
  <c r="I62" i="22"/>
  <c r="L62" i="22"/>
  <c r="V120" i="35"/>
  <c r="I63" i="22"/>
  <c r="L63" i="22"/>
  <c r="V121" i="35"/>
  <c r="I64" i="22"/>
  <c r="L64" i="22"/>
  <c r="V122" i="35"/>
  <c r="I65" i="22"/>
  <c r="L65" i="22"/>
  <c r="V123" i="35"/>
  <c r="F14" i="6"/>
  <c r="K8" i="22"/>
  <c r="N8" i="22"/>
  <c r="H14" i="6"/>
  <c r="AA66" i="35"/>
  <c r="F15" i="6"/>
  <c r="K9" i="22"/>
  <c r="N9" i="22"/>
  <c r="H15" i="6"/>
  <c r="AA67" i="35"/>
  <c r="F16" i="6"/>
  <c r="K10" i="22"/>
  <c r="N10" i="22"/>
  <c r="H16" i="6"/>
  <c r="AA68" i="35"/>
  <c r="F17" i="6"/>
  <c r="K11" i="22"/>
  <c r="N11" i="22"/>
  <c r="H17" i="6"/>
  <c r="AA69" i="35"/>
  <c r="F18" i="6"/>
  <c r="K12" i="22"/>
  <c r="N12" i="22"/>
  <c r="H18" i="6"/>
  <c r="AA70" i="35"/>
  <c r="F19" i="6"/>
  <c r="K13" i="22"/>
  <c r="N13" i="22"/>
  <c r="H19" i="6"/>
  <c r="AA71" i="35"/>
  <c r="F20" i="6"/>
  <c r="K14" i="22"/>
  <c r="N14" i="22"/>
  <c r="H20" i="6"/>
  <c r="AA72" i="35"/>
  <c r="F21" i="6"/>
  <c r="K15" i="22"/>
  <c r="N15" i="22"/>
  <c r="H21" i="6"/>
  <c r="AA73" i="35"/>
  <c r="F22" i="6"/>
  <c r="K16" i="22"/>
  <c r="N16" i="22"/>
  <c r="H22" i="6"/>
  <c r="AA74" i="35"/>
  <c r="F23" i="6"/>
  <c r="K17" i="22"/>
  <c r="N17" i="22"/>
  <c r="H23" i="6"/>
  <c r="AA75" i="35"/>
  <c r="F24" i="6"/>
  <c r="K18" i="22"/>
  <c r="N18" i="22"/>
  <c r="H24" i="6"/>
  <c r="AA76" i="35"/>
  <c r="F25" i="6"/>
  <c r="K19" i="22"/>
  <c r="N19" i="22"/>
  <c r="H25" i="6"/>
  <c r="AA77" i="35"/>
  <c r="F26" i="6"/>
  <c r="K20" i="22"/>
  <c r="N20" i="22"/>
  <c r="H26" i="6"/>
  <c r="AA78" i="35"/>
  <c r="F27" i="6"/>
  <c r="K21" i="22"/>
  <c r="N21" i="22"/>
  <c r="H27" i="6"/>
  <c r="AA79" i="35"/>
  <c r="F28" i="6"/>
  <c r="K22" i="22"/>
  <c r="N22" i="22"/>
  <c r="H28" i="6"/>
  <c r="AA80" i="35"/>
  <c r="F29" i="6"/>
  <c r="K23" i="22"/>
  <c r="N23" i="22"/>
  <c r="H29" i="6"/>
  <c r="AA81" i="35"/>
  <c r="F30" i="6"/>
  <c r="K24" i="22"/>
  <c r="N24" i="22"/>
  <c r="H30" i="6"/>
  <c r="AA82" i="35"/>
  <c r="F31" i="6"/>
  <c r="K25" i="22"/>
  <c r="N25" i="22"/>
  <c r="H31" i="6"/>
  <c r="AA83" i="35"/>
  <c r="F32" i="6"/>
  <c r="K26" i="22"/>
  <c r="N26" i="22"/>
  <c r="H32" i="6"/>
  <c r="AA84" i="35"/>
  <c r="F33" i="6"/>
  <c r="K27" i="22"/>
  <c r="N27" i="22"/>
  <c r="H33" i="6"/>
  <c r="AA85" i="35"/>
  <c r="F34" i="6"/>
  <c r="K28" i="22"/>
  <c r="N28" i="22"/>
  <c r="H34" i="6"/>
  <c r="AA86" i="35"/>
  <c r="F35" i="6"/>
  <c r="K29" i="22"/>
  <c r="N29" i="22"/>
  <c r="H35" i="6"/>
  <c r="AA87" i="35"/>
  <c r="F36" i="6"/>
  <c r="K30" i="22"/>
  <c r="N30" i="22"/>
  <c r="H36" i="6"/>
  <c r="AA88" i="35"/>
  <c r="F37" i="6"/>
  <c r="K31" i="22"/>
  <c r="N31" i="22"/>
  <c r="H37" i="6"/>
  <c r="AA89" i="35"/>
  <c r="F38" i="6"/>
  <c r="K32" i="22"/>
  <c r="N32" i="22"/>
  <c r="H38" i="6"/>
  <c r="AA90" i="35"/>
  <c r="F39" i="6"/>
  <c r="K33" i="22"/>
  <c r="N33" i="22"/>
  <c r="H39" i="6"/>
  <c r="AA91" i="35"/>
  <c r="F40" i="6"/>
  <c r="K34" i="22"/>
  <c r="N34" i="22"/>
  <c r="H40" i="6"/>
  <c r="AA92" i="35"/>
  <c r="F41" i="6"/>
  <c r="K35" i="22"/>
  <c r="N35" i="22"/>
  <c r="H41" i="6"/>
  <c r="AA93" i="35"/>
  <c r="F42" i="6"/>
  <c r="K36" i="22"/>
  <c r="N36" i="22"/>
  <c r="H42" i="6"/>
  <c r="AA94" i="35"/>
  <c r="F43" i="6"/>
  <c r="K37" i="22"/>
  <c r="N37" i="22"/>
  <c r="H43" i="6"/>
  <c r="AA95" i="35"/>
  <c r="F44" i="6"/>
  <c r="K38" i="22"/>
  <c r="N38" i="22"/>
  <c r="H44" i="6"/>
  <c r="AA96" i="35"/>
  <c r="F45" i="6"/>
  <c r="K39" i="22"/>
  <c r="N39" i="22"/>
  <c r="H45" i="6"/>
  <c r="AA97" i="35"/>
  <c r="F46" i="6"/>
  <c r="K40" i="22"/>
  <c r="N40" i="22"/>
  <c r="H46" i="6"/>
  <c r="AA98" i="35"/>
  <c r="F47" i="6"/>
  <c r="K41" i="22"/>
  <c r="N41" i="22"/>
  <c r="H47" i="6"/>
  <c r="AA99" i="35"/>
  <c r="F48" i="6"/>
  <c r="K42" i="22"/>
  <c r="N42" i="22"/>
  <c r="H48" i="6"/>
  <c r="AA100" i="35"/>
  <c r="F49" i="6"/>
  <c r="K43" i="22"/>
  <c r="N43" i="22"/>
  <c r="H49" i="6"/>
  <c r="AA101" i="35"/>
  <c r="F50" i="6"/>
  <c r="K44" i="22"/>
  <c r="N44" i="22"/>
  <c r="H50" i="6"/>
  <c r="AA102" i="35"/>
  <c r="F51" i="6"/>
  <c r="K45" i="22"/>
  <c r="N45" i="22"/>
  <c r="H51" i="6"/>
  <c r="AA103" i="35"/>
  <c r="F52" i="6"/>
  <c r="K46" i="22"/>
  <c r="N46" i="22"/>
  <c r="H52" i="6"/>
  <c r="AA104" i="35"/>
  <c r="F53" i="6"/>
  <c r="K47" i="22"/>
  <c r="N47" i="22"/>
  <c r="H53" i="6"/>
  <c r="AA105" i="35"/>
  <c r="F54" i="6"/>
  <c r="K48" i="22"/>
  <c r="N48" i="22"/>
  <c r="H54" i="6"/>
  <c r="AA106" i="35"/>
  <c r="F55" i="6"/>
  <c r="K49" i="22"/>
  <c r="N49" i="22"/>
  <c r="H55" i="6"/>
  <c r="AA107" i="35"/>
  <c r="F56" i="6"/>
  <c r="K50" i="22"/>
  <c r="N50" i="22"/>
  <c r="H56" i="6"/>
  <c r="AA108" i="35"/>
  <c r="F57" i="6"/>
  <c r="K51" i="22"/>
  <c r="N51" i="22"/>
  <c r="H57" i="6"/>
  <c r="AA109" i="35"/>
  <c r="F58" i="6"/>
  <c r="K52" i="22"/>
  <c r="N52" i="22"/>
  <c r="H58" i="6"/>
  <c r="AA110" i="35"/>
  <c r="F59" i="6"/>
  <c r="K53" i="22"/>
  <c r="N53" i="22"/>
  <c r="H59" i="6"/>
  <c r="AA111" i="35"/>
  <c r="F60" i="6"/>
  <c r="K54" i="22"/>
  <c r="N54" i="22"/>
  <c r="H60" i="6"/>
  <c r="AA112" i="35"/>
  <c r="F61" i="6"/>
  <c r="K55" i="22"/>
  <c r="N55" i="22"/>
  <c r="H61" i="6"/>
  <c r="AA113" i="35"/>
  <c r="F62" i="6"/>
  <c r="K56" i="22"/>
  <c r="N56" i="22"/>
  <c r="H62" i="6"/>
  <c r="AA114" i="35"/>
  <c r="F63" i="6"/>
  <c r="K57" i="22"/>
  <c r="N57" i="22"/>
  <c r="H63" i="6"/>
  <c r="AA115" i="35"/>
  <c r="F64" i="6"/>
  <c r="K58" i="22"/>
  <c r="N58" i="22"/>
  <c r="H64" i="6"/>
  <c r="AA116" i="35"/>
  <c r="F65" i="6"/>
  <c r="K59" i="22"/>
  <c r="N59" i="22"/>
  <c r="H65" i="6"/>
  <c r="AA117" i="35"/>
  <c r="F66" i="6"/>
  <c r="K60" i="22"/>
  <c r="N60" i="22"/>
  <c r="H66" i="6"/>
  <c r="AA118" i="35"/>
  <c r="F67" i="6"/>
  <c r="K61" i="22"/>
  <c r="N61" i="22"/>
  <c r="H67" i="6"/>
  <c r="AA119" i="35"/>
  <c r="F68" i="6"/>
  <c r="K62" i="22"/>
  <c r="N62" i="22"/>
  <c r="H68" i="6"/>
  <c r="AA120" i="35"/>
  <c r="F69" i="6"/>
  <c r="K63" i="22"/>
  <c r="N63" i="22"/>
  <c r="H69" i="6"/>
  <c r="AA121" i="35"/>
  <c r="F70" i="6"/>
  <c r="K64" i="22"/>
  <c r="N64" i="22"/>
  <c r="H70" i="6"/>
  <c r="AA122" i="35"/>
  <c r="F71" i="6"/>
  <c r="K65" i="22"/>
  <c r="N65" i="22"/>
  <c r="H71" i="6"/>
  <c r="AA123" i="35"/>
  <c r="W64" i="35"/>
  <c r="W65" i="35"/>
  <c r="W66" i="35"/>
  <c r="W67" i="35"/>
  <c r="W68" i="35"/>
  <c r="W69" i="35"/>
  <c r="W70" i="35"/>
  <c r="W71" i="35"/>
  <c r="W72" i="35"/>
  <c r="W73" i="35"/>
  <c r="W74" i="35"/>
  <c r="W75" i="35"/>
  <c r="W76" i="35"/>
  <c r="W77" i="35"/>
  <c r="W78" i="35"/>
  <c r="W79" i="35"/>
  <c r="W80" i="35"/>
  <c r="W81" i="35"/>
  <c r="W82" i="35"/>
  <c r="W83" i="35"/>
  <c r="W84" i="35"/>
  <c r="W85" i="35"/>
  <c r="W86" i="35"/>
  <c r="W87" i="35"/>
  <c r="W88" i="35"/>
  <c r="W89" i="35"/>
  <c r="W90" i="35"/>
  <c r="W91" i="35"/>
  <c r="W92" i="35"/>
  <c r="W93" i="35"/>
  <c r="W94" i="35"/>
  <c r="W95" i="35"/>
  <c r="W96" i="35"/>
  <c r="W97" i="35"/>
  <c r="W98" i="35"/>
  <c r="W99" i="35"/>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W123" i="35"/>
  <c r="K4" i="35"/>
  <c r="K5" i="35"/>
  <c r="K6" i="35"/>
  <c r="K7" i="35"/>
  <c r="K8" i="35"/>
  <c r="K9" i="35"/>
  <c r="K10" i="35"/>
  <c r="K11" i="35"/>
  <c r="K12" i="35"/>
  <c r="K13" i="35"/>
  <c r="X64" i="35"/>
  <c r="Y64" i="35"/>
  <c r="AG64" i="35"/>
  <c r="AH64" i="35"/>
  <c r="AE64" i="35"/>
  <c r="X65" i="35"/>
  <c r="Y65" i="35"/>
  <c r="AG65" i="35"/>
  <c r="AH65" i="35"/>
  <c r="AE65" i="35"/>
  <c r="X66" i="35"/>
  <c r="Y66" i="35"/>
  <c r="AG66" i="35"/>
  <c r="AH66" i="35"/>
  <c r="AE66" i="35"/>
  <c r="X67" i="35"/>
  <c r="Y67" i="35"/>
  <c r="AG67" i="35"/>
  <c r="AH67" i="35"/>
  <c r="AE67" i="35"/>
  <c r="X68" i="35"/>
  <c r="Y68" i="35"/>
  <c r="AG68" i="35"/>
  <c r="AH68" i="35"/>
  <c r="AE68" i="35"/>
  <c r="X69" i="35"/>
  <c r="Y69" i="35"/>
  <c r="AG69" i="35"/>
  <c r="AH69" i="35"/>
  <c r="AE69" i="35"/>
  <c r="X70" i="35"/>
  <c r="Y70" i="35"/>
  <c r="AG70" i="35"/>
  <c r="AH70" i="35"/>
  <c r="AE70" i="35"/>
  <c r="X71" i="35"/>
  <c r="Y71" i="35"/>
  <c r="AG71" i="35"/>
  <c r="AH71" i="35"/>
  <c r="AE71" i="35"/>
  <c r="X72" i="35"/>
  <c r="Y72" i="35"/>
  <c r="AG72" i="35"/>
  <c r="AH72" i="35"/>
  <c r="AE72" i="35"/>
  <c r="X73" i="35"/>
  <c r="Y73" i="35"/>
  <c r="AG73" i="35"/>
  <c r="AH73" i="35"/>
  <c r="AE73" i="35"/>
  <c r="X74" i="35"/>
  <c r="Y74" i="35"/>
  <c r="AG74" i="35"/>
  <c r="AH74" i="35"/>
  <c r="AE74" i="35"/>
  <c r="X75" i="35"/>
  <c r="Y75" i="35"/>
  <c r="AG75" i="35"/>
  <c r="AH75" i="35"/>
  <c r="AE75" i="35"/>
  <c r="X76" i="35"/>
  <c r="Y76" i="35"/>
  <c r="AG76" i="35"/>
  <c r="AH76" i="35"/>
  <c r="AE76" i="35"/>
  <c r="X77" i="35"/>
  <c r="Y77" i="35"/>
  <c r="AG77" i="35"/>
  <c r="AH77" i="35"/>
  <c r="AE77" i="35"/>
  <c r="X78" i="35"/>
  <c r="Y78" i="35"/>
  <c r="AG78" i="35"/>
  <c r="AH78" i="35"/>
  <c r="AE78" i="35"/>
  <c r="X79" i="35"/>
  <c r="Y79" i="35"/>
  <c r="AG79" i="35"/>
  <c r="AH79" i="35"/>
  <c r="AE79" i="35"/>
  <c r="X80" i="35"/>
  <c r="Y80" i="35"/>
  <c r="AG80" i="35"/>
  <c r="AH80" i="35"/>
  <c r="AE80" i="35"/>
  <c r="X81" i="35"/>
  <c r="Y81" i="35"/>
  <c r="AG81" i="35"/>
  <c r="AH81" i="35"/>
  <c r="AE81" i="35"/>
  <c r="X82" i="35"/>
  <c r="Y82" i="35"/>
  <c r="AG82" i="35"/>
  <c r="AH82" i="35"/>
  <c r="AE82" i="35"/>
  <c r="X83" i="35"/>
  <c r="Y83" i="35"/>
  <c r="AG83" i="35"/>
  <c r="AH83" i="35"/>
  <c r="AE83" i="35"/>
  <c r="X84" i="35"/>
  <c r="Y84" i="35"/>
  <c r="AG84" i="35"/>
  <c r="AH84" i="35"/>
  <c r="AE84" i="35"/>
  <c r="X85" i="35"/>
  <c r="Y85" i="35"/>
  <c r="AG85" i="35"/>
  <c r="AH85" i="35"/>
  <c r="AE85" i="35"/>
  <c r="X86" i="35"/>
  <c r="Y86" i="35"/>
  <c r="AG86" i="35"/>
  <c r="AH86" i="35"/>
  <c r="AE86" i="35"/>
  <c r="X87" i="35"/>
  <c r="Y87" i="35"/>
  <c r="AG87" i="35"/>
  <c r="AH87" i="35"/>
  <c r="AE87" i="35"/>
  <c r="X88" i="35"/>
  <c r="Y88" i="35"/>
  <c r="AG88" i="35"/>
  <c r="AH88" i="35"/>
  <c r="AE88" i="35"/>
  <c r="X89" i="35"/>
  <c r="Y89" i="35"/>
  <c r="AG89" i="35"/>
  <c r="AH89" i="35"/>
  <c r="AE89" i="35"/>
  <c r="X90" i="35"/>
  <c r="Y90" i="35"/>
  <c r="AG90" i="35"/>
  <c r="AH90" i="35"/>
  <c r="AE90" i="35"/>
  <c r="X91" i="35"/>
  <c r="Y91" i="35"/>
  <c r="AG91" i="35"/>
  <c r="AH91" i="35"/>
  <c r="AE91" i="35"/>
  <c r="X92" i="35"/>
  <c r="Y92" i="35"/>
  <c r="AG92" i="35"/>
  <c r="AH92" i="35"/>
  <c r="AE92" i="35"/>
  <c r="X93" i="35"/>
  <c r="Y93" i="35"/>
  <c r="AG93" i="35"/>
  <c r="AH93" i="35"/>
  <c r="AE93" i="35"/>
  <c r="X94" i="35"/>
  <c r="Y94" i="35"/>
  <c r="AG94" i="35"/>
  <c r="AH94" i="35"/>
  <c r="AE94" i="35"/>
  <c r="X95" i="35"/>
  <c r="Y95" i="35"/>
  <c r="AG95" i="35"/>
  <c r="AH95" i="35"/>
  <c r="AE95" i="35"/>
  <c r="X96" i="35"/>
  <c r="Y96" i="35"/>
  <c r="AG96" i="35"/>
  <c r="AH96" i="35"/>
  <c r="AE96" i="35"/>
  <c r="X97" i="35"/>
  <c r="Y97" i="35"/>
  <c r="AG97" i="35"/>
  <c r="AH97" i="35"/>
  <c r="AE97" i="35"/>
  <c r="X98" i="35"/>
  <c r="Y98" i="35"/>
  <c r="AG98" i="35"/>
  <c r="AH98" i="35"/>
  <c r="AE98" i="35"/>
  <c r="X99" i="35"/>
  <c r="Y99" i="35"/>
  <c r="AG99" i="35"/>
  <c r="AH99" i="35"/>
  <c r="AE99" i="35"/>
  <c r="X100" i="35"/>
  <c r="Y100" i="35"/>
  <c r="AG100" i="35"/>
  <c r="AH100" i="35"/>
  <c r="AE100" i="35"/>
  <c r="X101" i="35"/>
  <c r="Y101" i="35"/>
  <c r="AG101" i="35"/>
  <c r="AH101" i="35"/>
  <c r="AE101" i="35"/>
  <c r="X102" i="35"/>
  <c r="Y102" i="35"/>
  <c r="AG102" i="35"/>
  <c r="AH102" i="35"/>
  <c r="AE102" i="35"/>
  <c r="X103" i="35"/>
  <c r="Y103" i="35"/>
  <c r="AG103" i="35"/>
  <c r="AH103" i="35"/>
  <c r="AE103" i="35"/>
  <c r="AE104" i="35"/>
  <c r="AE105" i="35"/>
  <c r="AE106" i="35"/>
  <c r="AE107" i="35"/>
  <c r="AE108" i="35"/>
  <c r="AE109" i="35"/>
  <c r="AE110" i="35"/>
  <c r="AE111" i="35"/>
  <c r="AE112" i="35"/>
  <c r="AE113" i="35"/>
  <c r="AE114" i="35"/>
  <c r="AE115" i="35"/>
  <c r="AE116" i="35"/>
  <c r="AE117" i="35"/>
  <c r="AE118" i="35"/>
  <c r="AE119" i="35"/>
  <c r="AE120" i="35"/>
  <c r="AE121" i="35"/>
  <c r="AE122" i="35"/>
  <c r="AE123" i="35"/>
  <c r="AF64" i="35"/>
  <c r="AF65" i="35"/>
  <c r="AF66" i="35"/>
  <c r="AF67" i="35"/>
  <c r="AF68" i="35"/>
  <c r="AF69" i="35"/>
  <c r="AF70" i="35"/>
  <c r="AF71" i="35"/>
  <c r="AF72" i="35"/>
  <c r="AF73" i="35"/>
  <c r="AF74" i="35"/>
  <c r="AF75" i="35"/>
  <c r="AF76" i="35"/>
  <c r="AF77" i="35"/>
  <c r="AF78" i="35"/>
  <c r="AF79" i="35"/>
  <c r="AF80" i="35"/>
  <c r="AF81" i="35"/>
  <c r="AF82" i="35"/>
  <c r="AF83" i="35"/>
  <c r="AF84" i="35"/>
  <c r="AF85" i="35"/>
  <c r="AF86" i="35"/>
  <c r="AF87" i="35"/>
  <c r="AF88" i="35"/>
  <c r="AF89" i="35"/>
  <c r="AF90" i="35"/>
  <c r="AF91" i="35"/>
  <c r="AF92" i="35"/>
  <c r="AF93" i="35"/>
  <c r="AF94" i="35"/>
  <c r="AF95" i="35"/>
  <c r="AF96" i="35"/>
  <c r="AF97" i="35"/>
  <c r="AF98" i="35"/>
  <c r="AF99" i="35"/>
  <c r="AF100" i="35"/>
  <c r="AF101" i="35"/>
  <c r="AF102" i="35"/>
  <c r="AF103" i="35"/>
  <c r="AF104" i="35"/>
  <c r="AF105" i="35"/>
  <c r="AF106" i="35"/>
  <c r="AF107" i="35"/>
  <c r="AF108" i="35"/>
  <c r="AF109" i="35"/>
  <c r="AF110" i="35"/>
  <c r="AF111" i="35"/>
  <c r="AF112" i="35"/>
  <c r="AF113" i="35"/>
  <c r="AF114" i="35"/>
  <c r="AF115" i="35"/>
  <c r="AF116" i="35"/>
  <c r="AF117" i="35"/>
  <c r="AF118" i="35"/>
  <c r="AF119" i="35"/>
  <c r="AF120" i="35"/>
  <c r="AF121" i="35"/>
  <c r="AF122" i="35"/>
  <c r="AF123" i="35"/>
  <c r="J4" i="35"/>
  <c r="K17" i="35"/>
  <c r="G4" i="35"/>
  <c r="H4" i="35"/>
  <c r="G7" i="14"/>
  <c r="I4" i="35"/>
  <c r="J17" i="35"/>
  <c r="L17" i="35"/>
  <c r="J5" i="35"/>
  <c r="K18" i="35"/>
  <c r="G5" i="35"/>
  <c r="H5" i="35"/>
  <c r="I5" i="35"/>
  <c r="J18" i="35"/>
  <c r="L18" i="35"/>
  <c r="J6" i="35"/>
  <c r="K19" i="35"/>
  <c r="G6" i="35"/>
  <c r="H6" i="35"/>
  <c r="I6" i="35"/>
  <c r="J19" i="35"/>
  <c r="L19" i="35"/>
  <c r="J7" i="35"/>
  <c r="K20" i="35"/>
  <c r="G7" i="35"/>
  <c r="H7" i="35"/>
  <c r="I7" i="35"/>
  <c r="J20" i="35"/>
  <c r="L20" i="35"/>
  <c r="J8" i="35"/>
  <c r="K21" i="35"/>
  <c r="G8" i="35"/>
  <c r="H8" i="35"/>
  <c r="I8" i="35"/>
  <c r="J21" i="35"/>
  <c r="L21" i="35"/>
  <c r="J9" i="35"/>
  <c r="K22" i="35"/>
  <c r="X104" i="35"/>
  <c r="X105" i="35"/>
  <c r="X106" i="35"/>
  <c r="X107" i="35"/>
  <c r="X108" i="35"/>
  <c r="X109" i="35"/>
  <c r="X110" i="35"/>
  <c r="X111" i="35"/>
  <c r="X112" i="35"/>
  <c r="X113" i="35"/>
  <c r="X114" i="35"/>
  <c r="X115" i="35"/>
  <c r="X116" i="35"/>
  <c r="X117" i="35"/>
  <c r="X118" i="35"/>
  <c r="X119" i="35"/>
  <c r="X120" i="35"/>
  <c r="X121" i="35"/>
  <c r="X122" i="35"/>
  <c r="X123" i="35"/>
  <c r="Y104" i="35"/>
  <c r="Y105" i="35"/>
  <c r="Y106" i="35"/>
  <c r="Y107" i="35"/>
  <c r="Y108" i="35"/>
  <c r="Y109" i="35"/>
  <c r="Y110" i="35"/>
  <c r="Y111" i="35"/>
  <c r="Y112" i="35"/>
  <c r="Y113" i="35"/>
  <c r="Y114" i="35"/>
  <c r="Y115" i="35"/>
  <c r="Y116" i="35"/>
  <c r="Y117" i="35"/>
  <c r="Y118" i="35"/>
  <c r="Y119" i="35"/>
  <c r="Y120" i="35"/>
  <c r="Y121" i="35"/>
  <c r="Y122" i="35"/>
  <c r="Y123" i="35"/>
  <c r="AG104" i="35"/>
  <c r="AG105" i="35"/>
  <c r="AG106" i="35"/>
  <c r="AG107" i="35"/>
  <c r="AG108" i="35"/>
  <c r="AG109" i="35"/>
  <c r="AG110" i="35"/>
  <c r="AG111" i="35"/>
  <c r="AG112" i="35"/>
  <c r="AG113" i="35"/>
  <c r="AG114" i="35"/>
  <c r="AG115" i="35"/>
  <c r="AG116" i="35"/>
  <c r="AG117" i="35"/>
  <c r="AG118" i="35"/>
  <c r="AG119" i="35"/>
  <c r="AG120" i="35"/>
  <c r="AG121" i="35"/>
  <c r="AG122" i="35"/>
  <c r="AG123" i="35"/>
  <c r="AH104" i="35"/>
  <c r="AH105" i="35"/>
  <c r="AH106" i="35"/>
  <c r="AH107" i="35"/>
  <c r="AH108" i="35"/>
  <c r="AH109" i="35"/>
  <c r="AH110" i="35"/>
  <c r="AH111" i="35"/>
  <c r="AH112" i="35"/>
  <c r="AH113" i="35"/>
  <c r="AH114" i="35"/>
  <c r="AH115" i="35"/>
  <c r="AH116" i="35"/>
  <c r="AH117" i="35"/>
  <c r="AH118" i="35"/>
  <c r="AH119" i="35"/>
  <c r="AH120" i="35"/>
  <c r="AH121" i="35"/>
  <c r="AH122" i="35"/>
  <c r="AH123" i="35"/>
  <c r="G9" i="35"/>
  <c r="H9" i="35"/>
  <c r="I9" i="35"/>
  <c r="J22" i="35"/>
  <c r="L22" i="35"/>
  <c r="J10" i="35"/>
  <c r="K23" i="35"/>
  <c r="G10" i="35"/>
  <c r="H10" i="35"/>
  <c r="I10" i="35"/>
  <c r="J23" i="35"/>
  <c r="L23" i="35"/>
  <c r="J11" i="35"/>
  <c r="K24" i="35"/>
  <c r="G11" i="35"/>
  <c r="H11" i="35"/>
  <c r="I11" i="35"/>
  <c r="J24" i="35"/>
  <c r="L24" i="35"/>
  <c r="J12" i="35"/>
  <c r="K25" i="35"/>
  <c r="G12" i="35"/>
  <c r="H12" i="35"/>
  <c r="I12" i="35"/>
  <c r="J25" i="35"/>
  <c r="L25" i="35"/>
  <c r="M17" i="35"/>
  <c r="N17" i="35" a="1"/>
  <c r="N17" i="35"/>
  <c r="O17" i="35"/>
  <c r="C17" i="35"/>
  <c r="E30" i="35" a="1"/>
  <c r="E30" i="35"/>
  <c r="F30" i="35" a="1"/>
  <c r="F30" i="35"/>
  <c r="G30" i="35" a="1"/>
  <c r="H30" i="35" a="1"/>
  <c r="I30" i="35" a="1"/>
  <c r="J30" i="35" a="1"/>
  <c r="K30" i="35" a="1"/>
  <c r="L30" i="35" a="1"/>
  <c r="P17" i="35"/>
  <c r="M30" i="35" a="1"/>
  <c r="N30" i="35" a="1"/>
  <c r="O30" i="35" a="1"/>
  <c r="P30" i="35" a="1"/>
  <c r="Q30" i="35" a="1"/>
  <c r="R30" i="35" a="1"/>
  <c r="S30" i="35" a="1"/>
  <c r="T30" i="35" a="1"/>
  <c r="Q17" i="35"/>
  <c r="U30" i="35" a="1"/>
  <c r="V30" i="35" a="1"/>
  <c r="W30" i="35" a="1"/>
  <c r="X30" i="35" a="1"/>
  <c r="Y30" i="35" a="1"/>
  <c r="Z30" i="35" a="1"/>
  <c r="AA30" i="35" a="1"/>
  <c r="AB30" i="35" a="1"/>
  <c r="R17" i="35"/>
  <c r="AC30" i="35" a="1"/>
  <c r="AD30" i="35" a="1"/>
  <c r="AE30" i="35" a="1"/>
  <c r="AF30" i="35" a="1"/>
  <c r="AG30" i="35" a="1"/>
  <c r="AH30" i="35" a="1"/>
  <c r="AI30" i="35" a="1"/>
  <c r="AJ30" i="35" a="1"/>
  <c r="S17" i="35"/>
  <c r="AK30" i="35" a="1"/>
  <c r="AL30" i="35" a="1"/>
  <c r="AM30" i="35" a="1"/>
  <c r="AN30" i="35" a="1"/>
  <c r="AO30" i="35" a="1"/>
  <c r="AP30" i="35" a="1"/>
  <c r="AQ30" i="35" a="1"/>
  <c r="AR30" i="35" a="1"/>
  <c r="T17" i="35"/>
  <c r="AS30" i="35" a="1"/>
  <c r="AT30" i="35" a="1"/>
  <c r="AU30" i="35" a="1"/>
  <c r="AV30" i="35" a="1"/>
  <c r="AW30" i="35" a="1"/>
  <c r="AX30" i="35" a="1"/>
  <c r="AY30" i="35" a="1"/>
  <c r="AZ30" i="35" a="1"/>
  <c r="U17" i="35"/>
  <c r="BA30" i="35" a="1"/>
  <c r="BB30" i="35" a="1"/>
  <c r="BC30" i="35" a="1"/>
  <c r="BD30" i="35" a="1"/>
  <c r="BE30" i="35" a="1"/>
  <c r="BF30" i="35" a="1"/>
  <c r="BG30" i="35" a="1"/>
  <c r="BH30" i="35" a="1"/>
  <c r="V17" i="35"/>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W17" i="35"/>
  <c r="M18" i="35"/>
  <c r="N18" i="35" a="1"/>
  <c r="N18" i="35"/>
  <c r="O18" i="35"/>
  <c r="C18" i="35"/>
  <c r="E31" i="35" a="1"/>
  <c r="E31" i="35"/>
  <c r="F31" i="35" a="1"/>
  <c r="F31" i="35"/>
  <c r="G31" i="35" a="1"/>
  <c r="H31" i="35" a="1"/>
  <c r="I31" i="35" a="1"/>
  <c r="J31" i="35" a="1"/>
  <c r="K31" i="35" a="1"/>
  <c r="L31" i="35" a="1"/>
  <c r="P18" i="35"/>
  <c r="M31" i="35" a="1"/>
  <c r="N31" i="35" a="1"/>
  <c r="O31" i="35" a="1"/>
  <c r="P31" i="35" a="1"/>
  <c r="Q31" i="35" a="1"/>
  <c r="R31" i="35" a="1"/>
  <c r="S31" i="35" a="1"/>
  <c r="T31" i="35" a="1"/>
  <c r="Q18" i="35"/>
  <c r="U31" i="35" a="1"/>
  <c r="V31" i="35" a="1"/>
  <c r="W31" i="35" a="1"/>
  <c r="X31" i="35" a="1"/>
  <c r="Y31" i="35" a="1"/>
  <c r="Z31" i="35" a="1"/>
  <c r="AA31" i="35" a="1"/>
  <c r="AB31" i="35" a="1"/>
  <c r="R18" i="35"/>
  <c r="AC31" i="35" a="1"/>
  <c r="AD31" i="35" a="1"/>
  <c r="AE31" i="35" a="1"/>
  <c r="AF31" i="35" a="1"/>
  <c r="AG31" i="35" a="1"/>
  <c r="AH31" i="35" a="1"/>
  <c r="AI31" i="35" a="1"/>
  <c r="AJ31" i="35" a="1"/>
  <c r="S18" i="35"/>
  <c r="AK31" i="35" a="1"/>
  <c r="AL31" i="35" a="1"/>
  <c r="AM31" i="35" a="1"/>
  <c r="AN31" i="35" a="1"/>
  <c r="AO31" i="35" a="1"/>
  <c r="AP31" i="35" a="1"/>
  <c r="AQ31" i="35" a="1"/>
  <c r="AR31" i="35" a="1"/>
  <c r="T18" i="35"/>
  <c r="AS31" i="35" a="1"/>
  <c r="AT31" i="35" a="1"/>
  <c r="AU31" i="35" a="1"/>
  <c r="AV31" i="35" a="1"/>
  <c r="AW31" i="35" a="1"/>
  <c r="AX31" i="35" a="1"/>
  <c r="AY31" i="35" a="1"/>
  <c r="AZ31" i="35" a="1"/>
  <c r="U18" i="35"/>
  <c r="BA31" i="35" a="1"/>
  <c r="BB31" i="35" a="1"/>
  <c r="BC31" i="35" a="1"/>
  <c r="BD31" i="35" a="1"/>
  <c r="BE31" i="35" a="1"/>
  <c r="BF31" i="35" a="1"/>
  <c r="BG31" i="35" a="1"/>
  <c r="BH31" i="35" a="1"/>
  <c r="V18" i="35"/>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W18" i="35"/>
  <c r="M19" i="35"/>
  <c r="N19" i="35" a="1"/>
  <c r="N19" i="35"/>
  <c r="O19" i="35"/>
  <c r="C19" i="35"/>
  <c r="E32" i="35" a="1"/>
  <c r="E32" i="35"/>
  <c r="F32" i="35" a="1"/>
  <c r="F32" i="35"/>
  <c r="G32" i="35" a="1"/>
  <c r="H32" i="35" a="1"/>
  <c r="I32" i="35" a="1"/>
  <c r="J32" i="35" a="1"/>
  <c r="K32" i="35" a="1"/>
  <c r="L32" i="35" a="1"/>
  <c r="P19" i="35"/>
  <c r="M32" i="35" a="1"/>
  <c r="N32" i="35" a="1"/>
  <c r="O32" i="35" a="1"/>
  <c r="P32" i="35" a="1"/>
  <c r="Q32" i="35" a="1"/>
  <c r="R32" i="35" a="1"/>
  <c r="S32" i="35" a="1"/>
  <c r="T32" i="35" a="1"/>
  <c r="Q19" i="35"/>
  <c r="U32" i="35" a="1"/>
  <c r="V32" i="35" a="1"/>
  <c r="W32" i="35" a="1"/>
  <c r="X32" i="35" a="1"/>
  <c r="Y32" i="35" a="1"/>
  <c r="Z32" i="35" a="1"/>
  <c r="AA32" i="35" a="1"/>
  <c r="AB32" i="35" a="1"/>
  <c r="R19" i="35"/>
  <c r="AC32" i="35" a="1"/>
  <c r="AD32" i="35" a="1"/>
  <c r="AE32" i="35" a="1"/>
  <c r="AF32" i="35" a="1"/>
  <c r="AG32" i="35" a="1"/>
  <c r="AH32" i="35" a="1"/>
  <c r="AI32" i="35" a="1"/>
  <c r="AJ32" i="35" a="1"/>
  <c r="S19" i="35"/>
  <c r="AK32" i="35" a="1"/>
  <c r="AL32" i="35" a="1"/>
  <c r="AM32" i="35" a="1"/>
  <c r="AN32" i="35" a="1"/>
  <c r="AO32" i="35" a="1"/>
  <c r="AP32" i="35" a="1"/>
  <c r="AQ32" i="35" a="1"/>
  <c r="AR32" i="35" a="1"/>
  <c r="T19" i="35"/>
  <c r="AS32" i="35" a="1"/>
  <c r="AT32" i="35" a="1"/>
  <c r="AU32" i="35" a="1"/>
  <c r="AV32" i="35" a="1"/>
  <c r="AW32" i="35" a="1"/>
  <c r="AX32" i="35" a="1"/>
  <c r="AY32" i="35" a="1"/>
  <c r="AZ32" i="35" a="1"/>
  <c r="U19" i="35"/>
  <c r="BA32" i="35" a="1"/>
  <c r="BB32" i="35" a="1"/>
  <c r="BC32" i="35" a="1"/>
  <c r="BD32" i="35" a="1"/>
  <c r="BE32" i="35" a="1"/>
  <c r="BF32" i="35" a="1"/>
  <c r="BG32" i="35" a="1"/>
  <c r="BH32" i="35" a="1"/>
  <c r="V19" i="35"/>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W19" i="35"/>
  <c r="M20" i="35"/>
  <c r="N20" i="35" a="1"/>
  <c r="N20" i="35"/>
  <c r="O20" i="35"/>
  <c r="C20" i="35"/>
  <c r="E33" i="35" a="1"/>
  <c r="E33" i="35"/>
  <c r="F33" i="35" a="1"/>
  <c r="F33" i="35"/>
  <c r="G33" i="35" a="1"/>
  <c r="H33" i="35" a="1"/>
  <c r="I33" i="35" a="1"/>
  <c r="J33" i="35" a="1"/>
  <c r="K33" i="35" a="1"/>
  <c r="L33" i="35" a="1"/>
  <c r="P20" i="35"/>
  <c r="M33" i="35" a="1"/>
  <c r="N33" i="35" a="1"/>
  <c r="O33" i="35" a="1"/>
  <c r="P33" i="35" a="1"/>
  <c r="Q33" i="35" a="1"/>
  <c r="R33" i="35" a="1"/>
  <c r="S33" i="35" a="1"/>
  <c r="T33" i="35" a="1"/>
  <c r="Q20" i="35"/>
  <c r="U33" i="35" a="1"/>
  <c r="V33" i="35" a="1"/>
  <c r="W33" i="35" a="1"/>
  <c r="X33" i="35" a="1"/>
  <c r="Y33" i="35" a="1"/>
  <c r="Z33" i="35" a="1"/>
  <c r="AA33" i="35" a="1"/>
  <c r="AB33" i="35" a="1"/>
  <c r="R20" i="35"/>
  <c r="AC33" i="35" a="1"/>
  <c r="AD33" i="35" a="1"/>
  <c r="AE33" i="35" a="1"/>
  <c r="AF33" i="35" a="1"/>
  <c r="AG33" i="35" a="1"/>
  <c r="AH33" i="35" a="1"/>
  <c r="AI33" i="35" a="1"/>
  <c r="AJ33" i="35" a="1"/>
  <c r="S20" i="35"/>
  <c r="AK33" i="35" a="1"/>
  <c r="AL33" i="35" a="1"/>
  <c r="AM33" i="35" a="1"/>
  <c r="AN33" i="35" a="1"/>
  <c r="AO33" i="35" a="1"/>
  <c r="AP33" i="35" a="1"/>
  <c r="AQ33" i="35" a="1"/>
  <c r="AR33" i="35" a="1"/>
  <c r="T20" i="35"/>
  <c r="AS33" i="35" a="1"/>
  <c r="AT33" i="35" a="1"/>
  <c r="AU33" i="35" a="1"/>
  <c r="AV33" i="35" a="1"/>
  <c r="AW33" i="35" a="1"/>
  <c r="AX33" i="35" a="1"/>
  <c r="AY33" i="35" a="1"/>
  <c r="AZ33" i="35" a="1"/>
  <c r="U20" i="35"/>
  <c r="BA33" i="35" a="1"/>
  <c r="BB33" i="35" a="1"/>
  <c r="BC33" i="35" a="1"/>
  <c r="BD33" i="35" a="1"/>
  <c r="BE33" i="35" a="1"/>
  <c r="BF33" i="35" a="1"/>
  <c r="BG33" i="35" a="1"/>
  <c r="BH33" i="35" a="1"/>
  <c r="V20" i="35"/>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W20" i="35"/>
  <c r="M21" i="35"/>
  <c r="N21" i="35" a="1"/>
  <c r="N21" i="35"/>
  <c r="O21" i="35"/>
  <c r="C21" i="35"/>
  <c r="E34" i="35" a="1"/>
  <c r="E34" i="35"/>
  <c r="F34" i="35" a="1"/>
  <c r="F34" i="35"/>
  <c r="G34" i="35" a="1"/>
  <c r="H34" i="35" a="1"/>
  <c r="I34" i="35" a="1"/>
  <c r="J34" i="35" a="1"/>
  <c r="K34" i="35" a="1"/>
  <c r="L34" i="35" a="1"/>
  <c r="P21" i="35"/>
  <c r="M34" i="35" a="1"/>
  <c r="N34" i="35" a="1"/>
  <c r="O34" i="35" a="1"/>
  <c r="P34" i="35" a="1"/>
  <c r="Q34" i="35" a="1"/>
  <c r="R34" i="35" a="1"/>
  <c r="S34" i="35" a="1"/>
  <c r="T34" i="35" a="1"/>
  <c r="Q21" i="35"/>
  <c r="U34" i="35" a="1"/>
  <c r="V34" i="35" a="1"/>
  <c r="W34" i="35" a="1"/>
  <c r="X34" i="35" a="1"/>
  <c r="Y34" i="35" a="1"/>
  <c r="Z34" i="35" a="1"/>
  <c r="AA34" i="35" a="1"/>
  <c r="AB34" i="35" a="1"/>
  <c r="R21" i="35"/>
  <c r="AC34" i="35" a="1"/>
  <c r="AD34" i="35" a="1"/>
  <c r="AE34" i="35" a="1"/>
  <c r="AF34" i="35" a="1"/>
  <c r="AG34" i="35" a="1"/>
  <c r="AH34" i="35" a="1"/>
  <c r="AI34" i="35" a="1"/>
  <c r="AJ34" i="35" a="1"/>
  <c r="S21" i="35"/>
  <c r="AK34" i="35" a="1"/>
  <c r="AL34" i="35" a="1"/>
  <c r="AM34" i="35" a="1"/>
  <c r="AN34" i="35" a="1"/>
  <c r="AO34" i="35" a="1"/>
  <c r="AP34" i="35" a="1"/>
  <c r="AQ34" i="35" a="1"/>
  <c r="AR34" i="35" a="1"/>
  <c r="T21" i="35"/>
  <c r="AS34" i="35" a="1"/>
  <c r="AT34" i="35" a="1"/>
  <c r="AU34" i="35" a="1"/>
  <c r="AV34" i="35" a="1"/>
  <c r="AW34" i="35" a="1"/>
  <c r="AX34" i="35" a="1"/>
  <c r="AY34" i="35" a="1"/>
  <c r="AZ34" i="35" a="1"/>
  <c r="U21" i="35"/>
  <c r="BA34" i="35" a="1"/>
  <c r="BB34" i="35" a="1"/>
  <c r="BC34" i="35" a="1"/>
  <c r="BD34" i="35" a="1"/>
  <c r="BE34" i="35" a="1"/>
  <c r="BF34" i="35" a="1"/>
  <c r="BG34" i="35" a="1"/>
  <c r="BH34" i="35" a="1"/>
  <c r="V21" i="35"/>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W21" i="35"/>
  <c r="M22" i="35"/>
  <c r="N22" i="35" a="1"/>
  <c r="N22" i="35"/>
  <c r="O22" i="35"/>
  <c r="BR52" i="35"/>
  <c r="BT51" i="35"/>
  <c r="BT52" i="35"/>
  <c r="BU51" i="35"/>
  <c r="BU52" i="35"/>
  <c r="BV51" i="35"/>
  <c r="BV52" i="35"/>
  <c r="BW51" i="35"/>
  <c r="BW52" i="35"/>
  <c r="BX51" i="35"/>
  <c r="BX52" i="35"/>
  <c r="BY52" i="35"/>
  <c r="BZ52" i="35"/>
  <c r="CA52" i="35"/>
  <c r="BR53" i="35"/>
  <c r="BS51" i="35"/>
  <c r="BS53" i="35"/>
  <c r="BU53" i="35"/>
  <c r="BV53" i="35"/>
  <c r="BW53" i="35"/>
  <c r="BX53" i="35"/>
  <c r="BY53" i="35"/>
  <c r="BZ53" i="35"/>
  <c r="CA53" i="35"/>
  <c r="BR54" i="35"/>
  <c r="BS54" i="35"/>
  <c r="BT54" i="35"/>
  <c r="BV54" i="35"/>
  <c r="BW54" i="35"/>
  <c r="BX54" i="35"/>
  <c r="BY54" i="35"/>
  <c r="BZ54" i="35"/>
  <c r="CA54" i="35"/>
  <c r="BR55" i="35"/>
  <c r="BS55" i="35"/>
  <c r="BT55" i="35"/>
  <c r="BU55" i="35"/>
  <c r="BW55" i="35"/>
  <c r="BX55" i="35"/>
  <c r="BY55" i="35"/>
  <c r="BZ55" i="35"/>
  <c r="CA55" i="35"/>
  <c r="BR56" i="35"/>
  <c r="BS56" i="35"/>
  <c r="BT56" i="35"/>
  <c r="BU56" i="35"/>
  <c r="BV56" i="35"/>
  <c r="BX56" i="35"/>
  <c r="BY56" i="35"/>
  <c r="BZ56" i="35"/>
  <c r="CA56" i="35"/>
  <c r="BR57"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C22" i="35"/>
  <c r="E35" i="35" a="1"/>
  <c r="E35" i="35"/>
  <c r="F35" i="35" a="1"/>
  <c r="F35" i="35"/>
  <c r="G35" i="35" a="1"/>
  <c r="H35" i="35" a="1"/>
  <c r="I35" i="35" a="1"/>
  <c r="M23" i="35"/>
  <c r="N23" i="35" a="1"/>
  <c r="N23" i="35"/>
  <c r="O23" i="35"/>
  <c r="J35" i="35" a="1"/>
  <c r="M24" i="35"/>
  <c r="N24" i="35" a="1"/>
  <c r="N24" i="35"/>
  <c r="O24" i="35"/>
  <c r="K35" i="35" a="1"/>
  <c r="M25" i="35"/>
  <c r="N25" i="35" a="1"/>
  <c r="N25" i="35"/>
  <c r="O25" i="35"/>
  <c r="L35" i="35" a="1"/>
  <c r="P22" i="35"/>
  <c r="M35" i="35" a="1"/>
  <c r="N35" i="35" a="1"/>
  <c r="O35" i="35" a="1"/>
  <c r="P35" i="35" a="1"/>
  <c r="Q35" i="35" a="1"/>
  <c r="P23" i="35"/>
  <c r="R35" i="35" a="1"/>
  <c r="P24" i="35"/>
  <c r="S35" i="35" a="1"/>
  <c r="P25" i="35"/>
  <c r="T35" i="35" a="1"/>
  <c r="Q22" i="35"/>
  <c r="U35" i="35" a="1"/>
  <c r="V35" i="35" a="1"/>
  <c r="W35" i="35" a="1"/>
  <c r="X35" i="35" a="1"/>
  <c r="Y35" i="35" a="1"/>
  <c r="Q23" i="35"/>
  <c r="Z35" i="35" a="1"/>
  <c r="Q24" i="35"/>
  <c r="AA35" i="35" a="1"/>
  <c r="Q25" i="35"/>
  <c r="AB35" i="35" a="1"/>
  <c r="R22" i="35"/>
  <c r="AC35" i="35" a="1"/>
  <c r="AD35" i="35" a="1"/>
  <c r="AE35" i="35" a="1"/>
  <c r="AF35" i="35" a="1"/>
  <c r="AG35" i="35" a="1"/>
  <c r="R23" i="35"/>
  <c r="AH35" i="35" a="1"/>
  <c r="R24" i="35"/>
  <c r="AI35" i="35" a="1"/>
  <c r="R25" i="35"/>
  <c r="AJ35" i="35" a="1"/>
  <c r="S22" i="35"/>
  <c r="AK35" i="35" a="1"/>
  <c r="AL35" i="35" a="1"/>
  <c r="AM35" i="35" a="1"/>
  <c r="AN35" i="35" a="1"/>
  <c r="AO35" i="35" a="1"/>
  <c r="S23" i="35"/>
  <c r="AP35" i="35" a="1"/>
  <c r="S24" i="35"/>
  <c r="AQ35" i="35" a="1"/>
  <c r="S25" i="35"/>
  <c r="AR35" i="35" a="1"/>
  <c r="T22" i="35"/>
  <c r="AS35" i="35" a="1"/>
  <c r="AT35" i="35" a="1"/>
  <c r="AU35" i="35" a="1"/>
  <c r="AV35" i="35" a="1"/>
  <c r="AW35" i="35" a="1"/>
  <c r="T23" i="35"/>
  <c r="AX35" i="35" a="1"/>
  <c r="T24" i="35"/>
  <c r="AY35" i="35" a="1"/>
  <c r="T25" i="35"/>
  <c r="AZ35" i="35" a="1"/>
  <c r="U22" i="35"/>
  <c r="BA35" i="35" a="1"/>
  <c r="BB35" i="35" a="1"/>
  <c r="BC35" i="35" a="1"/>
  <c r="BD35" i="35" a="1"/>
  <c r="BE35" i="35" a="1"/>
  <c r="U23" i="35"/>
  <c r="BF35" i="35" a="1"/>
  <c r="U24" i="35"/>
  <c r="BG35" i="35" a="1"/>
  <c r="U25" i="35"/>
  <c r="BH35" i="35" a="1"/>
  <c r="V22" i="35"/>
  <c r="BI35" i="35" a="1"/>
  <c r="BJ35" i="35" a="1"/>
  <c r="BK35" i="35" a="1"/>
  <c r="BL35" i="35" a="1"/>
  <c r="BM35" i="35" a="1"/>
  <c r="V23" i="35"/>
  <c r="BN35" i="35" a="1"/>
  <c r="V24" i="35"/>
  <c r="BO35" i="35" a="1"/>
  <c r="V25" i="35"/>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R30" i="35"/>
  <c r="BT29" i="35"/>
  <c r="BT30" i="35"/>
  <c r="BR31" i="35"/>
  <c r="BS29" i="35"/>
  <c r="BS31" i="35"/>
  <c r="BT41" i="35"/>
  <c r="BU29" i="35"/>
  <c r="BU30" i="35"/>
  <c r="BR32" i="35"/>
  <c r="BS32" i="35"/>
  <c r="BU41" i="35"/>
  <c r="BV29" i="35"/>
  <c r="BV30" i="35"/>
  <c r="BR33" i="35"/>
  <c r="BS33" i="35"/>
  <c r="BV41" i="35"/>
  <c r="BW29" i="35"/>
  <c r="BW30" i="35"/>
  <c r="BR34" i="35"/>
  <c r="BS34" i="35"/>
  <c r="BW41" i="35"/>
  <c r="BX29" i="35"/>
  <c r="BX30" i="35"/>
  <c r="BR35"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BR41" i="35"/>
  <c r="BS40" i="35"/>
  <c r="BT40" i="35"/>
  <c r="BU40" i="35"/>
  <c r="BV40" i="35"/>
  <c r="BW40" i="35"/>
  <c r="BX40" i="35"/>
  <c r="BR42" i="35"/>
  <c r="BR43" i="35"/>
  <c r="BR44" i="35"/>
  <c r="BR45" i="35"/>
  <c r="BR46"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W22" i="35"/>
  <c r="E36" i="35" a="1"/>
  <c r="E36" i="35"/>
  <c r="F36" i="35" a="1"/>
  <c r="F36" i="35"/>
  <c r="G36" i="35" a="1"/>
  <c r="H36" i="35" a="1"/>
  <c r="I36" i="35" a="1"/>
  <c r="J36" i="35" a="1"/>
  <c r="K36" i="35" a="1"/>
  <c r="L36" i="35" a="1"/>
  <c r="M36" i="35" a="1"/>
  <c r="N36" i="35" a="1"/>
  <c r="O36" i="35" a="1"/>
  <c r="P36" i="35" a="1"/>
  <c r="Q36" i="35" a="1"/>
  <c r="R36" i="35" a="1"/>
  <c r="S36" i="35" a="1"/>
  <c r="T36" i="35" a="1"/>
  <c r="U36" i="35" a="1"/>
  <c r="V36" i="35" a="1"/>
  <c r="W36" i="35" a="1"/>
  <c r="X36" i="35" a="1"/>
  <c r="Y36" i="35" a="1"/>
  <c r="Z36" i="35" a="1"/>
  <c r="AA36" i="35" a="1"/>
  <c r="AB36" i="35" a="1"/>
  <c r="AC36" i="35" a="1"/>
  <c r="AD36" i="35" a="1"/>
  <c r="AE36" i="35" a="1"/>
  <c r="AF36" i="35" a="1"/>
  <c r="AG36" i="35" a="1"/>
  <c r="AH36" i="35" a="1"/>
  <c r="AI36" i="35" a="1"/>
  <c r="AJ36" i="35" a="1"/>
  <c r="AK36" i="35" a="1"/>
  <c r="AL36" i="35" a="1"/>
  <c r="AM36" i="35" a="1"/>
  <c r="AN36" i="35" a="1"/>
  <c r="AO36" i="35" a="1"/>
  <c r="AP36" i="35" a="1"/>
  <c r="AQ36" i="35" a="1"/>
  <c r="AR36" i="35" a="1"/>
  <c r="AS36" i="35" a="1"/>
  <c r="AT36" i="35" a="1"/>
  <c r="AU36" i="35" a="1"/>
  <c r="AV36" i="35" a="1"/>
  <c r="AW36" i="35" a="1"/>
  <c r="AX36" i="35" a="1"/>
  <c r="AY36" i="35" a="1"/>
  <c r="AZ36" i="35" a="1"/>
  <c r="BA36" i="35" a="1"/>
  <c r="BB36" i="35" a="1"/>
  <c r="BC36" i="35" a="1"/>
  <c r="BD36" i="35" a="1"/>
  <c r="BE36" i="35" a="1"/>
  <c r="BF36" i="35" a="1"/>
  <c r="BG36" i="35" a="1"/>
  <c r="BH36" i="35" a="1"/>
  <c r="BI36" i="35" a="1"/>
  <c r="BJ36" i="35" a="1"/>
  <c r="BK36" i="35" a="1"/>
  <c r="BL36" i="35" a="1"/>
  <c r="BM36" i="35" a="1"/>
  <c r="BN36" i="35" a="1"/>
  <c r="BO36" i="35" a="1"/>
  <c r="BP36" i="35" a="1"/>
  <c r="G36" i="35"/>
  <c r="H36" i="35"/>
  <c r="I36" i="35"/>
  <c r="J36" i="35"/>
  <c r="K36" i="35"/>
  <c r="L36" i="35"/>
  <c r="M36" i="35"/>
  <c r="N36" i="35"/>
  <c r="O36" i="35"/>
  <c r="P36" i="35"/>
  <c r="Q36" i="35"/>
  <c r="R36" i="35"/>
  <c r="S36" i="35"/>
  <c r="T36" i="35"/>
  <c r="U36" i="35"/>
  <c r="V36" i="35"/>
  <c r="W36" i="35"/>
  <c r="X36" i="35"/>
  <c r="Y36" i="35"/>
  <c r="Z36" i="35"/>
  <c r="AA36" i="35"/>
  <c r="AB36" i="35"/>
  <c r="AC36" i="35"/>
  <c r="AD36" i="35"/>
  <c r="AE36" i="35"/>
  <c r="AF36" i="35"/>
  <c r="AG36" i="35"/>
  <c r="AH36" i="35"/>
  <c r="AI36" i="35"/>
  <c r="AJ36" i="35"/>
  <c r="AK36" i="35"/>
  <c r="AL36" i="35"/>
  <c r="AM36" i="35"/>
  <c r="AN36" i="35"/>
  <c r="AO36" i="35"/>
  <c r="AP36" i="35"/>
  <c r="AQ36" i="35"/>
  <c r="AR36" i="35"/>
  <c r="AS36" i="35"/>
  <c r="AT36" i="35"/>
  <c r="AU36" i="35"/>
  <c r="AV36" i="35"/>
  <c r="AW36" i="35"/>
  <c r="AX36" i="35"/>
  <c r="AY36" i="35"/>
  <c r="AZ36" i="35"/>
  <c r="BA36" i="35"/>
  <c r="BB36" i="35"/>
  <c r="BC36" i="35"/>
  <c r="BD36" i="35"/>
  <c r="BE36" i="35"/>
  <c r="BF36" i="35"/>
  <c r="BG36" i="35"/>
  <c r="BH36" i="35"/>
  <c r="BI36" i="35"/>
  <c r="BJ36" i="35"/>
  <c r="BK36" i="35"/>
  <c r="BL36" i="35"/>
  <c r="BM36" i="35"/>
  <c r="BN36" i="35"/>
  <c r="BO36" i="35"/>
  <c r="BP36" i="35"/>
  <c r="AA23" i="35"/>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W23" i="35"/>
  <c r="E37" i="35" a="1"/>
  <c r="E37" i="35"/>
  <c r="F37" i="35" a="1"/>
  <c r="F37" i="35"/>
  <c r="G37" i="35" a="1"/>
  <c r="H37" i="35" a="1"/>
  <c r="I37" i="35" a="1"/>
  <c r="J37" i="35" a="1"/>
  <c r="K37" i="35" a="1"/>
  <c r="L37" i="35" a="1"/>
  <c r="M37" i="35" a="1"/>
  <c r="N37" i="35" a="1"/>
  <c r="O37" i="35" a="1"/>
  <c r="P37" i="35" a="1"/>
  <c r="Q37" i="35" a="1"/>
  <c r="R37" i="35" a="1"/>
  <c r="S37" i="35" a="1"/>
  <c r="T37" i="35" a="1"/>
  <c r="U37" i="35" a="1"/>
  <c r="V37" i="35" a="1"/>
  <c r="W37" i="35" a="1"/>
  <c r="X37" i="35" a="1"/>
  <c r="Y37" i="35" a="1"/>
  <c r="Z37" i="35" a="1"/>
  <c r="AA37" i="35" a="1"/>
  <c r="AB37" i="35" a="1"/>
  <c r="AC37" i="35" a="1"/>
  <c r="AD37" i="35" a="1"/>
  <c r="AE37" i="35" a="1"/>
  <c r="AF37" i="35" a="1"/>
  <c r="AG37" i="35" a="1"/>
  <c r="AH37" i="35" a="1"/>
  <c r="AI37" i="35" a="1"/>
  <c r="AJ37" i="35" a="1"/>
  <c r="AK37" i="35" a="1"/>
  <c r="AL37" i="35" a="1"/>
  <c r="AM37" i="35" a="1"/>
  <c r="AN37" i="35" a="1"/>
  <c r="AO37" i="35" a="1"/>
  <c r="AP37" i="35" a="1"/>
  <c r="AQ37" i="35" a="1"/>
  <c r="AR37" i="35" a="1"/>
  <c r="AS37" i="35" a="1"/>
  <c r="AT37" i="35" a="1"/>
  <c r="AU37" i="35" a="1"/>
  <c r="AV37" i="35" a="1"/>
  <c r="AW37" i="35" a="1"/>
  <c r="AX37" i="35" a="1"/>
  <c r="AY37" i="35" a="1"/>
  <c r="AZ37" i="35" a="1"/>
  <c r="BA37" i="35" a="1"/>
  <c r="BB37" i="35" a="1"/>
  <c r="BC37" i="35" a="1"/>
  <c r="BD37" i="35" a="1"/>
  <c r="BE37" i="35" a="1"/>
  <c r="BF37" i="35" a="1"/>
  <c r="BG37" i="35" a="1"/>
  <c r="BH37" i="35" a="1"/>
  <c r="BI37" i="35" a="1"/>
  <c r="BJ37" i="35" a="1"/>
  <c r="BK37" i="35" a="1"/>
  <c r="BL37" i="35" a="1"/>
  <c r="BM37" i="35" a="1"/>
  <c r="BN37" i="35" a="1"/>
  <c r="BO37" i="35" a="1"/>
  <c r="BP37" i="35" a="1"/>
  <c r="G37" i="35"/>
  <c r="H37" i="35"/>
  <c r="I37" i="35"/>
  <c r="J37" i="35"/>
  <c r="K37" i="35"/>
  <c r="L37" i="35"/>
  <c r="M37" i="35"/>
  <c r="N37" i="35"/>
  <c r="O37" i="35"/>
  <c r="P37" i="35"/>
  <c r="Q37" i="35"/>
  <c r="R37" i="35"/>
  <c r="S37" i="35"/>
  <c r="T37" i="35"/>
  <c r="U37" i="35"/>
  <c r="V37" i="35"/>
  <c r="W37" i="35"/>
  <c r="X37" i="35"/>
  <c r="Y37" i="35"/>
  <c r="Z37" i="35"/>
  <c r="AA37" i="35"/>
  <c r="AB37" i="35"/>
  <c r="AC37" i="35"/>
  <c r="AD37" i="35"/>
  <c r="AE37" i="35"/>
  <c r="AF37" i="35"/>
  <c r="AG37" i="35"/>
  <c r="AH37" i="35"/>
  <c r="AI37" i="35"/>
  <c r="AJ37" i="35"/>
  <c r="AK37" i="35"/>
  <c r="AL37" i="35"/>
  <c r="AM37" i="35"/>
  <c r="AN37" i="35"/>
  <c r="AO37" i="35"/>
  <c r="AP37" i="35"/>
  <c r="AQ37" i="35"/>
  <c r="AR37" i="35"/>
  <c r="AS37" i="35"/>
  <c r="AT37" i="35"/>
  <c r="AU37" i="35"/>
  <c r="AV37" i="35"/>
  <c r="AW37" i="35"/>
  <c r="AX37" i="35"/>
  <c r="AY37" i="35"/>
  <c r="AZ37" i="35"/>
  <c r="BA37" i="35"/>
  <c r="BB37" i="35"/>
  <c r="BC37" i="35"/>
  <c r="BD37" i="35"/>
  <c r="BE37" i="35"/>
  <c r="BF37" i="35"/>
  <c r="BG37" i="35"/>
  <c r="BH37" i="35"/>
  <c r="BI37" i="35"/>
  <c r="BJ37" i="35"/>
  <c r="BK37" i="35"/>
  <c r="BL37" i="35"/>
  <c r="BM37" i="35"/>
  <c r="BN37" i="35"/>
  <c r="BO37" i="35"/>
  <c r="BP37" i="35"/>
  <c r="AA24"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W24" i="35"/>
  <c r="E38" i="35" a="1"/>
  <c r="E38" i="35"/>
  <c r="F38" i="35" a="1"/>
  <c r="F38" i="35"/>
  <c r="G38" i="35" a="1"/>
  <c r="H38" i="35" a="1"/>
  <c r="I38" i="35" a="1"/>
  <c r="J38" i="35" a="1"/>
  <c r="K38" i="35" a="1"/>
  <c r="L38" i="35" a="1"/>
  <c r="M38" i="35" a="1"/>
  <c r="N38" i="35" a="1"/>
  <c r="O38" i="35" a="1"/>
  <c r="P38" i="35" a="1"/>
  <c r="Q38" i="35" a="1"/>
  <c r="R38" i="35" a="1"/>
  <c r="S38" i="35" a="1"/>
  <c r="T38" i="35" a="1"/>
  <c r="U38" i="35" a="1"/>
  <c r="V38" i="35" a="1"/>
  <c r="W38" i="35" a="1"/>
  <c r="X38" i="35" a="1"/>
  <c r="Y38" i="35" a="1"/>
  <c r="Z38" i="35" a="1"/>
  <c r="AA38" i="35" a="1"/>
  <c r="AB38" i="35" a="1"/>
  <c r="AC38" i="35" a="1"/>
  <c r="AD38" i="35" a="1"/>
  <c r="AE38" i="35" a="1"/>
  <c r="AF38" i="35" a="1"/>
  <c r="AG38" i="35" a="1"/>
  <c r="AH38" i="35" a="1"/>
  <c r="AI38" i="35" a="1"/>
  <c r="AJ38" i="35" a="1"/>
  <c r="AK38" i="35" a="1"/>
  <c r="AL38" i="35" a="1"/>
  <c r="AM38" i="35" a="1"/>
  <c r="AN38" i="35" a="1"/>
  <c r="AO38" i="35" a="1"/>
  <c r="AP38" i="35" a="1"/>
  <c r="AQ38" i="35" a="1"/>
  <c r="AR38" i="35" a="1"/>
  <c r="AS38" i="35" a="1"/>
  <c r="AT38" i="35" a="1"/>
  <c r="AU38" i="35" a="1"/>
  <c r="AV38" i="35" a="1"/>
  <c r="AW38" i="35" a="1"/>
  <c r="AX38" i="35" a="1"/>
  <c r="AY38" i="35" a="1"/>
  <c r="AZ38" i="35" a="1"/>
  <c r="BA38" i="35" a="1"/>
  <c r="BB38" i="35" a="1"/>
  <c r="BC38" i="35" a="1"/>
  <c r="BD38" i="35" a="1"/>
  <c r="BE38" i="35" a="1"/>
  <c r="BF38" i="35" a="1"/>
  <c r="BG38" i="35" a="1"/>
  <c r="BH38" i="35" a="1"/>
  <c r="BI38" i="35" a="1"/>
  <c r="BJ38" i="35" a="1"/>
  <c r="BK38" i="35" a="1"/>
  <c r="BL38" i="35" a="1"/>
  <c r="BM38" i="35" a="1"/>
  <c r="BN38" i="35" a="1"/>
  <c r="BO38" i="35" a="1"/>
  <c r="BP38" i="35" a="1"/>
  <c r="G38" i="35"/>
  <c r="H38" i="35"/>
  <c r="I38"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AJ38" i="35"/>
  <c r="AK38" i="35"/>
  <c r="AL38" i="35"/>
  <c r="AM38" i="35"/>
  <c r="AN38" i="35"/>
  <c r="AO38" i="35"/>
  <c r="AP38" i="35"/>
  <c r="AQ38" i="35"/>
  <c r="AR38" i="35"/>
  <c r="AS38" i="35"/>
  <c r="AT38" i="35"/>
  <c r="AU38" i="35"/>
  <c r="AV38" i="35"/>
  <c r="AW38" i="35"/>
  <c r="AX38" i="35"/>
  <c r="AY38" i="35"/>
  <c r="AZ38" i="35"/>
  <c r="BA38" i="35"/>
  <c r="BB38" i="35"/>
  <c r="BC38" i="35"/>
  <c r="BD38" i="35"/>
  <c r="BE38" i="35"/>
  <c r="BF38" i="35"/>
  <c r="BG38" i="35"/>
  <c r="BH38" i="35"/>
  <c r="BI38" i="35"/>
  <c r="BJ38" i="35"/>
  <c r="BK38" i="35"/>
  <c r="BL38" i="35"/>
  <c r="BM38" i="35"/>
  <c r="BN38" i="35"/>
  <c r="BO38" i="35"/>
  <c r="BP38" i="35"/>
  <c r="AA25"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W25" i="35"/>
  <c r="AO42" i="6"/>
  <c r="I12" i="41"/>
  <c r="K12" i="41"/>
  <c r="AC12" i="41"/>
  <c r="AD12" i="41"/>
  <c r="U12" i="41"/>
  <c r="I13" i="41"/>
  <c r="K13" i="41"/>
  <c r="AC13" i="41"/>
  <c r="AD13" i="41"/>
  <c r="U13" i="41"/>
  <c r="I14" i="41"/>
  <c r="K14" i="41"/>
  <c r="AC14" i="41"/>
  <c r="AD14" i="41"/>
  <c r="U14" i="41"/>
  <c r="I15" i="41"/>
  <c r="K15" i="41"/>
  <c r="AC15" i="41"/>
  <c r="AD15" i="41"/>
  <c r="U15" i="41"/>
  <c r="I16" i="41"/>
  <c r="K16" i="41"/>
  <c r="AC16" i="41"/>
  <c r="AD16" i="41"/>
  <c r="U16" i="41"/>
  <c r="I17" i="41"/>
  <c r="K17" i="41"/>
  <c r="AC17" i="41"/>
  <c r="AD17" i="41"/>
  <c r="U17" i="41"/>
  <c r="AQ42" i="6"/>
  <c r="Y17" i="35"/>
  <c r="X17" i="35"/>
  <c r="AO43" i="6"/>
  <c r="AQ43" i="6"/>
  <c r="Y18" i="35"/>
  <c r="X18" i="35"/>
  <c r="AO44" i="6"/>
  <c r="AQ44" i="6"/>
  <c r="Y19" i="35"/>
  <c r="X19" i="35"/>
  <c r="AO45" i="6"/>
  <c r="AQ45" i="6"/>
  <c r="Y20" i="35"/>
  <c r="X20" i="35"/>
  <c r="AO46" i="6"/>
  <c r="AQ46" i="6"/>
  <c r="Y21" i="35"/>
  <c r="X21" i="35"/>
  <c r="AO47" i="6"/>
  <c r="AQ47" i="6"/>
  <c r="Y22" i="35"/>
  <c r="X22" i="35"/>
  <c r="X23" i="35"/>
  <c r="X24" i="35"/>
  <c r="X25" i="35"/>
  <c r="E4" i="35"/>
  <c r="D4" i="35"/>
  <c r="E5" i="35"/>
  <c r="D5" i="35"/>
  <c r="E6" i="35"/>
  <c r="D6" i="35"/>
  <c r="E7" i="35"/>
  <c r="D7" i="35"/>
  <c r="E8" i="35"/>
  <c r="D8" i="35"/>
  <c r="E9" i="35"/>
  <c r="D9" i="35"/>
  <c r="E10" i="35"/>
  <c r="D10" i="35"/>
  <c r="E11" i="35"/>
  <c r="D11" i="35"/>
  <c r="E12" i="35"/>
  <c r="D12" i="35"/>
  <c r="C4" i="35"/>
  <c r="C5" i="35"/>
  <c r="C6" i="35"/>
  <c r="M4" i="35"/>
  <c r="N4" i="35"/>
  <c r="L4" i="35"/>
  <c r="O3" i="35"/>
  <c r="P3" i="35"/>
  <c r="Q3" i="35"/>
  <c r="R3" i="35"/>
  <c r="S3" i="35"/>
  <c r="T3" i="35"/>
  <c r="U3" i="35"/>
  <c r="V3" i="35"/>
  <c r="O4" i="35"/>
  <c r="P4" i="35"/>
  <c r="Q4" i="35"/>
  <c r="R4" i="35"/>
  <c r="W3" i="35"/>
  <c r="W4" i="35"/>
  <c r="Y4" i="35"/>
  <c r="W5" i="35"/>
  <c r="Y5" i="35"/>
  <c r="W6" i="35"/>
  <c r="Y6" i="35"/>
  <c r="W7" i="35"/>
  <c r="Y7" i="35"/>
  <c r="W8" i="35"/>
  <c r="Y8" i="35"/>
  <c r="W9" i="35"/>
  <c r="Y9" i="35"/>
  <c r="W10" i="35"/>
  <c r="Y10" i="35"/>
  <c r="W11" i="35"/>
  <c r="Y11" i="35"/>
  <c r="W12" i="35"/>
  <c r="Y12" i="35"/>
  <c r="Z4" i="35"/>
  <c r="Z5" i="35"/>
  <c r="Z6" i="35"/>
  <c r="Z7" i="35"/>
  <c r="Z8" i="35"/>
  <c r="Z9" i="35"/>
  <c r="Z10" i="35"/>
  <c r="Z11" i="35"/>
  <c r="Z12" i="35"/>
  <c r="AA4" i="35"/>
  <c r="X4" i="35"/>
  <c r="AB3" i="35"/>
  <c r="AB4" i="35"/>
  <c r="AD4" i="35"/>
  <c r="AB5" i="35"/>
  <c r="AD5" i="35"/>
  <c r="AB6" i="35"/>
  <c r="AD6" i="35"/>
  <c r="AB7" i="35"/>
  <c r="AD7" i="35"/>
  <c r="AB8" i="35"/>
  <c r="AD8" i="35"/>
  <c r="AB9" i="35"/>
  <c r="AD9" i="35"/>
  <c r="AB10" i="35"/>
  <c r="AD10" i="35"/>
  <c r="AB11" i="35"/>
  <c r="AD11" i="35"/>
  <c r="AB12" i="35"/>
  <c r="AD12" i="35"/>
  <c r="AE4" i="35"/>
  <c r="AE5" i="35"/>
  <c r="AE6" i="35"/>
  <c r="AE7" i="35"/>
  <c r="AE8" i="35"/>
  <c r="AE9" i="35"/>
  <c r="AE10" i="35"/>
  <c r="AE11" i="35"/>
  <c r="AE12" i="35"/>
  <c r="AF4" i="35"/>
  <c r="AC4" i="35"/>
  <c r="AG3" i="35"/>
  <c r="AG4" i="35"/>
  <c r="AI4" i="35"/>
  <c r="AG5" i="35"/>
  <c r="AI5" i="35"/>
  <c r="AG6" i="35"/>
  <c r="AI6" i="35"/>
  <c r="AG7" i="35"/>
  <c r="AI7" i="35"/>
  <c r="AG8" i="35"/>
  <c r="AI8" i="35"/>
  <c r="AG9" i="35"/>
  <c r="AI9" i="35"/>
  <c r="AG10" i="35"/>
  <c r="AI10" i="35"/>
  <c r="AG11" i="35"/>
  <c r="AI11" i="35"/>
  <c r="AG12" i="35"/>
  <c r="AI12" i="35"/>
  <c r="AJ4" i="35"/>
  <c r="AJ5" i="35"/>
  <c r="AJ6" i="35"/>
  <c r="AJ7" i="35"/>
  <c r="AJ8" i="35"/>
  <c r="AJ9" i="35"/>
  <c r="AJ10" i="35"/>
  <c r="AJ11" i="35"/>
  <c r="AJ12" i="35"/>
  <c r="AK4" i="35"/>
  <c r="AH4" i="35"/>
  <c r="AL3" i="35"/>
  <c r="AL4" i="35"/>
  <c r="AN4" i="35"/>
  <c r="AL5" i="35"/>
  <c r="AN5" i="35"/>
  <c r="AL6" i="35"/>
  <c r="AN6" i="35"/>
  <c r="AL7" i="35"/>
  <c r="AN7" i="35"/>
  <c r="AL8" i="35"/>
  <c r="AN8" i="35"/>
  <c r="AL9" i="35"/>
  <c r="AN9" i="35"/>
  <c r="AL10" i="35"/>
  <c r="AN10" i="35"/>
  <c r="AL11" i="35"/>
  <c r="AN11" i="35"/>
  <c r="AL12" i="35"/>
  <c r="AN12" i="35"/>
  <c r="AO4" i="35"/>
  <c r="AO5" i="35"/>
  <c r="AO6" i="35"/>
  <c r="AO7" i="35"/>
  <c r="AO8" i="35"/>
  <c r="AO9" i="35"/>
  <c r="AO10" i="35"/>
  <c r="AO11" i="35"/>
  <c r="AO12" i="35"/>
  <c r="AP4" i="35"/>
  <c r="AM4" i="35"/>
  <c r="AR4" i="35"/>
  <c r="AS4" i="35"/>
  <c r="M5" i="35"/>
  <c r="N5" i="35"/>
  <c r="L5" i="35"/>
  <c r="AA5" i="35"/>
  <c r="X5" i="35"/>
  <c r="AF5" i="35"/>
  <c r="AC5" i="35"/>
  <c r="AK5" i="35"/>
  <c r="AH5" i="35"/>
  <c r="AP5" i="35"/>
  <c r="AM5" i="35"/>
  <c r="AR5" i="35"/>
  <c r="AS5" i="35"/>
  <c r="M6" i="35"/>
  <c r="N6" i="35"/>
  <c r="L6" i="35"/>
  <c r="AA6" i="35"/>
  <c r="X6" i="35"/>
  <c r="AF6" i="35"/>
  <c r="AC6" i="35"/>
  <c r="AK6" i="35"/>
  <c r="AH6" i="35"/>
  <c r="AP6" i="35"/>
  <c r="AM6" i="35"/>
  <c r="AR6" i="35"/>
  <c r="AS6" i="35"/>
  <c r="C7" i="35"/>
  <c r="M7" i="35"/>
  <c r="N7" i="35"/>
  <c r="L7" i="35"/>
  <c r="AA7" i="35"/>
  <c r="X7" i="35"/>
  <c r="AF7" i="35"/>
  <c r="AC7" i="35"/>
  <c r="AK7" i="35"/>
  <c r="AH7" i="35"/>
  <c r="AP7" i="35"/>
  <c r="AM7" i="35"/>
  <c r="AR7" i="35"/>
  <c r="AS7" i="35"/>
  <c r="C8" i="35"/>
  <c r="M8" i="35"/>
  <c r="N8" i="35"/>
  <c r="L8" i="35"/>
  <c r="AA8" i="35"/>
  <c r="X8" i="35"/>
  <c r="AF8" i="35"/>
  <c r="AC8" i="35"/>
  <c r="AK8" i="35"/>
  <c r="AH8" i="35"/>
  <c r="AP8" i="35"/>
  <c r="AM8" i="35"/>
  <c r="AR8" i="35"/>
  <c r="AS8" i="35"/>
  <c r="C9" i="35"/>
  <c r="M9" i="35"/>
  <c r="N9" i="35"/>
  <c r="L9" i="35"/>
  <c r="AA9" i="35"/>
  <c r="X9" i="35"/>
  <c r="AF9" i="35"/>
  <c r="AC9" i="35"/>
  <c r="AK9" i="35"/>
  <c r="AH9" i="35"/>
  <c r="AP9" i="35"/>
  <c r="AM9" i="35"/>
  <c r="AR9" i="35"/>
  <c r="AS9" i="35"/>
  <c r="C10" i="35"/>
  <c r="M10" i="35"/>
  <c r="N10" i="35"/>
  <c r="L10" i="35"/>
  <c r="AA10" i="35"/>
  <c r="X10" i="35"/>
  <c r="AF10" i="35"/>
  <c r="AC10" i="35"/>
  <c r="AK10" i="35"/>
  <c r="AH10" i="35"/>
  <c r="AP10" i="35"/>
  <c r="AM10" i="35"/>
  <c r="AR10" i="35"/>
  <c r="AS10" i="35"/>
  <c r="C11" i="35"/>
  <c r="M11" i="35"/>
  <c r="N11" i="35"/>
  <c r="L11" i="35"/>
  <c r="AA11" i="35"/>
  <c r="X11" i="35"/>
  <c r="AF11" i="35"/>
  <c r="AC11" i="35"/>
  <c r="AK11" i="35"/>
  <c r="AH11" i="35"/>
  <c r="AP11" i="35"/>
  <c r="AM11" i="35"/>
  <c r="AR11" i="35"/>
  <c r="AS11" i="35"/>
  <c r="C12" i="35"/>
  <c r="M12" i="35"/>
  <c r="N12" i="35"/>
  <c r="L12" i="35"/>
  <c r="AA12" i="35"/>
  <c r="X12" i="35"/>
  <c r="AF12" i="35"/>
  <c r="AC12" i="35"/>
  <c r="AK12" i="35"/>
  <c r="AH12" i="35"/>
  <c r="AP12" i="35"/>
  <c r="AM12" i="35"/>
  <c r="AR12" i="35"/>
  <c r="AS12" i="35"/>
  <c r="Y47" i="6"/>
  <c r="Y46" i="6"/>
  <c r="Y45" i="6"/>
  <c r="Y44" i="6"/>
  <c r="Y43" i="6"/>
  <c r="Y42" i="6"/>
  <c r="V64" i="25"/>
  <c r="AA64" i="25"/>
  <c r="V65" i="25"/>
  <c r="AA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AA109" i="25"/>
  <c r="AA110" i="25"/>
  <c r="AA111" i="25"/>
  <c r="AA112" i="25"/>
  <c r="AA113" i="25"/>
  <c r="AA114" i="25"/>
  <c r="AA115" i="25"/>
  <c r="AA116" i="25"/>
  <c r="AA117" i="25"/>
  <c r="AA118" i="25"/>
  <c r="AA119" i="25"/>
  <c r="AA120" i="25"/>
  <c r="AA121" i="25"/>
  <c r="AA122" i="25"/>
  <c r="AA12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11" i="25"/>
  <c r="W112" i="25"/>
  <c r="W113" i="25"/>
  <c r="W114" i="25"/>
  <c r="W115" i="25"/>
  <c r="W116" i="25"/>
  <c r="W117" i="25"/>
  <c r="W118" i="25"/>
  <c r="W119" i="25"/>
  <c r="W120" i="25"/>
  <c r="W121" i="25"/>
  <c r="W122" i="25"/>
  <c r="W123" i="25"/>
  <c r="K4" i="25"/>
  <c r="K5" i="25"/>
  <c r="K6" i="25"/>
  <c r="K7" i="25"/>
  <c r="K8" i="25"/>
  <c r="K9" i="25"/>
  <c r="K10" i="25"/>
  <c r="K11" i="25"/>
  <c r="K12" i="25"/>
  <c r="K13" i="25"/>
  <c r="X64" i="25"/>
  <c r="Y64" i="25"/>
  <c r="AG64" i="25"/>
  <c r="AH64" i="25"/>
  <c r="AE64" i="25"/>
  <c r="X65" i="25"/>
  <c r="Y65" i="25"/>
  <c r="AG65" i="25"/>
  <c r="AH65" i="25"/>
  <c r="AE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X94" i="25"/>
  <c r="Y94" i="25"/>
  <c r="AG94" i="25"/>
  <c r="AH94" i="25"/>
  <c r="AE94" i="25"/>
  <c r="X95" i="25"/>
  <c r="Y95" i="25"/>
  <c r="AG95" i="25"/>
  <c r="AH95" i="25"/>
  <c r="AE95" i="25"/>
  <c r="X96" i="25"/>
  <c r="Y96" i="25"/>
  <c r="AG96" i="25"/>
  <c r="AH96" i="25"/>
  <c r="AE96" i="25"/>
  <c r="X97" i="25"/>
  <c r="Y97" i="25"/>
  <c r="AG97" i="25"/>
  <c r="AH97" i="25"/>
  <c r="AE97" i="25"/>
  <c r="X98" i="25"/>
  <c r="Y98" i="25"/>
  <c r="AG98" i="25"/>
  <c r="AH98" i="25"/>
  <c r="AE98" i="25"/>
  <c r="X99" i="25"/>
  <c r="Y99" i="25"/>
  <c r="AG99" i="25"/>
  <c r="AH99" i="25"/>
  <c r="AE99" i="25"/>
  <c r="X100" i="25"/>
  <c r="Y100" i="25"/>
  <c r="AG100" i="25"/>
  <c r="AH100" i="25"/>
  <c r="AE100" i="25"/>
  <c r="X101" i="25"/>
  <c r="Y101" i="25"/>
  <c r="AG101" i="25"/>
  <c r="AH101" i="25"/>
  <c r="AE101" i="25"/>
  <c r="X102" i="25"/>
  <c r="Y102" i="25"/>
  <c r="AG102" i="25"/>
  <c r="AH102" i="25"/>
  <c r="AE102" i="25"/>
  <c r="X103" i="25"/>
  <c r="Y103" i="25"/>
  <c r="AG103" i="25"/>
  <c r="AH103" i="25"/>
  <c r="AE103" i="25"/>
  <c r="AE104" i="25"/>
  <c r="AE105" i="25"/>
  <c r="AE106" i="25"/>
  <c r="AE107" i="25"/>
  <c r="AE108" i="25"/>
  <c r="AE109" i="25"/>
  <c r="AE110" i="25"/>
  <c r="AE111" i="25"/>
  <c r="AE112" i="25"/>
  <c r="AE113" i="25"/>
  <c r="AE114" i="25"/>
  <c r="AE115" i="25"/>
  <c r="AE116" i="25"/>
  <c r="AE117" i="25"/>
  <c r="AE118" i="25"/>
  <c r="AE119" i="25"/>
  <c r="AE120" i="25"/>
  <c r="AE121" i="25"/>
  <c r="AE122" i="25"/>
  <c r="AE123" i="25"/>
  <c r="AF64" i="25"/>
  <c r="AF65"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J4" i="25"/>
  <c r="K17" i="25"/>
  <c r="G4" i="25"/>
  <c r="H4" i="25"/>
  <c r="I4" i="25"/>
  <c r="J17" i="25"/>
  <c r="L17" i="25"/>
  <c r="J5" i="25"/>
  <c r="K18" i="25"/>
  <c r="G5" i="25"/>
  <c r="H5" i="25"/>
  <c r="I5" i="25"/>
  <c r="J18" i="25"/>
  <c r="L18" i="25"/>
  <c r="J6" i="25"/>
  <c r="K19" i="25"/>
  <c r="G6" i="25"/>
  <c r="H6" i="25"/>
  <c r="I6" i="25"/>
  <c r="J19" i="25"/>
  <c r="L19" i="25"/>
  <c r="J7" i="25"/>
  <c r="K20" i="25"/>
  <c r="G7" i="25"/>
  <c r="H7" i="25"/>
  <c r="I7" i="25"/>
  <c r="J20" i="25"/>
  <c r="L20" i="25"/>
  <c r="J8" i="25"/>
  <c r="K21" i="25"/>
  <c r="G8" i="25"/>
  <c r="H8" i="25"/>
  <c r="I8" i="25"/>
  <c r="J21" i="25"/>
  <c r="L21" i="25"/>
  <c r="J9" i="25"/>
  <c r="K22" i="25"/>
  <c r="X104" i="25"/>
  <c r="X105" i="25"/>
  <c r="X106" i="25"/>
  <c r="X107" i="25"/>
  <c r="X108" i="25"/>
  <c r="X109" i="25"/>
  <c r="X110" i="25"/>
  <c r="X111" i="25"/>
  <c r="X112" i="25"/>
  <c r="X113" i="25"/>
  <c r="X114" i="25"/>
  <c r="X115" i="25"/>
  <c r="X116" i="25"/>
  <c r="X117" i="25"/>
  <c r="X118" i="25"/>
  <c r="X119" i="25"/>
  <c r="X120" i="25"/>
  <c r="X121" i="25"/>
  <c r="X122" i="25"/>
  <c r="X123" i="25"/>
  <c r="Y104" i="25"/>
  <c r="Y105" i="25"/>
  <c r="Y106" i="25"/>
  <c r="Y107" i="25"/>
  <c r="Y108" i="25"/>
  <c r="Y109" i="25"/>
  <c r="Y110" i="25"/>
  <c r="Y111" i="25"/>
  <c r="Y112" i="25"/>
  <c r="Y113" i="25"/>
  <c r="Y114" i="25"/>
  <c r="Y115" i="25"/>
  <c r="Y116" i="25"/>
  <c r="Y117" i="25"/>
  <c r="Y118" i="25"/>
  <c r="Y119" i="25"/>
  <c r="Y120" i="25"/>
  <c r="Y121" i="25"/>
  <c r="Y122" i="25"/>
  <c r="Y123" i="25"/>
  <c r="AG104" i="25"/>
  <c r="AG105" i="25"/>
  <c r="AG106" i="25"/>
  <c r="AG107" i="25"/>
  <c r="AG108" i="25"/>
  <c r="AG109" i="25"/>
  <c r="AG110" i="25"/>
  <c r="AG111" i="25"/>
  <c r="AG112" i="25"/>
  <c r="AG113" i="25"/>
  <c r="AG114" i="25"/>
  <c r="AG115" i="25"/>
  <c r="AG116" i="25"/>
  <c r="AG117" i="25"/>
  <c r="AG118" i="25"/>
  <c r="AG119" i="25"/>
  <c r="AG120" i="25"/>
  <c r="AG121" i="25"/>
  <c r="AG122" i="25"/>
  <c r="AG123" i="25"/>
  <c r="AH104" i="25"/>
  <c r="AH105" i="25"/>
  <c r="AH106" i="25"/>
  <c r="AH107" i="25"/>
  <c r="AH108" i="25"/>
  <c r="AH109" i="25"/>
  <c r="AH110" i="25"/>
  <c r="AH111" i="25"/>
  <c r="AH112" i="25"/>
  <c r="AH113" i="25"/>
  <c r="AH114" i="25"/>
  <c r="AH115" i="25"/>
  <c r="AH116" i="25"/>
  <c r="AH117" i="25"/>
  <c r="AH118" i="25"/>
  <c r="AH119" i="25"/>
  <c r="AH120" i="25"/>
  <c r="AH121" i="25"/>
  <c r="AH122" i="25"/>
  <c r="AH123" i="25"/>
  <c r="G9" i="25"/>
  <c r="H9" i="25"/>
  <c r="I9" i="25"/>
  <c r="J22" i="25"/>
  <c r="L22" i="25"/>
  <c r="J10" i="25"/>
  <c r="K23" i="25"/>
  <c r="G10" i="25"/>
  <c r="H10" i="25"/>
  <c r="I10" i="25"/>
  <c r="J23" i="25"/>
  <c r="L23" i="25"/>
  <c r="J11" i="25"/>
  <c r="K24" i="25"/>
  <c r="G11" i="25"/>
  <c r="H11" i="25"/>
  <c r="I11" i="25"/>
  <c r="J24" i="25"/>
  <c r="L24" i="25"/>
  <c r="J12" i="25"/>
  <c r="K25" i="25"/>
  <c r="G12" i="25"/>
  <c r="H12" i="25"/>
  <c r="I12" i="25"/>
  <c r="J25" i="25"/>
  <c r="L25" i="25"/>
  <c r="M17" i="25"/>
  <c r="N17" i="25" a="1"/>
  <c r="N17" i="25"/>
  <c r="O17" i="25"/>
  <c r="C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C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C19" i="25"/>
  <c r="E32" i="25" a="1"/>
  <c r="E32" i="25"/>
  <c r="F32" i="25" a="1"/>
  <c r="F32" i="25"/>
  <c r="G32" i="25" a="1"/>
  <c r="H32" i="25" a="1"/>
  <c r="I32" i="25" a="1"/>
  <c r="J32" i="25" a="1"/>
  <c r="K32" i="25" a="1"/>
  <c r="L32" i="25" a="1"/>
  <c r="P19" i="25"/>
  <c r="M32" i="25" a="1"/>
  <c r="N32" i="25" a="1"/>
  <c r="O32" i="25" a="1"/>
  <c r="P32" i="25" a="1"/>
  <c r="Q32" i="25" a="1"/>
  <c r="R32" i="25" a="1"/>
  <c r="S32" i="25" a="1"/>
  <c r="T32" i="25" a="1"/>
  <c r="Q19" i="25"/>
  <c r="BR52" i="25"/>
  <c r="BT51" i="25"/>
  <c r="BT52" i="25"/>
  <c r="BU51" i="25"/>
  <c r="BU52" i="25"/>
  <c r="BV51" i="25"/>
  <c r="BV52" i="25"/>
  <c r="BW51" i="25"/>
  <c r="BW52" i="25"/>
  <c r="BX51" i="25"/>
  <c r="BX52" i="25"/>
  <c r="BY52" i="25"/>
  <c r="BZ52" i="25"/>
  <c r="CA52" i="25"/>
  <c r="BR53" i="25"/>
  <c r="BS51" i="25"/>
  <c r="BS53" i="25"/>
  <c r="BU53" i="25"/>
  <c r="BV53" i="25"/>
  <c r="BW53" i="25"/>
  <c r="BX53" i="25"/>
  <c r="BY53" i="25"/>
  <c r="BZ53" i="25"/>
  <c r="CA53" i="25"/>
  <c r="BR54" i="25"/>
  <c r="BS54" i="25"/>
  <c r="BT54" i="25"/>
  <c r="BV54" i="25"/>
  <c r="BW54" i="25"/>
  <c r="BX54" i="25"/>
  <c r="BY54" i="25"/>
  <c r="BZ54" i="25"/>
  <c r="CA54" i="25"/>
  <c r="BR55" i="25"/>
  <c r="BS55" i="25"/>
  <c r="BT55" i="25"/>
  <c r="BU55" i="25"/>
  <c r="BW55" i="25"/>
  <c r="BX55" i="25"/>
  <c r="BY55" i="25"/>
  <c r="BZ55" i="25"/>
  <c r="CA55" i="25"/>
  <c r="BR56" i="25"/>
  <c r="BS56" i="25"/>
  <c r="BT56" i="25"/>
  <c r="BU56" i="25"/>
  <c r="BV56" i="25"/>
  <c r="BX56" i="25"/>
  <c r="BY56" i="25"/>
  <c r="BZ56" i="25"/>
  <c r="CA56" i="25"/>
  <c r="BR57"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U32" i="25" a="1"/>
  <c r="V32" i="25" a="1"/>
  <c r="M20" i="25"/>
  <c r="N20" i="25" a="1"/>
  <c r="N20" i="25"/>
  <c r="Q20" i="25"/>
  <c r="W32" i="25" a="1"/>
  <c r="M21" i="25"/>
  <c r="N21" i="25" a="1"/>
  <c r="N21" i="25"/>
  <c r="C21" i="25"/>
  <c r="Q21" i="25"/>
  <c r="X32" i="25" a="1"/>
  <c r="M22" i="25"/>
  <c r="N22" i="25" a="1"/>
  <c r="N22" i="25"/>
  <c r="Q22" i="25"/>
  <c r="Y32" i="25" a="1"/>
  <c r="M23" i="25"/>
  <c r="N23" i="25" a="1"/>
  <c r="N23" i="25"/>
  <c r="Q23" i="25"/>
  <c r="Z32" i="25" a="1"/>
  <c r="M24" i="25"/>
  <c r="N24" i="25" a="1"/>
  <c r="N24" i="25"/>
  <c r="Q24" i="25"/>
  <c r="AA32" i="25" a="1"/>
  <c r="M25" i="25"/>
  <c r="N25" i="25" a="1"/>
  <c r="N25" i="25"/>
  <c r="Q25" i="25"/>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BR30" i="25"/>
  <c r="BT29" i="25"/>
  <c r="BT30" i="25"/>
  <c r="BR31" i="25"/>
  <c r="BS29" i="25"/>
  <c r="BS31" i="25"/>
  <c r="BT41" i="25"/>
  <c r="BU29" i="25"/>
  <c r="BU30" i="25"/>
  <c r="BR32" i="25"/>
  <c r="BS32" i="25"/>
  <c r="BU41" i="25"/>
  <c r="BV29" i="25"/>
  <c r="BV30" i="25"/>
  <c r="BR33" i="25"/>
  <c r="BS33" i="25"/>
  <c r="BV41" i="25"/>
  <c r="BW29" i="25"/>
  <c r="BW30" i="25"/>
  <c r="BR34" i="25"/>
  <c r="BS34" i="25"/>
  <c r="BW41" i="25"/>
  <c r="BX29" i="25"/>
  <c r="BX30" i="25"/>
  <c r="BR35"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BR41" i="25"/>
  <c r="BS40" i="25"/>
  <c r="BT40" i="25"/>
  <c r="BU40" i="25"/>
  <c r="BV40" i="25"/>
  <c r="BW40" i="25"/>
  <c r="BX40" i="25"/>
  <c r="BR42" i="25"/>
  <c r="BR43" i="25"/>
  <c r="BR44" i="25"/>
  <c r="BR45" i="25"/>
  <c r="BR46" i="25"/>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O20" i="25"/>
  <c r="C20" i="25"/>
  <c r="E33" i="25" a="1"/>
  <c r="E33" i="25"/>
  <c r="F33" i="25" a="1"/>
  <c r="F33" i="25"/>
  <c r="G33" i="25" a="1"/>
  <c r="H33" i="25" a="1"/>
  <c r="I33" i="25" a="1"/>
  <c r="J33" i="25" a="1"/>
  <c r="K33" i="25" a="1"/>
  <c r="L33" i="25" a="1"/>
  <c r="P20" i="25"/>
  <c r="M33" i="25" a="1"/>
  <c r="N33" i="25" a="1"/>
  <c r="O33" i="25" a="1"/>
  <c r="P33" i="25" a="1"/>
  <c r="Q33" i="25" a="1"/>
  <c r="R33" i="25" a="1"/>
  <c r="S33" i="25" a="1"/>
  <c r="T33" i="25" a="1"/>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O21" i="25"/>
  <c r="E34" i="25" a="1"/>
  <c r="E34" i="25"/>
  <c r="F34" i="25" a="1"/>
  <c r="F34" i="25"/>
  <c r="G34" i="25" a="1"/>
  <c r="H34" i="25" a="1"/>
  <c r="I34" i="25" a="1"/>
  <c r="J34" i="25" a="1"/>
  <c r="K34" i="25" a="1"/>
  <c r="L34" i="25" a="1"/>
  <c r="P21" i="25"/>
  <c r="M34" i="25" a="1"/>
  <c r="N34" i="25" a="1"/>
  <c r="O34" i="25" a="1"/>
  <c r="P34" i="25" a="1"/>
  <c r="Q34" i="25" a="1"/>
  <c r="R34" i="25" a="1"/>
  <c r="S34" i="25" a="1"/>
  <c r="T34" i="25" a="1"/>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O22" i="25"/>
  <c r="C22" i="25"/>
  <c r="E35" i="25" a="1"/>
  <c r="E35" i="25"/>
  <c r="F35" i="25" a="1"/>
  <c r="F35" i="25"/>
  <c r="G35" i="25" a="1"/>
  <c r="H35" i="25" a="1"/>
  <c r="I35" i="25" a="1"/>
  <c r="O23" i="25"/>
  <c r="J35" i="25" a="1"/>
  <c r="O24" i="25"/>
  <c r="K35" i="25" a="1"/>
  <c r="O25" i="25"/>
  <c r="L35" i="25" a="1"/>
  <c r="P22" i="25"/>
  <c r="M35" i="25" a="1"/>
  <c r="N35" i="25" a="1"/>
  <c r="O35" i="25" a="1"/>
  <c r="P35" i="25" a="1"/>
  <c r="Q35" i="25" a="1"/>
  <c r="P23" i="25"/>
  <c r="R35" i="25" a="1"/>
  <c r="P24" i="25"/>
  <c r="S35" i="25" a="1"/>
  <c r="P25" i="25"/>
  <c r="T35" i="25" a="1"/>
  <c r="U35" i="25" a="1"/>
  <c r="V35" i="25" a="1"/>
  <c r="W35" i="25" a="1"/>
  <c r="X35" i="25" a="1"/>
  <c r="Y35" i="25" a="1"/>
  <c r="Z35" i="25" a="1"/>
  <c r="AA35" i="25" a="1"/>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AO32" i="6"/>
  <c r="AQ32" i="6"/>
  <c r="Y17" i="25"/>
  <c r="X17" i="25"/>
  <c r="AO33" i="6"/>
  <c r="AQ33" i="6"/>
  <c r="Y18" i="25"/>
  <c r="X18" i="25"/>
  <c r="AO34" i="6"/>
  <c r="AQ34" i="6"/>
  <c r="Y19" i="25"/>
  <c r="X19" i="25"/>
  <c r="AO35" i="6"/>
  <c r="AQ35" i="6"/>
  <c r="Y20" i="25"/>
  <c r="X20" i="25"/>
  <c r="AO36" i="6"/>
  <c r="AQ36" i="6"/>
  <c r="Y21" i="25"/>
  <c r="X21" i="25"/>
  <c r="AO37" i="6"/>
  <c r="AQ37" i="6"/>
  <c r="Y22" i="25"/>
  <c r="X22" i="25"/>
  <c r="X23" i="25"/>
  <c r="X24" i="25"/>
  <c r="X25" i="25"/>
  <c r="E4" i="25"/>
  <c r="D4" i="25"/>
  <c r="E5" i="25"/>
  <c r="D5" i="25"/>
  <c r="E6" i="25"/>
  <c r="D6" i="25"/>
  <c r="E7" i="25"/>
  <c r="D7" i="25"/>
  <c r="E8" i="25"/>
  <c r="D8" i="25"/>
  <c r="E9" i="25"/>
  <c r="D9" i="25"/>
  <c r="E10" i="25"/>
  <c r="D10" i="25"/>
  <c r="E11" i="25"/>
  <c r="D11" i="25"/>
  <c r="E12" i="25"/>
  <c r="D12" i="25"/>
  <c r="C4" i="25"/>
  <c r="C5" i="25"/>
  <c r="C6" i="25"/>
  <c r="M4" i="25"/>
  <c r="N4" i="25"/>
  <c r="L4" i="25"/>
  <c r="O3" i="25"/>
  <c r="P3" i="25"/>
  <c r="Q3" i="25"/>
  <c r="R3" i="25"/>
  <c r="S3" i="25"/>
  <c r="T3" i="25"/>
  <c r="U3" i="25"/>
  <c r="V3" i="25"/>
  <c r="O4" i="25"/>
  <c r="P4" i="25"/>
  <c r="Q4" i="25"/>
  <c r="R4" i="25"/>
  <c r="W3" i="25"/>
  <c r="W4" i="25"/>
  <c r="Y4" i="25"/>
  <c r="W5" i="25"/>
  <c r="Y5" i="25"/>
  <c r="W6" i="25"/>
  <c r="Z19" i="25"/>
  <c r="Y6" i="25"/>
  <c r="W7" i="25"/>
  <c r="Y7" i="25"/>
  <c r="W8" i="25"/>
  <c r="Z21" i="25"/>
  <c r="Y8" i="25"/>
  <c r="W9" i="25"/>
  <c r="Y9" i="25"/>
  <c r="W10" i="25"/>
  <c r="Y10" i="25"/>
  <c r="W11" i="25"/>
  <c r="Y11" i="25"/>
  <c r="W12" i="25"/>
  <c r="Y12" i="25"/>
  <c r="Z4" i="25"/>
  <c r="Z5" i="25"/>
  <c r="Z6" i="25"/>
  <c r="Z7" i="25"/>
  <c r="Z8" i="25"/>
  <c r="Z9" i="25"/>
  <c r="Z10" i="25"/>
  <c r="Z11" i="25"/>
  <c r="Z12" i="25"/>
  <c r="AA4" i="25"/>
  <c r="AA5" i="25"/>
  <c r="AA6" i="25"/>
  <c r="X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C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H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M4" i="25"/>
  <c r="AR4" i="25"/>
  <c r="AS4" i="25"/>
  <c r="M5" i="25"/>
  <c r="N5" i="25"/>
  <c r="L5" i="25"/>
  <c r="AA7" i="25"/>
  <c r="AA8" i="25"/>
  <c r="X5" i="25"/>
  <c r="AF5" i="25"/>
  <c r="AC5" i="25"/>
  <c r="AK5" i="25"/>
  <c r="AH5" i="25"/>
  <c r="AP5" i="25"/>
  <c r="AM5" i="25"/>
  <c r="AR5" i="25"/>
  <c r="AS5" i="25"/>
  <c r="M6" i="25"/>
  <c r="N6" i="25"/>
  <c r="L6" i="25"/>
  <c r="X6" i="25"/>
  <c r="AF6" i="25"/>
  <c r="AC6" i="25"/>
  <c r="AK6" i="25"/>
  <c r="AH6" i="25"/>
  <c r="AP6" i="25"/>
  <c r="AM6" i="25"/>
  <c r="AR6" i="25"/>
  <c r="AS6" i="25"/>
  <c r="C7" i="25"/>
  <c r="M7" i="25"/>
  <c r="N7" i="25"/>
  <c r="L7" i="25"/>
  <c r="X7" i="25"/>
  <c r="AF7" i="25"/>
  <c r="AC7" i="25"/>
  <c r="AK7" i="25"/>
  <c r="AH7" i="25"/>
  <c r="AP7" i="25"/>
  <c r="AM7" i="25"/>
  <c r="AR7" i="25"/>
  <c r="AS7" i="25"/>
  <c r="C8" i="25"/>
  <c r="M8" i="25"/>
  <c r="N8" i="25"/>
  <c r="L8" i="25"/>
  <c r="X8" i="25"/>
  <c r="AF8" i="25"/>
  <c r="AC8" i="25"/>
  <c r="AK8" i="25"/>
  <c r="AH8" i="25"/>
  <c r="AP8" i="25"/>
  <c r="AM8" i="25"/>
  <c r="AR8" i="25"/>
  <c r="AS8" i="25"/>
  <c r="C9" i="25"/>
  <c r="M9" i="25"/>
  <c r="N9" i="25"/>
  <c r="L9" i="25"/>
  <c r="AA9" i="25"/>
  <c r="X9" i="25"/>
  <c r="AF9" i="25"/>
  <c r="AC9" i="25"/>
  <c r="AK9" i="25"/>
  <c r="AH9" i="25"/>
  <c r="AP9" i="25"/>
  <c r="AM9" i="25"/>
  <c r="AR9" i="25"/>
  <c r="AS9" i="25"/>
  <c r="C10" i="25"/>
  <c r="M10" i="25"/>
  <c r="N10" i="25"/>
  <c r="L10" i="25"/>
  <c r="AA10" i="25"/>
  <c r="X10" i="25"/>
  <c r="AF10" i="25"/>
  <c r="AC10" i="25"/>
  <c r="AK10" i="25"/>
  <c r="AH10" i="25"/>
  <c r="AP10" i="25"/>
  <c r="AM10" i="25"/>
  <c r="AR10" i="25"/>
  <c r="AS10" i="25"/>
  <c r="C11" i="25"/>
  <c r="M11" i="25"/>
  <c r="N11" i="25"/>
  <c r="L11" i="25"/>
  <c r="AA11" i="25"/>
  <c r="X11" i="25"/>
  <c r="AF11" i="25"/>
  <c r="AC11" i="25"/>
  <c r="AK11" i="25"/>
  <c r="AH11" i="25"/>
  <c r="AP11" i="25"/>
  <c r="AM11" i="25"/>
  <c r="AR11" i="25"/>
  <c r="AS11" i="25"/>
  <c r="C12" i="25"/>
  <c r="M12" i="25"/>
  <c r="N12" i="25"/>
  <c r="L12" i="25"/>
  <c r="AA12" i="25"/>
  <c r="X12" i="25"/>
  <c r="AF12" i="25"/>
  <c r="AC12" i="25"/>
  <c r="AK12" i="25"/>
  <c r="AH12" i="25"/>
  <c r="AP12" i="25"/>
  <c r="AM12" i="25"/>
  <c r="AR12" i="25"/>
  <c r="AS12" i="25"/>
  <c r="Y37" i="6"/>
  <c r="Y36" i="6"/>
  <c r="Y35" i="6"/>
  <c r="Y34" i="6"/>
  <c r="Y33" i="6"/>
  <c r="Y32" i="6"/>
  <c r="V64" i="3"/>
  <c r="AA64" i="3"/>
  <c r="V65" i="3"/>
  <c r="AA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K4" i="3"/>
  <c r="K5" i="3"/>
  <c r="K6" i="3"/>
  <c r="K7" i="3"/>
  <c r="K8" i="3"/>
  <c r="K9" i="3"/>
  <c r="K10" i="3"/>
  <c r="K11" i="3"/>
  <c r="K12" i="3"/>
  <c r="K13" i="3"/>
  <c r="X64" i="3"/>
  <c r="Y64" i="3"/>
  <c r="AG64" i="3"/>
  <c r="AH64" i="3"/>
  <c r="AE64" i="3"/>
  <c r="X65" i="3"/>
  <c r="Y65" i="3"/>
  <c r="AG65" i="3"/>
  <c r="AH65" i="3"/>
  <c r="AE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X94" i="3"/>
  <c r="Y94" i="3"/>
  <c r="AG94" i="3"/>
  <c r="AH94" i="3"/>
  <c r="AE94" i="3"/>
  <c r="X95" i="3"/>
  <c r="Y95" i="3"/>
  <c r="AG95" i="3"/>
  <c r="AH95" i="3"/>
  <c r="AE95" i="3"/>
  <c r="X96" i="3"/>
  <c r="Y96" i="3"/>
  <c r="AG96" i="3"/>
  <c r="AH96" i="3"/>
  <c r="AE96" i="3"/>
  <c r="X97" i="3"/>
  <c r="Y97" i="3"/>
  <c r="AG97" i="3"/>
  <c r="AH97" i="3"/>
  <c r="AE97" i="3"/>
  <c r="X98" i="3"/>
  <c r="Y98" i="3"/>
  <c r="AG98" i="3"/>
  <c r="AH98" i="3"/>
  <c r="AE98" i="3"/>
  <c r="X99" i="3"/>
  <c r="Y99" i="3"/>
  <c r="AG99" i="3"/>
  <c r="AH99" i="3"/>
  <c r="AE99" i="3"/>
  <c r="X100" i="3"/>
  <c r="Y100" i="3"/>
  <c r="AG100" i="3"/>
  <c r="AH100" i="3"/>
  <c r="AE100" i="3"/>
  <c r="X101" i="3"/>
  <c r="Y101" i="3"/>
  <c r="AG101" i="3"/>
  <c r="AH101" i="3"/>
  <c r="AE101" i="3"/>
  <c r="X102" i="3"/>
  <c r="Y102" i="3"/>
  <c r="AG102" i="3"/>
  <c r="AH102" i="3"/>
  <c r="AE102" i="3"/>
  <c r="X103" i="3"/>
  <c r="Y103" i="3"/>
  <c r="AG103" i="3"/>
  <c r="AH103" i="3"/>
  <c r="AE103" i="3"/>
  <c r="AE104" i="3"/>
  <c r="AE105" i="3"/>
  <c r="AE106" i="3"/>
  <c r="AE107" i="3"/>
  <c r="AE108" i="3"/>
  <c r="AE109" i="3"/>
  <c r="AE110" i="3"/>
  <c r="AE111" i="3"/>
  <c r="AE112" i="3"/>
  <c r="AE113" i="3"/>
  <c r="AE114" i="3"/>
  <c r="AE115" i="3"/>
  <c r="AE116" i="3"/>
  <c r="AE117" i="3"/>
  <c r="AE118" i="3"/>
  <c r="AE119" i="3"/>
  <c r="AE120" i="3"/>
  <c r="AE121" i="3"/>
  <c r="AE122" i="3"/>
  <c r="AE12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J4" i="3"/>
  <c r="K17" i="3"/>
  <c r="G4" i="3"/>
  <c r="H4" i="3"/>
  <c r="I4" i="3"/>
  <c r="J17" i="3"/>
  <c r="L17" i="3"/>
  <c r="J5" i="3"/>
  <c r="K18" i="3"/>
  <c r="G5" i="3"/>
  <c r="H5" i="3"/>
  <c r="I5" i="3"/>
  <c r="J18" i="3"/>
  <c r="L18" i="3"/>
  <c r="J6" i="3"/>
  <c r="K19" i="3"/>
  <c r="G6" i="3"/>
  <c r="H6" i="3"/>
  <c r="I6" i="3"/>
  <c r="J19" i="3"/>
  <c r="L19" i="3"/>
  <c r="J7" i="3"/>
  <c r="K20" i="3"/>
  <c r="G7" i="3"/>
  <c r="H7" i="3"/>
  <c r="I7" i="3"/>
  <c r="J20" i="3"/>
  <c r="L20" i="3"/>
  <c r="J8" i="3"/>
  <c r="K21" i="3"/>
  <c r="G8" i="3"/>
  <c r="H8" i="3"/>
  <c r="I8" i="3"/>
  <c r="J21" i="3"/>
  <c r="L21" i="3"/>
  <c r="J9" i="3"/>
  <c r="K22" i="3"/>
  <c r="X104" i="3"/>
  <c r="X105" i="3"/>
  <c r="X106" i="3"/>
  <c r="X107" i="3"/>
  <c r="X108" i="3"/>
  <c r="X109" i="3"/>
  <c r="X110" i="3"/>
  <c r="X111" i="3"/>
  <c r="X112" i="3"/>
  <c r="X113" i="3"/>
  <c r="X114" i="3"/>
  <c r="X115" i="3"/>
  <c r="X116" i="3"/>
  <c r="X117" i="3"/>
  <c r="X118" i="3"/>
  <c r="X119" i="3"/>
  <c r="X120" i="3"/>
  <c r="X121" i="3"/>
  <c r="X122" i="3"/>
  <c r="X123" i="3"/>
  <c r="Y104" i="3"/>
  <c r="Y105" i="3"/>
  <c r="Y106" i="3"/>
  <c r="Y107" i="3"/>
  <c r="Y108" i="3"/>
  <c r="Y109" i="3"/>
  <c r="Y110" i="3"/>
  <c r="Y111" i="3"/>
  <c r="Y112" i="3"/>
  <c r="Y113" i="3"/>
  <c r="Y114" i="3"/>
  <c r="Y115" i="3"/>
  <c r="Y116" i="3"/>
  <c r="Y117" i="3"/>
  <c r="Y118" i="3"/>
  <c r="Y119" i="3"/>
  <c r="Y120" i="3"/>
  <c r="Y121" i="3"/>
  <c r="Y122" i="3"/>
  <c r="Y123" i="3"/>
  <c r="AG104" i="3"/>
  <c r="AG105" i="3"/>
  <c r="AG106" i="3"/>
  <c r="AG107" i="3"/>
  <c r="AG108" i="3"/>
  <c r="AG109" i="3"/>
  <c r="AG110" i="3"/>
  <c r="AG111" i="3"/>
  <c r="AG112" i="3"/>
  <c r="AG113" i="3"/>
  <c r="AG114" i="3"/>
  <c r="AG115" i="3"/>
  <c r="AG116" i="3"/>
  <c r="AG117" i="3"/>
  <c r="AG118" i="3"/>
  <c r="AG119" i="3"/>
  <c r="AG120" i="3"/>
  <c r="AG121" i="3"/>
  <c r="AG122" i="3"/>
  <c r="AG123" i="3"/>
  <c r="AH104" i="3"/>
  <c r="AH105" i="3"/>
  <c r="AH106" i="3"/>
  <c r="AH107" i="3"/>
  <c r="AH108" i="3"/>
  <c r="AH109" i="3"/>
  <c r="AH110" i="3"/>
  <c r="AH111" i="3"/>
  <c r="AH112" i="3"/>
  <c r="AH113" i="3"/>
  <c r="AH114" i="3"/>
  <c r="AH115" i="3"/>
  <c r="AH116" i="3"/>
  <c r="AH117" i="3"/>
  <c r="AH118" i="3"/>
  <c r="AH119" i="3"/>
  <c r="AH120" i="3"/>
  <c r="AH121" i="3"/>
  <c r="AH122" i="3"/>
  <c r="AH123" i="3"/>
  <c r="G9" i="3"/>
  <c r="H9" i="3"/>
  <c r="I9" i="3"/>
  <c r="J22" i="3"/>
  <c r="L22" i="3"/>
  <c r="J10" i="3"/>
  <c r="K23" i="3"/>
  <c r="G10" i="3"/>
  <c r="H10" i="3"/>
  <c r="I10" i="3"/>
  <c r="J23" i="3"/>
  <c r="L23" i="3"/>
  <c r="J11" i="3"/>
  <c r="K24" i="3"/>
  <c r="G11" i="3"/>
  <c r="H11" i="3"/>
  <c r="I11" i="3"/>
  <c r="J24" i="3"/>
  <c r="L24" i="3"/>
  <c r="J12" i="3"/>
  <c r="K25" i="3"/>
  <c r="G12" i="3"/>
  <c r="H12" i="3"/>
  <c r="I12" i="3"/>
  <c r="J25" i="3"/>
  <c r="L25" i="3"/>
  <c r="M17" i="3"/>
  <c r="N17" i="3" a="1"/>
  <c r="N17" i="3"/>
  <c r="O17" i="3"/>
  <c r="C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C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C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C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C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R52" i="3"/>
  <c r="BT51" i="3"/>
  <c r="BT52" i="3"/>
  <c r="BU51" i="3"/>
  <c r="BU52" i="3"/>
  <c r="BV51" i="3"/>
  <c r="BV52" i="3"/>
  <c r="BW51" i="3"/>
  <c r="BW52" i="3"/>
  <c r="BX51" i="3"/>
  <c r="BX52" i="3"/>
  <c r="BY52" i="3"/>
  <c r="BZ52" i="3"/>
  <c r="CA52" i="3"/>
  <c r="BR53" i="3"/>
  <c r="BS51" i="3"/>
  <c r="BS53" i="3"/>
  <c r="BU53" i="3"/>
  <c r="BV53" i="3"/>
  <c r="BW53" i="3"/>
  <c r="BX53" i="3"/>
  <c r="BY53" i="3"/>
  <c r="BZ53" i="3"/>
  <c r="CA53" i="3"/>
  <c r="BR54" i="3"/>
  <c r="BS54" i="3"/>
  <c r="BT54" i="3"/>
  <c r="BV54" i="3"/>
  <c r="BW54" i="3"/>
  <c r="BX54" i="3"/>
  <c r="BY54" i="3"/>
  <c r="BZ54" i="3"/>
  <c r="CA54" i="3"/>
  <c r="BR55" i="3"/>
  <c r="BS55" i="3"/>
  <c r="BT55" i="3"/>
  <c r="BU55" i="3"/>
  <c r="BW55" i="3"/>
  <c r="BX55" i="3"/>
  <c r="BY55" i="3"/>
  <c r="BZ55" i="3"/>
  <c r="CA55" i="3"/>
  <c r="BR56" i="3"/>
  <c r="BS56" i="3"/>
  <c r="BT56" i="3"/>
  <c r="BU56" i="3"/>
  <c r="BV56" i="3"/>
  <c r="BX56" i="3"/>
  <c r="BY56" i="3"/>
  <c r="BZ56" i="3"/>
  <c r="CA56" i="3"/>
  <c r="BR57"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C22"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R30" i="3"/>
  <c r="BT29" i="3"/>
  <c r="BT30" i="3"/>
  <c r="BR31" i="3"/>
  <c r="BS29" i="3"/>
  <c r="BS31" i="3"/>
  <c r="BT41" i="3"/>
  <c r="BU29" i="3"/>
  <c r="BU30" i="3"/>
  <c r="BR32" i="3"/>
  <c r="BS32" i="3"/>
  <c r="BU41" i="3"/>
  <c r="BV29" i="3"/>
  <c r="BV30" i="3"/>
  <c r="BR33" i="3"/>
  <c r="BS33" i="3"/>
  <c r="BV41" i="3"/>
  <c r="BW29" i="3"/>
  <c r="BW30" i="3"/>
  <c r="BR34" i="3"/>
  <c r="BS34" i="3"/>
  <c r="BW41" i="3"/>
  <c r="BX29" i="3"/>
  <c r="BX30" i="3"/>
  <c r="BR35"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BR41" i="3"/>
  <c r="BS40" i="3"/>
  <c r="BT40" i="3"/>
  <c r="BU40" i="3"/>
  <c r="BV40" i="3"/>
  <c r="BW40" i="3"/>
  <c r="BX40" i="3"/>
  <c r="BR42" i="3"/>
  <c r="BR43" i="3"/>
  <c r="BR44" i="3"/>
  <c r="BR45" i="3"/>
  <c r="BR46"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AO12" i="6"/>
  <c r="AQ12" i="6"/>
  <c r="Y17" i="3"/>
  <c r="X17" i="3"/>
  <c r="AO13" i="6"/>
  <c r="AQ13" i="6"/>
  <c r="Y18" i="3"/>
  <c r="X18" i="3"/>
  <c r="AO14" i="6"/>
  <c r="AQ14" i="6"/>
  <c r="Y19" i="3"/>
  <c r="X19" i="3"/>
  <c r="AO15" i="6"/>
  <c r="AQ15" i="6"/>
  <c r="Y20" i="3"/>
  <c r="X20" i="3"/>
  <c r="AO16" i="6"/>
  <c r="AQ16" i="6"/>
  <c r="Y21" i="3"/>
  <c r="X21" i="3"/>
  <c r="AO17" i="6"/>
  <c r="AQ17" i="6"/>
  <c r="Y22" i="3"/>
  <c r="X22" i="3"/>
  <c r="X23" i="3"/>
  <c r="X24" i="3"/>
  <c r="X25" i="3"/>
  <c r="E4" i="3"/>
  <c r="D4" i="3"/>
  <c r="E5" i="3"/>
  <c r="D5" i="3"/>
  <c r="E6" i="3"/>
  <c r="D6" i="3"/>
  <c r="E7" i="3"/>
  <c r="D7" i="3"/>
  <c r="E8" i="3"/>
  <c r="D8" i="3"/>
  <c r="E9" i="3"/>
  <c r="D9" i="3"/>
  <c r="E10" i="3"/>
  <c r="D10" i="3"/>
  <c r="E11" i="3"/>
  <c r="D11" i="3"/>
  <c r="E12" i="3"/>
  <c r="D12" i="3"/>
  <c r="C4" i="3"/>
  <c r="C5" i="3"/>
  <c r="C6" i="3"/>
  <c r="M4" i="3"/>
  <c r="N4" i="3"/>
  <c r="L4" i="3"/>
  <c r="O3" i="3"/>
  <c r="P3" i="3"/>
  <c r="Q3" i="3"/>
  <c r="R3" i="3"/>
  <c r="S3" i="3"/>
  <c r="T3" i="3"/>
  <c r="U3" i="3"/>
  <c r="V3" i="3"/>
  <c r="O4" i="3"/>
  <c r="P4" i="3"/>
  <c r="Q4" i="3"/>
  <c r="R4" i="3"/>
  <c r="W3" i="3"/>
  <c r="W4" i="3"/>
  <c r="Y4" i="3"/>
  <c r="W5" i="3"/>
  <c r="Y5" i="3"/>
  <c r="W6" i="3"/>
  <c r="Y6" i="3"/>
  <c r="W7" i="3"/>
  <c r="Y7" i="3"/>
  <c r="W8" i="3"/>
  <c r="Y8" i="3"/>
  <c r="W9" i="3"/>
  <c r="Y9" i="3"/>
  <c r="W10" i="3"/>
  <c r="Y10" i="3"/>
  <c r="W11" i="3"/>
  <c r="Y11" i="3"/>
  <c r="W12" i="3"/>
  <c r="Y12" i="3"/>
  <c r="Z4" i="3"/>
  <c r="Z5" i="3"/>
  <c r="Z6" i="3"/>
  <c r="Z7" i="3"/>
  <c r="Z8" i="3"/>
  <c r="Z9" i="3"/>
  <c r="Z10" i="3"/>
  <c r="Z11" i="3"/>
  <c r="Z12" i="3"/>
  <c r="AA4"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R4" i="3"/>
  <c r="AS4" i="3"/>
  <c r="M5" i="3"/>
  <c r="N5" i="3"/>
  <c r="L5" i="3"/>
  <c r="AA5" i="3"/>
  <c r="X5" i="3"/>
  <c r="AF5" i="3"/>
  <c r="AC5" i="3"/>
  <c r="AK5" i="3"/>
  <c r="AH5" i="3"/>
  <c r="AP5" i="3"/>
  <c r="AM5" i="3"/>
  <c r="AR5" i="3"/>
  <c r="AS5" i="3"/>
  <c r="M6" i="3"/>
  <c r="N6" i="3"/>
  <c r="L6" i="3"/>
  <c r="AA6" i="3"/>
  <c r="X6" i="3"/>
  <c r="AF6" i="3"/>
  <c r="AC6" i="3"/>
  <c r="AK6" i="3"/>
  <c r="AH6" i="3"/>
  <c r="AP6" i="3"/>
  <c r="AM6" i="3"/>
  <c r="AR6" i="3"/>
  <c r="AS6" i="3"/>
  <c r="C7" i="3"/>
  <c r="M7" i="3"/>
  <c r="N7" i="3"/>
  <c r="L7" i="3"/>
  <c r="AA7" i="3"/>
  <c r="X7" i="3"/>
  <c r="AF7" i="3"/>
  <c r="AC7" i="3"/>
  <c r="AK7" i="3"/>
  <c r="AH7" i="3"/>
  <c r="AP7" i="3"/>
  <c r="AM7" i="3"/>
  <c r="AR7" i="3"/>
  <c r="AS7" i="3"/>
  <c r="C8" i="3"/>
  <c r="M8" i="3"/>
  <c r="N8" i="3"/>
  <c r="L8" i="3"/>
  <c r="AA8" i="3"/>
  <c r="X8" i="3"/>
  <c r="AF8" i="3"/>
  <c r="AC8" i="3"/>
  <c r="AK8" i="3"/>
  <c r="AH8" i="3"/>
  <c r="AP8" i="3"/>
  <c r="AM8" i="3"/>
  <c r="AR8" i="3"/>
  <c r="AS8" i="3"/>
  <c r="C9" i="3"/>
  <c r="M9" i="3"/>
  <c r="N9" i="3"/>
  <c r="L9" i="3"/>
  <c r="AA9" i="3"/>
  <c r="X9" i="3"/>
  <c r="AF9" i="3"/>
  <c r="AC9" i="3"/>
  <c r="AK9" i="3"/>
  <c r="AH9" i="3"/>
  <c r="AP9" i="3"/>
  <c r="AM9" i="3"/>
  <c r="AR9" i="3"/>
  <c r="AS9" i="3"/>
  <c r="C10" i="3"/>
  <c r="M10" i="3"/>
  <c r="N10" i="3"/>
  <c r="L10" i="3"/>
  <c r="AA10" i="3"/>
  <c r="X10" i="3"/>
  <c r="AF10" i="3"/>
  <c r="AC10" i="3"/>
  <c r="AK10" i="3"/>
  <c r="AH10" i="3"/>
  <c r="AP10" i="3"/>
  <c r="AM10" i="3"/>
  <c r="AR10" i="3"/>
  <c r="AS10" i="3"/>
  <c r="C11" i="3"/>
  <c r="M11" i="3"/>
  <c r="N11" i="3"/>
  <c r="L11" i="3"/>
  <c r="AA11" i="3"/>
  <c r="X11" i="3"/>
  <c r="AF11" i="3"/>
  <c r="AC11" i="3"/>
  <c r="AK11" i="3"/>
  <c r="AH11" i="3"/>
  <c r="AP11" i="3"/>
  <c r="AM11" i="3"/>
  <c r="AR11" i="3"/>
  <c r="AS11" i="3"/>
  <c r="C12" i="3"/>
  <c r="M12" i="3"/>
  <c r="N12" i="3"/>
  <c r="L12" i="3"/>
  <c r="AA12" i="3"/>
  <c r="X12" i="3"/>
  <c r="AF12" i="3"/>
  <c r="AC12" i="3"/>
  <c r="AK12" i="3"/>
  <c r="AH12" i="3"/>
  <c r="AP12" i="3"/>
  <c r="AM12" i="3"/>
  <c r="AR12" i="3"/>
  <c r="AS12" i="3"/>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K4" i="17"/>
  <c r="K5" i="17"/>
  <c r="K6" i="17"/>
  <c r="K7" i="17"/>
  <c r="K8" i="17"/>
  <c r="K9" i="17"/>
  <c r="K10" i="17"/>
  <c r="K11" i="17"/>
  <c r="K12" i="17"/>
  <c r="K13" i="17"/>
  <c r="X64" i="17"/>
  <c r="Y64" i="17"/>
  <c r="AG64" i="17"/>
  <c r="AH64" i="17"/>
  <c r="AE64" i="17"/>
  <c r="X65" i="17"/>
  <c r="Y65" i="17"/>
  <c r="AG65" i="17"/>
  <c r="AH65" i="17"/>
  <c r="AE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X94" i="17"/>
  <c r="Y94" i="17"/>
  <c r="AG94" i="17"/>
  <c r="AH94" i="17"/>
  <c r="AE94" i="17"/>
  <c r="X95" i="17"/>
  <c r="Y95" i="17"/>
  <c r="AG95" i="17"/>
  <c r="AH95" i="17"/>
  <c r="AE95" i="17"/>
  <c r="X96" i="17"/>
  <c r="Y96" i="17"/>
  <c r="AG96" i="17"/>
  <c r="AH96" i="17"/>
  <c r="AE96" i="17"/>
  <c r="X97" i="17"/>
  <c r="Y97" i="17"/>
  <c r="AG97" i="17"/>
  <c r="AH97" i="17"/>
  <c r="AE97" i="17"/>
  <c r="X98" i="17"/>
  <c r="Y98" i="17"/>
  <c r="AG98" i="17"/>
  <c r="AH98" i="17"/>
  <c r="AE98" i="17"/>
  <c r="X99" i="17"/>
  <c r="Y99" i="17"/>
  <c r="AG99" i="17"/>
  <c r="AH99" i="17"/>
  <c r="AE99" i="17"/>
  <c r="X100" i="17"/>
  <c r="Y100" i="17"/>
  <c r="AG100" i="17"/>
  <c r="AH100" i="17"/>
  <c r="AE100" i="17"/>
  <c r="X101" i="17"/>
  <c r="Y101" i="17"/>
  <c r="AG101" i="17"/>
  <c r="AH101" i="17"/>
  <c r="AE101" i="17"/>
  <c r="X102" i="17"/>
  <c r="Y102" i="17"/>
  <c r="AG102" i="17"/>
  <c r="AH102" i="17"/>
  <c r="AE102" i="17"/>
  <c r="X103" i="17"/>
  <c r="Y103" i="17"/>
  <c r="AG103" i="17"/>
  <c r="AH103" i="17"/>
  <c r="AE103" i="17"/>
  <c r="AE104" i="17"/>
  <c r="AE105" i="17"/>
  <c r="AE106" i="17"/>
  <c r="AE107" i="17"/>
  <c r="AE108" i="17"/>
  <c r="AE109" i="17"/>
  <c r="AE110" i="17"/>
  <c r="AE111" i="17"/>
  <c r="AE112" i="17"/>
  <c r="AE113" i="17"/>
  <c r="AE114" i="17"/>
  <c r="AE115" i="17"/>
  <c r="AE116" i="17"/>
  <c r="AE117" i="17"/>
  <c r="AE118" i="17"/>
  <c r="AE119" i="17"/>
  <c r="AE120" i="17"/>
  <c r="AE121" i="17"/>
  <c r="AE122" i="17"/>
  <c r="AE123"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J4" i="17"/>
  <c r="K17" i="17"/>
  <c r="G4" i="17"/>
  <c r="H4" i="17"/>
  <c r="I4" i="17"/>
  <c r="J17" i="17"/>
  <c r="L17" i="17"/>
  <c r="J5" i="17"/>
  <c r="K18" i="17"/>
  <c r="G5" i="17"/>
  <c r="H5" i="17"/>
  <c r="I5" i="17"/>
  <c r="J18" i="17"/>
  <c r="L18" i="17"/>
  <c r="J6" i="17"/>
  <c r="K19" i="17"/>
  <c r="G6" i="17"/>
  <c r="H6" i="17"/>
  <c r="I6" i="17"/>
  <c r="J19" i="17"/>
  <c r="L19" i="17"/>
  <c r="J7" i="17"/>
  <c r="K20" i="17"/>
  <c r="G7" i="17"/>
  <c r="H7" i="17"/>
  <c r="I7" i="17"/>
  <c r="J20" i="17"/>
  <c r="L20" i="17"/>
  <c r="J8" i="17"/>
  <c r="K21" i="17"/>
  <c r="G8" i="17"/>
  <c r="H8" i="17"/>
  <c r="I8" i="17"/>
  <c r="J21" i="17"/>
  <c r="L21" i="17"/>
  <c r="J9" i="17"/>
  <c r="K22" i="17"/>
  <c r="X104" i="17"/>
  <c r="X105" i="17"/>
  <c r="X106" i="17"/>
  <c r="X107" i="17"/>
  <c r="X108" i="17"/>
  <c r="X109" i="17"/>
  <c r="X110" i="17"/>
  <c r="X111" i="17"/>
  <c r="X112" i="17"/>
  <c r="X113" i="17"/>
  <c r="X114" i="17"/>
  <c r="X115" i="17"/>
  <c r="X116" i="17"/>
  <c r="X117" i="17"/>
  <c r="X118" i="17"/>
  <c r="X119" i="17"/>
  <c r="X120" i="17"/>
  <c r="X121" i="17"/>
  <c r="X122" i="17"/>
  <c r="X123" i="17"/>
  <c r="Y104" i="17"/>
  <c r="Y105" i="17"/>
  <c r="Y106" i="17"/>
  <c r="Y107" i="17"/>
  <c r="Y108" i="17"/>
  <c r="Y109" i="17"/>
  <c r="Y110" i="17"/>
  <c r="Y111" i="17"/>
  <c r="Y112" i="17"/>
  <c r="Y113" i="17"/>
  <c r="Y114" i="17"/>
  <c r="Y115" i="17"/>
  <c r="Y116" i="17"/>
  <c r="Y117" i="17"/>
  <c r="Y118" i="17"/>
  <c r="Y119" i="17"/>
  <c r="Y120" i="17"/>
  <c r="Y121" i="17"/>
  <c r="Y122" i="17"/>
  <c r="Y123" i="17"/>
  <c r="AG104" i="17"/>
  <c r="AG105" i="17"/>
  <c r="AG106" i="17"/>
  <c r="AG107" i="17"/>
  <c r="AG108" i="17"/>
  <c r="AG109" i="17"/>
  <c r="AG110" i="17"/>
  <c r="AG111" i="17"/>
  <c r="AG112" i="17"/>
  <c r="AG113" i="17"/>
  <c r="AG114" i="17"/>
  <c r="AG115" i="17"/>
  <c r="AG116" i="17"/>
  <c r="AG117" i="17"/>
  <c r="AG118" i="17"/>
  <c r="AG119" i="17"/>
  <c r="AG120" i="17"/>
  <c r="AG121" i="17"/>
  <c r="AG122" i="17"/>
  <c r="AG123" i="17"/>
  <c r="AH104" i="17"/>
  <c r="AH105" i="17"/>
  <c r="AH106" i="17"/>
  <c r="AH107" i="17"/>
  <c r="AH108" i="17"/>
  <c r="AH109" i="17"/>
  <c r="AH110" i="17"/>
  <c r="AH111" i="17"/>
  <c r="AH112" i="17"/>
  <c r="AH113" i="17"/>
  <c r="AH114" i="17"/>
  <c r="AH115" i="17"/>
  <c r="AH116" i="17"/>
  <c r="AH117" i="17"/>
  <c r="AH118" i="17"/>
  <c r="AH119" i="17"/>
  <c r="AH120" i="17"/>
  <c r="AH121" i="17"/>
  <c r="AH122" i="17"/>
  <c r="AH123" i="17"/>
  <c r="G9" i="17"/>
  <c r="H9" i="17"/>
  <c r="I9" i="17"/>
  <c r="J22" i="17"/>
  <c r="L22" i="17"/>
  <c r="J10" i="17"/>
  <c r="K23" i="17"/>
  <c r="G10" i="17"/>
  <c r="H10" i="17"/>
  <c r="I10" i="17"/>
  <c r="J23" i="17"/>
  <c r="L23" i="17"/>
  <c r="J11" i="17"/>
  <c r="K24" i="17"/>
  <c r="G11" i="17"/>
  <c r="H11" i="17"/>
  <c r="I11" i="17"/>
  <c r="J24" i="17"/>
  <c r="L24" i="17"/>
  <c r="J12" i="17"/>
  <c r="K25" i="17"/>
  <c r="G12" i="17"/>
  <c r="H12" i="17"/>
  <c r="I12" i="17"/>
  <c r="J25" i="17"/>
  <c r="L25" i="17"/>
  <c r="M17" i="17"/>
  <c r="N17" i="17" a="1"/>
  <c r="N17" i="17"/>
  <c r="O17" i="17"/>
  <c r="C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C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C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C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C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R52" i="17"/>
  <c r="BT51" i="17"/>
  <c r="BT52" i="17"/>
  <c r="BU51" i="17"/>
  <c r="BU52" i="17"/>
  <c r="BV51" i="17"/>
  <c r="BV52" i="17"/>
  <c r="BW51" i="17"/>
  <c r="BW52" i="17"/>
  <c r="BX51" i="17"/>
  <c r="BX52" i="17"/>
  <c r="BY52" i="17"/>
  <c r="BZ52" i="17"/>
  <c r="CA52" i="17"/>
  <c r="BR53" i="17"/>
  <c r="BS51" i="17"/>
  <c r="BS53" i="17"/>
  <c r="BU53" i="17"/>
  <c r="BV53" i="17"/>
  <c r="BW53" i="17"/>
  <c r="BX53" i="17"/>
  <c r="BY53" i="17"/>
  <c r="BZ53" i="17"/>
  <c r="CA53" i="17"/>
  <c r="BR54" i="17"/>
  <c r="BS54" i="17"/>
  <c r="BT54" i="17"/>
  <c r="BV54" i="17"/>
  <c r="BW54" i="17"/>
  <c r="BX54" i="17"/>
  <c r="BY54" i="17"/>
  <c r="BZ54" i="17"/>
  <c r="CA54" i="17"/>
  <c r="BR55" i="17"/>
  <c r="BS55" i="17"/>
  <c r="BT55" i="17"/>
  <c r="BU55" i="17"/>
  <c r="BW55" i="17"/>
  <c r="BX55" i="17"/>
  <c r="BY55" i="17"/>
  <c r="BZ55" i="17"/>
  <c r="CA55" i="17"/>
  <c r="BR56" i="17"/>
  <c r="BS56" i="17"/>
  <c r="BT56" i="17"/>
  <c r="BU56" i="17"/>
  <c r="BV56" i="17"/>
  <c r="BX56" i="17"/>
  <c r="BY56" i="17"/>
  <c r="BZ56" i="17"/>
  <c r="CA56" i="17"/>
  <c r="BR57"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C22"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R30" i="17"/>
  <c r="BT29" i="17"/>
  <c r="BT30" i="17"/>
  <c r="BR31" i="17"/>
  <c r="BS29" i="17"/>
  <c r="BS31" i="17"/>
  <c r="BT41" i="17"/>
  <c r="BU29" i="17"/>
  <c r="BU30" i="17"/>
  <c r="BR32" i="17"/>
  <c r="BS32" i="17"/>
  <c r="BU41" i="17"/>
  <c r="BV29" i="17"/>
  <c r="BV30" i="17"/>
  <c r="BR33" i="17"/>
  <c r="BS33" i="17"/>
  <c r="BV41" i="17"/>
  <c r="BW29" i="17"/>
  <c r="BW30" i="17"/>
  <c r="BR34" i="17"/>
  <c r="BS34" i="17"/>
  <c r="BW41" i="17"/>
  <c r="BX29" i="17"/>
  <c r="BX30" i="17"/>
  <c r="BR35"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BR41" i="17"/>
  <c r="BS40" i="17"/>
  <c r="BT40" i="17"/>
  <c r="BU40" i="17"/>
  <c r="BV40" i="17"/>
  <c r="BW40" i="17"/>
  <c r="BX40" i="17"/>
  <c r="BR42" i="17"/>
  <c r="BR43" i="17"/>
  <c r="BR44" i="17"/>
  <c r="BR45" i="17"/>
  <c r="BR46"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AO22" i="6"/>
  <c r="AQ22" i="6"/>
  <c r="Y17" i="17"/>
  <c r="X17" i="17"/>
  <c r="AO23" i="6"/>
  <c r="AQ23" i="6"/>
  <c r="Y18" i="17"/>
  <c r="X18" i="17"/>
  <c r="AO24" i="6"/>
  <c r="AQ24" i="6"/>
  <c r="Y19" i="17"/>
  <c r="X19" i="17"/>
  <c r="AO25" i="6"/>
  <c r="AQ25" i="6"/>
  <c r="Y20" i="17"/>
  <c r="X20" i="17"/>
  <c r="AO26" i="6"/>
  <c r="AQ26" i="6"/>
  <c r="Y21" i="17"/>
  <c r="X21" i="17"/>
  <c r="AO27" i="6"/>
  <c r="AQ27" i="6"/>
  <c r="Y22" i="17"/>
  <c r="X22" i="17"/>
  <c r="X23" i="17"/>
  <c r="X24" i="17"/>
  <c r="X25" i="17"/>
  <c r="E4" i="17"/>
  <c r="D4" i="17"/>
  <c r="E5" i="17"/>
  <c r="D5" i="17"/>
  <c r="E6" i="17"/>
  <c r="D6" i="17"/>
  <c r="E7" i="17"/>
  <c r="D7" i="17"/>
  <c r="E8" i="17"/>
  <c r="D8" i="17"/>
  <c r="E9" i="17"/>
  <c r="D9" i="17"/>
  <c r="E10" i="17"/>
  <c r="D10" i="17"/>
  <c r="E11" i="17"/>
  <c r="D11" i="17"/>
  <c r="E12" i="17"/>
  <c r="D12" i="17"/>
  <c r="C4" i="17"/>
  <c r="C5" i="17"/>
  <c r="C6" i="17"/>
  <c r="M4" i="17"/>
  <c r="N4" i="17"/>
  <c r="L4" i="17"/>
  <c r="O3" i="17"/>
  <c r="P3" i="17"/>
  <c r="Q3" i="17"/>
  <c r="R3" i="17"/>
  <c r="S3" i="17"/>
  <c r="T3" i="17"/>
  <c r="U3" i="17"/>
  <c r="V3" i="17"/>
  <c r="O4" i="17"/>
  <c r="P4" i="17"/>
  <c r="Q4" i="17"/>
  <c r="R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R4" i="17"/>
  <c r="AS4" i="17"/>
  <c r="M5" i="17"/>
  <c r="N5" i="17"/>
  <c r="L5" i="17"/>
  <c r="AA5" i="17"/>
  <c r="X5" i="17"/>
  <c r="AF5" i="17"/>
  <c r="AC5" i="17"/>
  <c r="AK5" i="17"/>
  <c r="AH5" i="17"/>
  <c r="AP5" i="17"/>
  <c r="AM5" i="17"/>
  <c r="AR5" i="17"/>
  <c r="AS5" i="17"/>
  <c r="M6" i="17"/>
  <c r="N6" i="17"/>
  <c r="L6" i="17"/>
  <c r="AA6" i="17"/>
  <c r="X6" i="17"/>
  <c r="AF6" i="17"/>
  <c r="AC6" i="17"/>
  <c r="AK6" i="17"/>
  <c r="AH6" i="17"/>
  <c r="AP6" i="17"/>
  <c r="AM6" i="17"/>
  <c r="AR6" i="17"/>
  <c r="AS6" i="17"/>
  <c r="C7" i="17"/>
  <c r="M7" i="17"/>
  <c r="N7" i="17"/>
  <c r="L7" i="17"/>
  <c r="AA7" i="17"/>
  <c r="X7" i="17"/>
  <c r="AF7" i="17"/>
  <c r="AC7" i="17"/>
  <c r="AK7" i="17"/>
  <c r="AH7" i="17"/>
  <c r="AP7" i="17"/>
  <c r="AM7" i="17"/>
  <c r="AR7" i="17"/>
  <c r="AS7" i="17"/>
  <c r="C8" i="17"/>
  <c r="M8" i="17"/>
  <c r="N8" i="17"/>
  <c r="L8" i="17"/>
  <c r="AA8" i="17"/>
  <c r="X8" i="17"/>
  <c r="AF8" i="17"/>
  <c r="AC8" i="17"/>
  <c r="AK8" i="17"/>
  <c r="AH8" i="17"/>
  <c r="AP8" i="17"/>
  <c r="AM8" i="17"/>
  <c r="AR8" i="17"/>
  <c r="AS8" i="17"/>
  <c r="C9" i="17"/>
  <c r="M9" i="17"/>
  <c r="N9" i="17"/>
  <c r="L9" i="17"/>
  <c r="AA9" i="17"/>
  <c r="X9" i="17"/>
  <c r="AF9" i="17"/>
  <c r="AC9" i="17"/>
  <c r="AK9" i="17"/>
  <c r="AH9" i="17"/>
  <c r="AP9" i="17"/>
  <c r="AM9" i="17"/>
  <c r="AR9" i="17"/>
  <c r="AS9" i="17"/>
  <c r="C10" i="17"/>
  <c r="M10" i="17"/>
  <c r="N10" i="17"/>
  <c r="L10" i="17"/>
  <c r="AA10" i="17"/>
  <c r="X10" i="17"/>
  <c r="AF10" i="17"/>
  <c r="AC10" i="17"/>
  <c r="AK10" i="17"/>
  <c r="AH10" i="17"/>
  <c r="AP10" i="17"/>
  <c r="AM10" i="17"/>
  <c r="AR10" i="17"/>
  <c r="AS10" i="17"/>
  <c r="C11" i="17"/>
  <c r="M11" i="17"/>
  <c r="N11" i="17"/>
  <c r="L11" i="17"/>
  <c r="AA11" i="17"/>
  <c r="X11" i="17"/>
  <c r="AF11" i="17"/>
  <c r="AC11" i="17"/>
  <c r="AK11" i="17"/>
  <c r="AH11" i="17"/>
  <c r="AP11" i="17"/>
  <c r="AM11" i="17"/>
  <c r="AR11" i="17"/>
  <c r="AS11" i="17"/>
  <c r="C12" i="17"/>
  <c r="M12" i="17"/>
  <c r="N12" i="17"/>
  <c r="L12" i="17"/>
  <c r="AA12" i="17"/>
  <c r="X12" i="17"/>
  <c r="AF12" i="17"/>
  <c r="AC12" i="17"/>
  <c r="AK12" i="17"/>
  <c r="AH12" i="17"/>
  <c r="AP12" i="17"/>
  <c r="AM12" i="17"/>
  <c r="AR12" i="17"/>
  <c r="AS12" i="17"/>
  <c r="Y27" i="6"/>
  <c r="Y26" i="6"/>
  <c r="Y25" i="6"/>
  <c r="Y24" i="6"/>
  <c r="Y23" i="6"/>
  <c r="Y22" i="6"/>
  <c r="X47" i="6"/>
  <c r="AD47" i="6"/>
  <c r="W47" i="6"/>
  <c r="X46" i="6"/>
  <c r="AD46" i="6"/>
  <c r="W46" i="6"/>
  <c r="X45" i="6"/>
  <c r="AD45" i="6"/>
  <c r="W45" i="6"/>
  <c r="X44" i="6"/>
  <c r="AD44" i="6"/>
  <c r="W44" i="6"/>
  <c r="X43" i="6"/>
  <c r="AD43" i="6"/>
  <c r="W43" i="6"/>
  <c r="X42" i="6"/>
  <c r="AD42" i="6"/>
  <c r="W42" i="6"/>
  <c r="X37" i="6"/>
  <c r="AD37" i="6"/>
  <c r="W37" i="6"/>
  <c r="X36" i="6"/>
  <c r="AD36" i="6"/>
  <c r="W36" i="6"/>
  <c r="X35" i="6"/>
  <c r="AD35" i="6"/>
  <c r="W35" i="6"/>
  <c r="X34" i="6"/>
  <c r="AD34" i="6"/>
  <c r="W34" i="6"/>
  <c r="X33" i="6"/>
  <c r="AD33" i="6"/>
  <c r="W33" i="6"/>
  <c r="X32" i="6"/>
  <c r="AD32" i="6"/>
  <c r="W32" i="6"/>
  <c r="X27" i="6"/>
  <c r="AD27" i="6"/>
  <c r="W27" i="6"/>
  <c r="X26" i="6"/>
  <c r="AD26" i="6"/>
  <c r="W26" i="6"/>
  <c r="X25" i="6"/>
  <c r="AD25" i="6"/>
  <c r="W25" i="6"/>
  <c r="X24" i="6"/>
  <c r="AD24" i="6"/>
  <c r="W24" i="6"/>
  <c r="X23" i="6"/>
  <c r="AD23" i="6"/>
  <c r="W23" i="6"/>
  <c r="X22" i="6"/>
  <c r="AD22" i="6"/>
  <c r="W22" i="6"/>
  <c r="Y17" i="6"/>
  <c r="Y16" i="6"/>
  <c r="Y15" i="6"/>
  <c r="Y14" i="6"/>
  <c r="Y13" i="6"/>
  <c r="AD17" i="6"/>
  <c r="W17" i="6"/>
  <c r="AD16" i="6"/>
  <c r="W16" i="6"/>
  <c r="AD15" i="6"/>
  <c r="W15" i="6"/>
  <c r="AD14" i="6"/>
  <c r="W14" i="6"/>
  <c r="AD13" i="6"/>
  <c r="W13" i="6"/>
  <c r="AD12" i="6"/>
  <c r="W12" i="6"/>
  <c r="Y12" i="6"/>
  <c r="W41" i="6"/>
  <c r="W31" i="6"/>
  <c r="W21" i="6"/>
  <c r="W11" i="6"/>
  <c r="X17" i="6"/>
  <c r="X16" i="6"/>
  <c r="X15" i="6"/>
  <c r="X14" i="6"/>
  <c r="X13" i="6"/>
  <c r="X12" i="6"/>
  <c r="AD16" i="39"/>
  <c r="AF16" i="39"/>
  <c r="C3" i="9"/>
  <c r="C4" i="9"/>
  <c r="E94" i="9"/>
  <c r="R12" i="6"/>
  <c r="Y13" i="39"/>
  <c r="E59" i="9"/>
  <c r="X11" i="39"/>
  <c r="I12" i="39"/>
  <c r="R32" i="6"/>
  <c r="Y15" i="39"/>
  <c r="K12" i="39"/>
  <c r="AE12" i="39"/>
  <c r="AG12" i="39"/>
  <c r="AH12" i="39"/>
  <c r="AB12" i="39"/>
  <c r="I16" i="39"/>
  <c r="AD13" i="39"/>
  <c r="AF13" i="39"/>
  <c r="R22" i="6"/>
  <c r="Y14" i="39"/>
  <c r="I13" i="39"/>
  <c r="R42" i="6"/>
  <c r="Y16" i="39"/>
  <c r="K13" i="39"/>
  <c r="AE13" i="39"/>
  <c r="AG13" i="39"/>
  <c r="AH13" i="39"/>
  <c r="AB13" i="39"/>
  <c r="K16" i="39"/>
  <c r="AE16" i="39"/>
  <c r="AH16" i="39"/>
  <c r="AG16" i="39"/>
  <c r="AC16" i="39"/>
  <c r="AB16" i="39"/>
  <c r="AD15" i="39"/>
  <c r="AF15" i="39"/>
  <c r="AC12" i="39"/>
  <c r="I15" i="39"/>
  <c r="AC13" i="39"/>
  <c r="K15" i="39"/>
  <c r="AE15" i="39"/>
  <c r="AH15" i="39"/>
  <c r="AG15" i="39"/>
  <c r="AC15" i="39"/>
  <c r="AB15" i="39"/>
  <c r="AD12" i="39"/>
  <c r="AF12" i="39"/>
  <c r="AD21" i="24"/>
  <c r="AF21" i="24"/>
  <c r="AD17" i="24"/>
  <c r="AF17" i="24"/>
  <c r="Y20" i="24"/>
  <c r="X18" i="24"/>
  <c r="I12" i="24"/>
  <c r="R33" i="6"/>
  <c r="Y15" i="24"/>
  <c r="K12" i="24"/>
  <c r="AE12" i="24"/>
  <c r="AD12" i="24"/>
  <c r="AF12" i="24"/>
  <c r="AG12" i="24"/>
  <c r="AH12" i="24"/>
  <c r="AB12" i="24"/>
  <c r="E70" i="9"/>
  <c r="B12" i="24"/>
  <c r="F17" i="24"/>
  <c r="I17" i="24"/>
  <c r="AD14" i="24"/>
  <c r="AF14" i="24"/>
  <c r="Y22" i="24"/>
  <c r="I14" i="24"/>
  <c r="R13" i="6"/>
  <c r="Y13" i="24"/>
  <c r="K14" i="24"/>
  <c r="AE14" i="24"/>
  <c r="AG14" i="24"/>
  <c r="AH14" i="24"/>
  <c r="AB14" i="24"/>
  <c r="B14" i="24"/>
  <c r="H17" i="24"/>
  <c r="K17" i="24"/>
  <c r="AE17" i="24"/>
  <c r="AG17" i="24"/>
  <c r="AH17" i="24"/>
  <c r="AB17" i="24"/>
  <c r="I21" i="24"/>
  <c r="AD18" i="24"/>
  <c r="AF18" i="24"/>
  <c r="AD13" i="24"/>
  <c r="AF13" i="24"/>
  <c r="Y21" i="24"/>
  <c r="I13" i="24"/>
  <c r="R43" i="6"/>
  <c r="Y16" i="24"/>
  <c r="K13" i="24"/>
  <c r="AE13" i="24"/>
  <c r="AG13" i="24"/>
  <c r="AH13" i="24"/>
  <c r="AB13" i="24"/>
  <c r="B13" i="24"/>
  <c r="F18" i="24"/>
  <c r="I18" i="24"/>
  <c r="AD15" i="24"/>
  <c r="AF15" i="24"/>
  <c r="Y23" i="24"/>
  <c r="I15" i="24"/>
  <c r="R23" i="6"/>
  <c r="Y14" i="24"/>
  <c r="K15" i="24"/>
  <c r="AE15" i="24"/>
  <c r="AG15" i="24"/>
  <c r="AH15" i="24"/>
  <c r="AB15" i="24"/>
  <c r="B15" i="24"/>
  <c r="H18" i="24"/>
  <c r="K18" i="24"/>
  <c r="AE18" i="24"/>
  <c r="AG18" i="24"/>
  <c r="AH18" i="24"/>
  <c r="AB18" i="24"/>
  <c r="K21" i="24"/>
  <c r="AE21" i="24"/>
  <c r="AH21" i="24"/>
  <c r="AG21" i="24"/>
  <c r="AC21" i="24"/>
  <c r="AB21" i="24"/>
  <c r="AD20" i="24"/>
  <c r="AF20" i="24"/>
  <c r="AC17" i="24"/>
  <c r="I20" i="24"/>
  <c r="AC18" i="24"/>
  <c r="K20" i="24"/>
  <c r="AE20" i="24"/>
  <c r="AH20" i="24"/>
  <c r="AG20" i="24"/>
  <c r="AC20" i="24"/>
  <c r="AB20" i="24"/>
  <c r="AC15" i="24"/>
  <c r="AC14" i="24"/>
  <c r="AC13" i="24"/>
  <c r="AC12" i="24"/>
  <c r="AC50" i="21"/>
  <c r="AE50" i="21"/>
  <c r="Y48" i="21"/>
  <c r="E63" i="9"/>
  <c r="X18" i="21"/>
  <c r="E62" i="9"/>
  <c r="X25" i="21"/>
  <c r="E61" i="9"/>
  <c r="X32" i="21"/>
  <c r="E60" i="9"/>
  <c r="X39" i="21"/>
  <c r="R17" i="6"/>
  <c r="Y13" i="21"/>
  <c r="R27" i="6"/>
  <c r="Y14" i="21"/>
  <c r="R37" i="6"/>
  <c r="Y15" i="21"/>
  <c r="R47" i="6"/>
  <c r="Y16" i="21"/>
  <c r="Y17" i="21" a="1"/>
  <c r="E10" i="9"/>
  <c r="Y19" i="21"/>
  <c r="R16" i="6"/>
  <c r="Y20" i="21"/>
  <c r="R26" i="6"/>
  <c r="Y21" i="21"/>
  <c r="R36" i="6"/>
  <c r="Y22" i="21"/>
  <c r="R46" i="6"/>
  <c r="Y23" i="21"/>
  <c r="Y24" i="21" a="1"/>
  <c r="Y26" i="21"/>
  <c r="R15" i="6"/>
  <c r="Y27" i="21"/>
  <c r="R25" i="6"/>
  <c r="Y28" i="21"/>
  <c r="R35" i="6"/>
  <c r="Y29" i="21"/>
  <c r="R45" i="6"/>
  <c r="Y30" i="21"/>
  <c r="Y31" i="21" a="1"/>
  <c r="Y33" i="21"/>
  <c r="R14" i="6"/>
  <c r="Y34" i="21"/>
  <c r="R24" i="6"/>
  <c r="Y35" i="21"/>
  <c r="R34" i="6"/>
  <c r="Y36" i="21"/>
  <c r="R44" i="6"/>
  <c r="Y37" i="21"/>
  <c r="Y38" i="21" a="1"/>
  <c r="Y40" i="21"/>
  <c r="Y41" i="21"/>
  <c r="Y42" i="21"/>
  <c r="Y43" i="21"/>
  <c r="Y44" i="21"/>
  <c r="Y45" i="21" a="1"/>
  <c r="X46" i="21"/>
  <c r="Y47" i="21"/>
  <c r="Y49" i="21"/>
  <c r="Y50" i="21"/>
  <c r="Y51" i="21"/>
  <c r="Y52" i="21" a="1"/>
  <c r="I22" i="21"/>
  <c r="K22" i="21"/>
  <c r="AD22" i="21"/>
  <c r="AF22" i="21"/>
  <c r="AG22" i="21"/>
  <c r="AA22" i="21"/>
  <c r="E71" i="9"/>
  <c r="B22" i="21"/>
  <c r="F50" i="21"/>
  <c r="B12" i="21"/>
  <c r="B13" i="21"/>
  <c r="C12" i="21" a="1"/>
  <c r="V10" i="22"/>
  <c r="V11" i="22"/>
  <c r="V15" i="22"/>
  <c r="B13" i="3"/>
  <c r="B13" i="17"/>
  <c r="B13" i="25"/>
  <c r="B13" i="35"/>
  <c r="B14" i="3"/>
  <c r="S13" i="22" a="1"/>
  <c r="S13" i="22"/>
  <c r="Q65" i="22"/>
  <c r="D12" i="21"/>
  <c r="I12" i="21"/>
  <c r="K12" i="21"/>
  <c r="E90" i="9"/>
  <c r="M12" i="21"/>
  <c r="P12" i="21"/>
  <c r="S12" i="21"/>
  <c r="Y12" i="21"/>
  <c r="AD12" i="21"/>
  <c r="AF12" i="21"/>
  <c r="AG12" i="21"/>
  <c r="AA12" i="21"/>
  <c r="AB12" i="21"/>
  <c r="C13" i="21" a="1"/>
  <c r="C13" i="21"/>
  <c r="C12" i="21"/>
  <c r="D13" i="21" a="1"/>
  <c r="E13" i="21"/>
  <c r="I13" i="21"/>
  <c r="K13" i="21"/>
  <c r="M13" i="21"/>
  <c r="P13" i="21"/>
  <c r="S13" i="21"/>
  <c r="AD13" i="21"/>
  <c r="AF13" i="21"/>
  <c r="AG13" i="21"/>
  <c r="AA13" i="21"/>
  <c r="AB13" i="21"/>
  <c r="B14" i="21"/>
  <c r="C14" i="21" a="1"/>
  <c r="C14" i="21"/>
  <c r="D14" i="21" a="1"/>
  <c r="E14" i="21"/>
  <c r="I14" i="21"/>
  <c r="K14" i="21"/>
  <c r="M14" i="21"/>
  <c r="P14" i="21"/>
  <c r="S14" i="21"/>
  <c r="AD14" i="21"/>
  <c r="AF14" i="21"/>
  <c r="AG14" i="21"/>
  <c r="AA14" i="21"/>
  <c r="AB14" i="21"/>
  <c r="B15" i="21"/>
  <c r="C15" i="21" a="1"/>
  <c r="C15" i="21"/>
  <c r="D15" i="21" a="1"/>
  <c r="E15" i="21"/>
  <c r="I15" i="21"/>
  <c r="K15" i="21"/>
  <c r="M15" i="21"/>
  <c r="P15" i="21"/>
  <c r="S15" i="21"/>
  <c r="AD15" i="21"/>
  <c r="AF15" i="21"/>
  <c r="AG15" i="21"/>
  <c r="AA15" i="21"/>
  <c r="AB15" i="21"/>
  <c r="B16" i="21"/>
  <c r="C16" i="21" a="1"/>
  <c r="C16" i="21"/>
  <c r="D16" i="21" a="1"/>
  <c r="E16" i="21"/>
  <c r="I16" i="21"/>
  <c r="K16" i="21"/>
  <c r="M16" i="21"/>
  <c r="P16" i="21"/>
  <c r="S16" i="21"/>
  <c r="AD16" i="21"/>
  <c r="AF16" i="21"/>
  <c r="AG16" i="21"/>
  <c r="AA16" i="21"/>
  <c r="AB16" i="21"/>
  <c r="B17" i="21"/>
  <c r="C17" i="21" a="1"/>
  <c r="C17" i="21"/>
  <c r="D17" i="21" a="1"/>
  <c r="E17" i="21"/>
  <c r="I17" i="21"/>
  <c r="K17" i="21"/>
  <c r="M17" i="21"/>
  <c r="P17" i="21"/>
  <c r="S17" i="21"/>
  <c r="Y17" i="21"/>
  <c r="AD17" i="21"/>
  <c r="AF17" i="21"/>
  <c r="AG17" i="21"/>
  <c r="AA17" i="21"/>
  <c r="AB17" i="21"/>
  <c r="B18" i="21"/>
  <c r="C18" i="21" a="1"/>
  <c r="C18" i="21"/>
  <c r="D18" i="21" a="1"/>
  <c r="E18" i="21"/>
  <c r="I18" i="21"/>
  <c r="K18" i="21"/>
  <c r="M18" i="21"/>
  <c r="P18" i="21"/>
  <c r="S18" i="21"/>
  <c r="AD18" i="21"/>
  <c r="AF18" i="21"/>
  <c r="AG18" i="21"/>
  <c r="AA18" i="21"/>
  <c r="AB18" i="21"/>
  <c r="B19" i="21"/>
  <c r="C19" i="21" a="1"/>
  <c r="C19" i="21"/>
  <c r="D19" i="21" a="1"/>
  <c r="E19" i="21"/>
  <c r="I19" i="21"/>
  <c r="K19" i="21"/>
  <c r="M19" i="21"/>
  <c r="P19" i="21"/>
  <c r="S19" i="21"/>
  <c r="AD19" i="21"/>
  <c r="AF19" i="21"/>
  <c r="AG19" i="21"/>
  <c r="AA19" i="21"/>
  <c r="AB19" i="21"/>
  <c r="B20" i="21"/>
  <c r="C20" i="21" a="1"/>
  <c r="C20" i="21"/>
  <c r="D20" i="21" a="1"/>
  <c r="E20" i="21"/>
  <c r="I20" i="21"/>
  <c r="K20" i="21"/>
  <c r="M20" i="21"/>
  <c r="P20" i="21"/>
  <c r="S20" i="21"/>
  <c r="AD20" i="21"/>
  <c r="AF20" i="21"/>
  <c r="AG20" i="21"/>
  <c r="AA20" i="21"/>
  <c r="AB20" i="21"/>
  <c r="B21" i="21"/>
  <c r="C21" i="21" a="1"/>
  <c r="C21" i="21"/>
  <c r="D21" i="21" a="1"/>
  <c r="E21" i="21"/>
  <c r="I21" i="21"/>
  <c r="K21" i="21"/>
  <c r="M21" i="21"/>
  <c r="P21" i="21"/>
  <c r="S21" i="21"/>
  <c r="AD21" i="21"/>
  <c r="AF21" i="21"/>
  <c r="AG21" i="21"/>
  <c r="AA21" i="21"/>
  <c r="AB21" i="21"/>
  <c r="C22" i="21" a="1"/>
  <c r="C22" i="21"/>
  <c r="D22" i="21" a="1"/>
  <c r="E22" i="21"/>
  <c r="M22" i="21"/>
  <c r="P22" i="21"/>
  <c r="S22" i="21"/>
  <c r="AB22" i="21"/>
  <c r="B23" i="21"/>
  <c r="C23" i="21" a="1"/>
  <c r="C23" i="21"/>
  <c r="D23" i="21" a="1"/>
  <c r="E23" i="21"/>
  <c r="I23" i="21"/>
  <c r="K23" i="21"/>
  <c r="M23" i="21"/>
  <c r="P23" i="21"/>
  <c r="S23" i="21"/>
  <c r="AD23" i="21"/>
  <c r="AF23" i="21"/>
  <c r="AG23" i="21"/>
  <c r="AA23" i="21"/>
  <c r="AB23" i="21"/>
  <c r="I50" i="21"/>
  <c r="H50" i="21"/>
  <c r="K50" i="21"/>
  <c r="AD50" i="21"/>
  <c r="AG50" i="21"/>
  <c r="AF50" i="21"/>
  <c r="AB50" i="21"/>
  <c r="AA50" i="21"/>
  <c r="AC47" i="21"/>
  <c r="AE47" i="21"/>
  <c r="F47" i="21"/>
  <c r="I47" i="21"/>
  <c r="H47" i="21"/>
  <c r="K47" i="21"/>
  <c r="AD47" i="21"/>
  <c r="AG47" i="21"/>
  <c r="AF47" i="21"/>
  <c r="AB47" i="21"/>
  <c r="AA47" i="21"/>
  <c r="AC44" i="21"/>
  <c r="AE44" i="21"/>
  <c r="F44" i="21"/>
  <c r="I44" i="21"/>
  <c r="H44" i="21"/>
  <c r="K44" i="21"/>
  <c r="AD44" i="21"/>
  <c r="AG44" i="21"/>
  <c r="AF44" i="21"/>
  <c r="AB44" i="21"/>
  <c r="AA44" i="21"/>
  <c r="AC43" i="21"/>
  <c r="AE43" i="21"/>
  <c r="F43" i="21"/>
  <c r="I43" i="21"/>
  <c r="H43" i="21"/>
  <c r="K43" i="21"/>
  <c r="AD43" i="21"/>
  <c r="AG43" i="21"/>
  <c r="AF43" i="21"/>
  <c r="AB43" i="21"/>
  <c r="AA43" i="21"/>
  <c r="AC40" i="21"/>
  <c r="AE40" i="21"/>
  <c r="F40" i="21"/>
  <c r="I40" i="21"/>
  <c r="H40" i="21"/>
  <c r="K40" i="21"/>
  <c r="AD40" i="21"/>
  <c r="AG40" i="21"/>
  <c r="AF40" i="21"/>
  <c r="AB40" i="21"/>
  <c r="AA40" i="21"/>
  <c r="AC39" i="21"/>
  <c r="AE39" i="21"/>
  <c r="F39" i="21"/>
  <c r="I39" i="21"/>
  <c r="H39" i="21"/>
  <c r="K39" i="21"/>
  <c r="AD39" i="21"/>
  <c r="AG39" i="21"/>
  <c r="AF39" i="21"/>
  <c r="AB39" i="21"/>
  <c r="AA39" i="21"/>
  <c r="AC36" i="21"/>
  <c r="AE36" i="21"/>
  <c r="F36" i="21"/>
  <c r="I36" i="21"/>
  <c r="H36" i="21"/>
  <c r="K36" i="21"/>
  <c r="AD36" i="21"/>
  <c r="AG36" i="21"/>
  <c r="AF36" i="21"/>
  <c r="AB36" i="21"/>
  <c r="AA36" i="21"/>
  <c r="AC35" i="21"/>
  <c r="AE35" i="21"/>
  <c r="F35" i="21"/>
  <c r="I35" i="21"/>
  <c r="H35" i="21"/>
  <c r="K35" i="21"/>
  <c r="AD35" i="21"/>
  <c r="AG35" i="21"/>
  <c r="AF35" i="21"/>
  <c r="AB35" i="21"/>
  <c r="AA35" i="21"/>
  <c r="AC32" i="21"/>
  <c r="AE32" i="21"/>
  <c r="F32" i="21"/>
  <c r="I32" i="21"/>
  <c r="H32" i="21"/>
  <c r="K32" i="21"/>
  <c r="AD32" i="21"/>
  <c r="AG32" i="21"/>
  <c r="AF32" i="21"/>
  <c r="AB32" i="21"/>
  <c r="AA32" i="21"/>
  <c r="AC31" i="21"/>
  <c r="AE31" i="21"/>
  <c r="F31" i="21"/>
  <c r="I31" i="21"/>
  <c r="H31" i="21"/>
  <c r="K31" i="21"/>
  <c r="AD31" i="21"/>
  <c r="AG31" i="21"/>
  <c r="AF31" i="21"/>
  <c r="AB31" i="21"/>
  <c r="AA31" i="21"/>
  <c r="AC28" i="21"/>
  <c r="AE28" i="21"/>
  <c r="F28" i="21"/>
  <c r="I28" i="21"/>
  <c r="K28" i="21"/>
  <c r="AD28" i="21"/>
  <c r="AG28" i="21"/>
  <c r="AF28" i="21"/>
  <c r="AB28" i="21"/>
  <c r="AA28" i="21"/>
  <c r="AC27" i="21"/>
  <c r="AE27" i="21"/>
  <c r="F27" i="21"/>
  <c r="I27" i="21"/>
  <c r="K27" i="21"/>
  <c r="AD27" i="21"/>
  <c r="AG27" i="21"/>
  <c r="AF27" i="21"/>
  <c r="AB27" i="21"/>
  <c r="AA27" i="21"/>
  <c r="AC23" i="21"/>
  <c r="AE23" i="21"/>
  <c r="AC22" i="21"/>
  <c r="AE22" i="21"/>
  <c r="AC21" i="21"/>
  <c r="AE21" i="21"/>
  <c r="AC20" i="21"/>
  <c r="AE20" i="21"/>
  <c r="AC19" i="21"/>
  <c r="AE19" i="21"/>
  <c r="AC18" i="21"/>
  <c r="AE18" i="21"/>
  <c r="AC17" i="21"/>
  <c r="AE17" i="21"/>
  <c r="AC16" i="21"/>
  <c r="AE16" i="21"/>
  <c r="AC15" i="21"/>
  <c r="AE15" i="21"/>
  <c r="AC14" i="21"/>
  <c r="AE14" i="21"/>
  <c r="AC13" i="21"/>
  <c r="AE13" i="21"/>
  <c r="AC12" i="21"/>
  <c r="AE12" i="21"/>
  <c r="E12" i="21"/>
  <c r="AG12" i="40"/>
  <c r="H12" i="40"/>
  <c r="V64" i="42"/>
  <c r="AG13" i="40"/>
  <c r="J12" i="40"/>
  <c r="AA64" i="42"/>
  <c r="AE64" i="42"/>
  <c r="AG19" i="40"/>
  <c r="AF17" i="40"/>
  <c r="H13" i="40"/>
  <c r="V65" i="42"/>
  <c r="AG20" i="40"/>
  <c r="J13" i="40"/>
  <c r="AA65" i="42"/>
  <c r="X65" i="42"/>
  <c r="Y65" i="42"/>
  <c r="AG65" i="42"/>
  <c r="AH65" i="42"/>
  <c r="AE65" i="42"/>
  <c r="AG26" i="40"/>
  <c r="AF24" i="40"/>
  <c r="H14" i="40"/>
  <c r="V66" i="42"/>
  <c r="AG33" i="40"/>
  <c r="AF31" i="40"/>
  <c r="H15" i="40"/>
  <c r="V67" i="42"/>
  <c r="AG40" i="40"/>
  <c r="AF38" i="40"/>
  <c r="H16" i="40"/>
  <c r="V68" i="42"/>
  <c r="AG47" i="40"/>
  <c r="AF45" i="40"/>
  <c r="H17" i="40"/>
  <c r="V69" i="42"/>
  <c r="AG14" i="40"/>
  <c r="H18" i="40"/>
  <c r="V70" i="42"/>
  <c r="AG21" i="40"/>
  <c r="H19" i="40"/>
  <c r="V71" i="42"/>
  <c r="AG28" i="40"/>
  <c r="H20" i="40"/>
  <c r="V72" i="42"/>
  <c r="AG35" i="40"/>
  <c r="H21" i="40"/>
  <c r="V73" i="42"/>
  <c r="AG42" i="40"/>
  <c r="H22" i="40"/>
  <c r="V74" i="42"/>
  <c r="AG49" i="40"/>
  <c r="H23" i="40"/>
  <c r="V75" i="42"/>
  <c r="H24" i="40"/>
  <c r="V76" i="42"/>
  <c r="H25" i="40"/>
  <c r="V77" i="42"/>
  <c r="H26" i="40"/>
  <c r="V78" i="42"/>
  <c r="H27" i="40"/>
  <c r="V79" i="42"/>
  <c r="H28" i="40"/>
  <c r="V80" i="42"/>
  <c r="H29" i="40"/>
  <c r="V81" i="42"/>
  <c r="AG15" i="40"/>
  <c r="H30" i="40"/>
  <c r="V82" i="42"/>
  <c r="AG22" i="40"/>
  <c r="H31" i="40"/>
  <c r="V83" i="42"/>
  <c r="AG29" i="40"/>
  <c r="H32" i="40"/>
  <c r="V84" i="42"/>
  <c r="AG36" i="40"/>
  <c r="H33" i="40"/>
  <c r="V85" i="42"/>
  <c r="AG43" i="40"/>
  <c r="H34" i="40"/>
  <c r="V86" i="42"/>
  <c r="AG50" i="40"/>
  <c r="H35" i="40"/>
  <c r="V87" i="42"/>
  <c r="H36" i="40"/>
  <c r="V88" i="42"/>
  <c r="H37" i="40"/>
  <c r="V89" i="42"/>
  <c r="H38" i="40"/>
  <c r="V90" i="42"/>
  <c r="H39" i="40"/>
  <c r="V91" i="42"/>
  <c r="H40" i="40"/>
  <c r="V92" i="42"/>
  <c r="H41" i="40"/>
  <c r="V93" i="42"/>
  <c r="H42" i="40"/>
  <c r="V94" i="42"/>
  <c r="H43" i="40"/>
  <c r="V95" i="42"/>
  <c r="AG27" i="40"/>
  <c r="H44" i="40"/>
  <c r="V96" i="42"/>
  <c r="AG34" i="40"/>
  <c r="H45" i="40"/>
  <c r="V97" i="42"/>
  <c r="AG41" i="40"/>
  <c r="H46" i="40"/>
  <c r="V98" i="42"/>
  <c r="AG48" i="40"/>
  <c r="H47" i="40"/>
  <c r="V99" i="42"/>
  <c r="J14" i="40"/>
  <c r="AA66" i="42"/>
  <c r="X66" i="42"/>
  <c r="Y66" i="42"/>
  <c r="AG66" i="42"/>
  <c r="AH66" i="42"/>
  <c r="AE66" i="42"/>
  <c r="J15" i="40"/>
  <c r="AA67" i="42"/>
  <c r="X67" i="42"/>
  <c r="Y67" i="42"/>
  <c r="AG67" i="42"/>
  <c r="AH67" i="42"/>
  <c r="AE67" i="42"/>
  <c r="J16" i="40"/>
  <c r="AA68" i="42"/>
  <c r="X68" i="42"/>
  <c r="Y68" i="42"/>
  <c r="AG68" i="42"/>
  <c r="AH68" i="42"/>
  <c r="AE68" i="42"/>
  <c r="J17" i="40"/>
  <c r="AA69" i="42"/>
  <c r="X69" i="42"/>
  <c r="Y69" i="42"/>
  <c r="AG69" i="42"/>
  <c r="AH69" i="42"/>
  <c r="AE69" i="42"/>
  <c r="J18" i="40"/>
  <c r="AA70" i="42"/>
  <c r="AE70" i="42"/>
  <c r="J19" i="40"/>
  <c r="AA71" i="42"/>
  <c r="X71" i="42"/>
  <c r="Y71" i="42"/>
  <c r="AG71" i="42"/>
  <c r="AH71" i="42"/>
  <c r="AE71" i="42"/>
  <c r="J20" i="40"/>
  <c r="AA72" i="42"/>
  <c r="X72" i="42"/>
  <c r="Y72" i="42"/>
  <c r="AG72" i="42"/>
  <c r="AH72" i="42"/>
  <c r="AE72" i="42"/>
  <c r="J21" i="40"/>
  <c r="AA73" i="42"/>
  <c r="X73" i="42"/>
  <c r="Y73" i="42"/>
  <c r="AG73" i="42"/>
  <c r="AH73" i="42"/>
  <c r="AE73" i="42"/>
  <c r="J22" i="40"/>
  <c r="AA74" i="42"/>
  <c r="X74" i="42"/>
  <c r="Y74" i="42"/>
  <c r="AG74" i="42"/>
  <c r="AH74" i="42"/>
  <c r="AE74" i="42"/>
  <c r="J23" i="40"/>
  <c r="AA75" i="42"/>
  <c r="X75" i="42"/>
  <c r="Y75" i="42"/>
  <c r="AG75" i="42"/>
  <c r="AH75" i="42"/>
  <c r="AE75" i="42"/>
  <c r="J24" i="40"/>
  <c r="AA76" i="42"/>
  <c r="AE76" i="42"/>
  <c r="J25" i="40"/>
  <c r="AA77" i="42"/>
  <c r="X77" i="42"/>
  <c r="Y77" i="42"/>
  <c r="AG77" i="42"/>
  <c r="AH77" i="42"/>
  <c r="AE77" i="42"/>
  <c r="J26" i="40"/>
  <c r="AA78" i="42"/>
  <c r="X78" i="42"/>
  <c r="Y78" i="42"/>
  <c r="AG78" i="42"/>
  <c r="AH78" i="42"/>
  <c r="AE78" i="42"/>
  <c r="J27" i="40"/>
  <c r="AA79" i="42"/>
  <c r="X79" i="42"/>
  <c r="Y79" i="42"/>
  <c r="AG79" i="42"/>
  <c r="AH79" i="42"/>
  <c r="AE79" i="42"/>
  <c r="J28" i="40"/>
  <c r="AA80" i="42"/>
  <c r="X80" i="42"/>
  <c r="Y80" i="42"/>
  <c r="AG80" i="42"/>
  <c r="AH80" i="42"/>
  <c r="AE80" i="42"/>
  <c r="J29" i="40"/>
  <c r="AA81" i="42"/>
  <c r="X81" i="42"/>
  <c r="Y81" i="42"/>
  <c r="AG81" i="42"/>
  <c r="AH81" i="42"/>
  <c r="AE81" i="42"/>
  <c r="J30" i="40"/>
  <c r="AA82" i="42"/>
  <c r="AE82" i="42"/>
  <c r="J31" i="40"/>
  <c r="AA83" i="42"/>
  <c r="X83" i="42"/>
  <c r="Y83" i="42"/>
  <c r="AG83" i="42"/>
  <c r="AH83" i="42"/>
  <c r="AE83" i="42"/>
  <c r="J32" i="40"/>
  <c r="AA84" i="42"/>
  <c r="X84" i="42"/>
  <c r="Y84" i="42"/>
  <c r="AG84" i="42"/>
  <c r="AH84" i="42"/>
  <c r="AE84" i="42"/>
  <c r="J33" i="40"/>
  <c r="AA85" i="42"/>
  <c r="X85" i="42"/>
  <c r="Y85" i="42"/>
  <c r="AG85" i="42"/>
  <c r="AH85" i="42"/>
  <c r="AE85" i="42"/>
  <c r="J34" i="40"/>
  <c r="AA86" i="42"/>
  <c r="X86" i="42"/>
  <c r="Y86" i="42"/>
  <c r="AG86" i="42"/>
  <c r="AH86" i="42"/>
  <c r="AE86" i="42"/>
  <c r="J35" i="40"/>
  <c r="AA87" i="42"/>
  <c r="X87" i="42"/>
  <c r="Y87" i="42"/>
  <c r="AG87" i="42"/>
  <c r="AH87" i="42"/>
  <c r="AE87" i="42"/>
  <c r="J36" i="40"/>
  <c r="AA88" i="42"/>
  <c r="AE88" i="42"/>
  <c r="J37" i="40"/>
  <c r="AA89" i="42"/>
  <c r="X89" i="42"/>
  <c r="Y89" i="42"/>
  <c r="AG89" i="42"/>
  <c r="AH89" i="42"/>
  <c r="AE89" i="42"/>
  <c r="J38" i="40"/>
  <c r="AA90" i="42"/>
  <c r="X90" i="42"/>
  <c r="Y90" i="42"/>
  <c r="AG90" i="42"/>
  <c r="AH90" i="42"/>
  <c r="AE90" i="42"/>
  <c r="J39" i="40"/>
  <c r="AA91" i="42"/>
  <c r="X91" i="42"/>
  <c r="Y91" i="42"/>
  <c r="AG91" i="42"/>
  <c r="AH91" i="42"/>
  <c r="AE91" i="42"/>
  <c r="J40" i="40"/>
  <c r="AA92" i="42"/>
  <c r="X92" i="42"/>
  <c r="Y92" i="42"/>
  <c r="AG92" i="42"/>
  <c r="AH92" i="42"/>
  <c r="AE92" i="42"/>
  <c r="J41" i="40"/>
  <c r="AA93" i="42"/>
  <c r="X93" i="42"/>
  <c r="Y93" i="42"/>
  <c r="AG93" i="42"/>
  <c r="AH93" i="42"/>
  <c r="AE93" i="42"/>
  <c r="J42" i="40"/>
  <c r="AA94" i="42"/>
  <c r="AE94" i="42"/>
  <c r="J43" i="40"/>
  <c r="AA95" i="42"/>
  <c r="X95" i="42"/>
  <c r="Y95" i="42"/>
  <c r="AG95" i="42"/>
  <c r="AH95" i="42"/>
  <c r="AE95" i="42"/>
  <c r="J44" i="40"/>
  <c r="AA96" i="42"/>
  <c r="X96" i="42"/>
  <c r="Y96" i="42"/>
  <c r="AG96" i="42"/>
  <c r="AH96" i="42"/>
  <c r="AE96" i="42"/>
  <c r="J45" i="40"/>
  <c r="AA97" i="42"/>
  <c r="X97" i="42"/>
  <c r="Y97" i="42"/>
  <c r="AG97" i="42"/>
  <c r="AH97" i="42"/>
  <c r="AE97" i="42"/>
  <c r="J46" i="40"/>
  <c r="AA98" i="42"/>
  <c r="X98" i="42"/>
  <c r="Y98" i="42"/>
  <c r="AG98" i="42"/>
  <c r="AH98" i="42"/>
  <c r="AE98" i="42"/>
  <c r="J47" i="40"/>
  <c r="AA99" i="42"/>
  <c r="X99" i="42"/>
  <c r="Y99" i="42"/>
  <c r="AG99" i="42"/>
  <c r="AH99" i="42"/>
  <c r="AE99"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W89" i="42"/>
  <c r="W90" i="42"/>
  <c r="W91" i="42"/>
  <c r="W92" i="42"/>
  <c r="W93" i="42"/>
  <c r="W94" i="42"/>
  <c r="W95" i="42"/>
  <c r="W96" i="42"/>
  <c r="W97" i="42"/>
  <c r="W98" i="42"/>
  <c r="W99" i="42"/>
  <c r="AF64" i="42"/>
  <c r="AF65" i="42"/>
  <c r="AF66" i="42"/>
  <c r="AF67" i="42"/>
  <c r="AF68" i="42"/>
  <c r="AF69" i="42"/>
  <c r="AF70" i="42"/>
  <c r="AF71" i="42"/>
  <c r="AF72" i="42"/>
  <c r="AF73" i="42"/>
  <c r="AF74" i="42"/>
  <c r="AF75" i="42"/>
  <c r="AF76" i="42"/>
  <c r="AF77" i="42"/>
  <c r="AF78" i="42"/>
  <c r="AF79" i="42"/>
  <c r="AF80" i="42"/>
  <c r="AF81" i="42"/>
  <c r="AF82" i="42"/>
  <c r="AF83" i="42"/>
  <c r="AF84" i="42"/>
  <c r="AF85" i="42"/>
  <c r="AF86" i="42"/>
  <c r="AF87" i="42"/>
  <c r="AF88" i="42"/>
  <c r="AF89" i="42"/>
  <c r="AF90" i="42"/>
  <c r="AF91" i="42"/>
  <c r="AF92" i="42"/>
  <c r="AF93" i="42"/>
  <c r="AF94" i="42"/>
  <c r="AF95" i="42"/>
  <c r="AF96" i="42"/>
  <c r="AF97" i="42"/>
  <c r="AF98" i="42"/>
  <c r="AF99" i="42"/>
  <c r="J12" i="31"/>
  <c r="J11" i="31"/>
  <c r="J10" i="31"/>
  <c r="J9" i="31"/>
  <c r="J8" i="31"/>
  <c r="C65" i="31"/>
  <c r="F7" i="31"/>
  <c r="J7" i="31"/>
  <c r="C64" i="31"/>
  <c r="F6" i="31"/>
  <c r="J6" i="31"/>
  <c r="C63" i="31"/>
  <c r="F5" i="31"/>
  <c r="J5" i="31"/>
  <c r="C62" i="31"/>
  <c r="F4" i="31"/>
  <c r="J4" i="31"/>
  <c r="J12" i="30"/>
  <c r="J11" i="30"/>
  <c r="J10" i="30"/>
  <c r="J9" i="30"/>
  <c r="J8" i="30"/>
  <c r="C65" i="30"/>
  <c r="F7" i="30"/>
  <c r="J7" i="30"/>
  <c r="C64" i="30"/>
  <c r="F6" i="30"/>
  <c r="J6" i="30"/>
  <c r="C63" i="30"/>
  <c r="F5" i="30"/>
  <c r="J5" i="30"/>
  <c r="C62" i="30"/>
  <c r="F4" i="30"/>
  <c r="J4" i="30"/>
  <c r="J12" i="29"/>
  <c r="J11" i="29"/>
  <c r="J10" i="29"/>
  <c r="J9" i="29"/>
  <c r="J8" i="29"/>
  <c r="C65" i="29"/>
  <c r="F7" i="29"/>
  <c r="J7" i="29"/>
  <c r="C64" i="29"/>
  <c r="F6" i="29"/>
  <c r="J6" i="29"/>
  <c r="C63" i="29"/>
  <c r="F5" i="29"/>
  <c r="J5" i="29"/>
  <c r="C62" i="29"/>
  <c r="F4" i="29"/>
  <c r="J4" i="29"/>
  <c r="J12" i="28"/>
  <c r="J11" i="28"/>
  <c r="J10" i="28"/>
  <c r="J9" i="28"/>
  <c r="J8" i="28"/>
  <c r="C65" i="28"/>
  <c r="F7" i="28"/>
  <c r="J7" i="28"/>
  <c r="C64" i="28"/>
  <c r="F6" i="28"/>
  <c r="J6" i="28"/>
  <c r="C63" i="28"/>
  <c r="F5" i="28"/>
  <c r="J5" i="28"/>
  <c r="C62" i="28"/>
  <c r="F4" i="28"/>
  <c r="J4" i="28"/>
  <c r="J12" i="27"/>
  <c r="J11" i="27"/>
  <c r="J10" i="27"/>
  <c r="J9" i="27"/>
  <c r="J8" i="27"/>
  <c r="C65" i="27"/>
  <c r="F7" i="27"/>
  <c r="J7" i="27"/>
  <c r="C64" i="27"/>
  <c r="F6" i="27"/>
  <c r="J6" i="27"/>
  <c r="C63" i="27"/>
  <c r="F5" i="27"/>
  <c r="J5" i="27"/>
  <c r="C62" i="27"/>
  <c r="F4" i="27"/>
  <c r="J4" i="27"/>
  <c r="C63" i="26"/>
  <c r="F5" i="26"/>
  <c r="J5" i="26"/>
  <c r="C64" i="26"/>
  <c r="F6" i="26"/>
  <c r="J6" i="26"/>
  <c r="C65" i="26"/>
  <c r="F7" i="26"/>
  <c r="J7" i="26"/>
  <c r="J8" i="26"/>
  <c r="J9" i="26"/>
  <c r="J10" i="26"/>
  <c r="J11" i="26"/>
  <c r="J12" i="26"/>
  <c r="C62" i="26"/>
  <c r="F4" i="26"/>
  <c r="J4" i="26"/>
  <c r="AB135" i="35"/>
  <c r="AB134" i="35"/>
  <c r="AB133" i="35"/>
  <c r="AB132" i="35"/>
  <c r="AB131" i="35"/>
  <c r="AB130" i="35"/>
  <c r="AB129" i="35"/>
  <c r="AB128" i="35"/>
  <c r="AB127" i="35"/>
  <c r="AB126" i="35"/>
  <c r="AB125" i="35"/>
  <c r="AB124" i="35"/>
  <c r="AB123" i="35"/>
  <c r="AB122" i="35"/>
  <c r="AB121" i="35"/>
  <c r="AB120" i="35"/>
  <c r="AB119" i="35"/>
  <c r="AB118" i="35"/>
  <c r="AB117" i="35"/>
  <c r="AB116" i="35"/>
  <c r="AB115" i="35"/>
  <c r="AB114" i="35"/>
  <c r="AB113" i="35"/>
  <c r="AB112" i="35"/>
  <c r="AB111" i="35"/>
  <c r="AB110" i="35"/>
  <c r="AB109" i="35"/>
  <c r="AB108" i="35"/>
  <c r="AB107" i="35"/>
  <c r="AB106" i="35"/>
  <c r="AB105" i="35"/>
  <c r="AB104" i="35"/>
  <c r="AB103" i="35"/>
  <c r="AB102" i="35"/>
  <c r="AB101" i="35"/>
  <c r="AB100" i="35"/>
  <c r="AB99" i="35"/>
  <c r="AB98" i="35"/>
  <c r="AB97" i="35"/>
  <c r="AB96" i="35"/>
  <c r="AB95" i="35"/>
  <c r="AB94" i="35"/>
  <c r="AB93" i="35"/>
  <c r="AB92" i="35"/>
  <c r="AB91" i="35"/>
  <c r="AB90" i="35"/>
  <c r="AB89" i="35"/>
  <c r="AB88" i="35"/>
  <c r="AB87" i="35"/>
  <c r="AB86" i="35"/>
  <c r="AB85" i="35"/>
  <c r="AB84" i="35"/>
  <c r="AB83" i="35"/>
  <c r="AB82" i="35"/>
  <c r="AB81" i="35"/>
  <c r="AB80" i="35"/>
  <c r="AB79" i="35"/>
  <c r="AB78" i="35"/>
  <c r="AB77" i="35"/>
  <c r="AB76" i="35"/>
  <c r="AB75" i="35"/>
  <c r="AB74" i="35"/>
  <c r="AB73" i="35"/>
  <c r="AB72" i="35"/>
  <c r="AB71" i="35"/>
  <c r="AB70" i="35"/>
  <c r="AB69" i="35"/>
  <c r="AB68" i="35"/>
  <c r="AB67" i="35"/>
  <c r="AB66" i="35"/>
  <c r="AB65" i="35"/>
  <c r="AB64" i="35"/>
  <c r="AB135" i="25"/>
  <c r="AB134" i="25"/>
  <c r="AB133" i="25"/>
  <c r="AB132" i="25"/>
  <c r="AB131" i="25"/>
  <c r="AB130" i="25"/>
  <c r="AB129" i="25"/>
  <c r="AB128" i="25"/>
  <c r="AB127" i="25"/>
  <c r="AB126" i="25"/>
  <c r="AB125" i="25"/>
  <c r="AB124" i="25"/>
  <c r="AB123" i="25"/>
  <c r="AB122" i="25"/>
  <c r="AB121" i="25"/>
  <c r="AB120" i="25"/>
  <c r="AB119" i="25"/>
  <c r="AB118" i="25"/>
  <c r="AB117" i="25"/>
  <c r="AB116" i="25"/>
  <c r="AB115" i="25"/>
  <c r="AB114" i="25"/>
  <c r="AB113" i="25"/>
  <c r="AB112" i="25"/>
  <c r="AB111" i="25"/>
  <c r="AB110" i="25"/>
  <c r="AB109" i="25"/>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I41" i="6"/>
  <c r="Z64" i="35"/>
  <c r="Z65" i="35"/>
  <c r="AI64" i="35"/>
  <c r="AI65" i="35"/>
  <c r="Z66" i="35"/>
  <c r="AI66" i="35"/>
  <c r="Z67" i="35"/>
  <c r="AI67" i="35"/>
  <c r="Z68" i="35"/>
  <c r="AI68" i="35"/>
  <c r="Z69" i="35"/>
  <c r="AI69" i="35"/>
  <c r="Z70" i="35"/>
  <c r="AI70" i="35"/>
  <c r="Z71" i="35"/>
  <c r="AI71" i="35"/>
  <c r="Z72" i="35"/>
  <c r="AI72" i="35"/>
  <c r="Z73" i="35"/>
  <c r="AI73" i="35"/>
  <c r="Z74" i="35"/>
  <c r="AI74" i="35"/>
  <c r="Z75" i="35"/>
  <c r="AI75" i="35"/>
  <c r="Z76" i="35"/>
  <c r="AI76" i="35"/>
  <c r="Z77" i="35"/>
  <c r="AI77" i="35"/>
  <c r="Z78" i="35"/>
  <c r="AI78" i="35"/>
  <c r="Z79" i="35"/>
  <c r="AI79" i="35"/>
  <c r="Z80" i="35"/>
  <c r="AI80" i="35"/>
  <c r="Z81" i="35"/>
  <c r="AI81" i="35"/>
  <c r="Z82" i="35"/>
  <c r="AI82" i="35"/>
  <c r="Z83" i="35"/>
  <c r="AI83" i="35"/>
  <c r="Z84" i="35"/>
  <c r="AI84" i="35"/>
  <c r="Z85" i="35"/>
  <c r="AI85" i="35"/>
  <c r="Z86" i="35"/>
  <c r="AI86" i="35"/>
  <c r="Z87" i="35"/>
  <c r="AI87" i="35"/>
  <c r="Z88" i="35"/>
  <c r="AI88" i="35"/>
  <c r="Z89" i="35"/>
  <c r="AI89" i="35"/>
  <c r="Z90" i="35"/>
  <c r="AI90" i="35"/>
  <c r="Z91" i="35"/>
  <c r="AI91" i="35"/>
  <c r="Z92" i="35"/>
  <c r="AI92" i="35"/>
  <c r="Z93" i="35"/>
  <c r="AI93" i="35"/>
  <c r="Z94" i="35"/>
  <c r="AI94" i="35"/>
  <c r="Z95" i="35"/>
  <c r="AI95" i="35"/>
  <c r="Z96" i="35"/>
  <c r="AI96" i="35"/>
  <c r="Z97" i="35"/>
  <c r="AI97" i="35"/>
  <c r="Z98" i="35"/>
  <c r="AI98" i="35"/>
  <c r="Z99" i="35"/>
  <c r="AI99" i="35"/>
  <c r="Z100" i="35"/>
  <c r="AI100" i="35"/>
  <c r="Z101" i="35"/>
  <c r="AI101" i="35"/>
  <c r="Z102" i="35"/>
  <c r="AI102" i="35"/>
  <c r="Z103" i="35"/>
  <c r="AI103" i="35"/>
  <c r="Z104" i="35"/>
  <c r="AI104" i="35"/>
  <c r="Z105" i="35"/>
  <c r="AI105" i="35"/>
  <c r="Z106" i="35"/>
  <c r="AI106" i="35"/>
  <c r="Z107" i="35"/>
  <c r="AI107" i="35"/>
  <c r="Z108" i="35"/>
  <c r="AI108" i="35"/>
  <c r="Z109" i="35"/>
  <c r="AI109" i="35"/>
  <c r="Z110" i="35"/>
  <c r="AI110" i="35"/>
  <c r="Z111" i="35"/>
  <c r="AI111" i="35"/>
  <c r="Z112" i="35"/>
  <c r="AI112" i="35"/>
  <c r="Z113" i="35"/>
  <c r="AI113" i="35"/>
  <c r="Z114" i="35"/>
  <c r="AI114" i="35"/>
  <c r="Z115" i="35"/>
  <c r="AI115" i="35"/>
  <c r="Z116" i="35"/>
  <c r="AI116" i="35"/>
  <c r="Z117" i="35"/>
  <c r="AI117" i="35"/>
  <c r="Z118" i="35"/>
  <c r="AI118" i="35"/>
  <c r="Z119" i="35"/>
  <c r="AI119" i="35"/>
  <c r="Z120" i="35"/>
  <c r="AI120" i="35"/>
  <c r="Z121" i="35"/>
  <c r="AI121" i="35"/>
  <c r="Z122" i="35"/>
  <c r="AI122" i="35"/>
  <c r="Z123" i="35"/>
  <c r="AI123" i="35"/>
  <c r="Z136" i="35"/>
  <c r="AA136" i="35"/>
  <c r="AB136" i="35"/>
  <c r="AI136" i="35"/>
  <c r="Z137" i="35"/>
  <c r="AA137" i="35"/>
  <c r="AB137" i="35"/>
  <c r="AI137" i="35"/>
  <c r="Z138" i="35"/>
  <c r="AA138" i="35"/>
  <c r="AB138" i="35"/>
  <c r="AI138" i="35"/>
  <c r="Z139" i="35"/>
  <c r="AA139" i="35"/>
  <c r="AB139" i="35"/>
  <c r="AI139" i="35"/>
  <c r="Z140" i="35"/>
  <c r="AA140" i="35"/>
  <c r="AB140" i="35"/>
  <c r="AI140" i="35"/>
  <c r="Z141" i="35"/>
  <c r="AA141" i="35"/>
  <c r="AB141" i="35"/>
  <c r="AI141" i="35"/>
  <c r="Z142" i="35"/>
  <c r="AA142" i="35"/>
  <c r="AB142" i="35"/>
  <c r="AI142" i="35"/>
  <c r="Z143" i="35"/>
  <c r="AA143" i="35"/>
  <c r="AB143" i="35"/>
  <c r="AI143" i="35"/>
  <c r="Z144" i="35"/>
  <c r="AA144" i="35"/>
  <c r="AB144" i="35"/>
  <c r="AI144" i="35"/>
  <c r="Z145" i="35"/>
  <c r="AA145" i="35"/>
  <c r="AB145" i="35"/>
  <c r="AI145" i="35"/>
  <c r="Z146" i="35"/>
  <c r="AA146" i="35"/>
  <c r="AB146" i="35"/>
  <c r="AI146" i="35"/>
  <c r="Z147" i="35"/>
  <c r="AA147" i="35"/>
  <c r="AB147" i="35"/>
  <c r="AI147" i="35"/>
  <c r="Z148" i="35"/>
  <c r="AA148" i="35"/>
  <c r="AB148" i="35"/>
  <c r="AI148" i="35"/>
  <c r="Z149" i="35"/>
  <c r="AA149" i="35"/>
  <c r="AB149" i="35"/>
  <c r="AI149" i="35"/>
  <c r="Z150" i="35"/>
  <c r="AA150" i="35"/>
  <c r="AB150" i="35"/>
  <c r="AI150" i="35"/>
  <c r="Z151" i="35"/>
  <c r="AA151" i="35"/>
  <c r="AB151" i="35"/>
  <c r="AI151" i="35"/>
  <c r="Z152" i="35"/>
  <c r="AA152" i="35"/>
  <c r="AB152" i="35"/>
  <c r="AI152" i="35"/>
  <c r="Z153" i="35"/>
  <c r="AA153" i="35"/>
  <c r="AB153" i="35"/>
  <c r="AI153" i="35"/>
  <c r="Z154" i="35"/>
  <c r="AA154" i="35"/>
  <c r="AB154" i="35"/>
  <c r="AI154" i="35"/>
  <c r="Z155" i="35"/>
  <c r="AA155" i="35"/>
  <c r="AB155" i="35"/>
  <c r="AI155" i="35"/>
  <c r="Z156" i="35"/>
  <c r="AA156" i="35"/>
  <c r="AB156" i="35"/>
  <c r="AI156" i="35"/>
  <c r="Z157" i="35"/>
  <c r="AA157" i="35"/>
  <c r="AB157" i="35"/>
  <c r="AI157" i="35"/>
  <c r="Z158" i="35"/>
  <c r="AA158" i="35"/>
  <c r="AB158" i="35"/>
  <c r="AI158" i="35"/>
  <c r="Z159" i="35"/>
  <c r="AA159" i="35"/>
  <c r="AB159" i="35"/>
  <c r="AI159" i="35"/>
  <c r="Z160" i="35"/>
  <c r="AA160" i="35"/>
  <c r="AB160" i="35"/>
  <c r="AI160" i="35"/>
  <c r="Z161" i="35"/>
  <c r="AA161" i="35"/>
  <c r="AB161" i="35"/>
  <c r="AI161" i="35"/>
  <c r="Z162" i="35"/>
  <c r="AA162" i="35"/>
  <c r="AB162" i="35"/>
  <c r="AI162" i="35"/>
  <c r="Z163" i="35"/>
  <c r="AA163" i="35"/>
  <c r="AB163" i="35"/>
  <c r="AI163" i="35"/>
  <c r="Z164" i="35"/>
  <c r="AA164" i="35"/>
  <c r="AB164" i="35"/>
  <c r="AI164" i="35"/>
  <c r="Z165" i="35"/>
  <c r="AA165" i="35"/>
  <c r="AB165" i="35"/>
  <c r="AI165" i="35"/>
  <c r="Z166" i="35"/>
  <c r="AA166" i="35"/>
  <c r="AB166" i="35"/>
  <c r="AI166" i="35"/>
  <c r="Z167" i="35"/>
  <c r="AA167" i="35"/>
  <c r="AB167" i="35"/>
  <c r="AI167" i="35"/>
  <c r="Z168" i="35"/>
  <c r="AA168" i="35"/>
  <c r="AB168" i="35"/>
  <c r="AI168" i="35"/>
  <c r="Z169" i="35"/>
  <c r="AA169" i="35"/>
  <c r="AB169" i="35"/>
  <c r="AI169" i="35"/>
  <c r="Z170" i="35"/>
  <c r="AA170" i="35"/>
  <c r="AB170" i="35"/>
  <c r="AI170" i="35"/>
  <c r="Z171" i="35"/>
  <c r="AA171" i="35"/>
  <c r="AB171" i="35"/>
  <c r="AI171" i="35"/>
  <c r="Z172" i="35"/>
  <c r="AA172" i="35"/>
  <c r="AB172" i="35"/>
  <c r="AI172" i="35"/>
  <c r="Z173" i="35"/>
  <c r="AA173" i="35"/>
  <c r="AB173" i="35"/>
  <c r="AI173" i="35"/>
  <c r="Z174" i="35"/>
  <c r="AA174" i="35"/>
  <c r="AB174" i="35"/>
  <c r="AI174" i="35"/>
  <c r="Z175" i="35"/>
  <c r="AA175" i="35"/>
  <c r="AB175" i="35"/>
  <c r="AI175" i="35"/>
  <c r="Z176" i="35"/>
  <c r="AA176" i="35"/>
  <c r="AB176" i="35"/>
  <c r="AI176" i="35"/>
  <c r="Z177" i="35"/>
  <c r="AA177" i="35"/>
  <c r="AB177" i="35"/>
  <c r="AI177" i="35"/>
  <c r="Z178" i="35"/>
  <c r="AA178" i="35"/>
  <c r="AB178" i="35"/>
  <c r="AI178" i="35"/>
  <c r="Z179" i="35"/>
  <c r="AA179" i="35"/>
  <c r="AB179" i="35"/>
  <c r="AI179" i="35"/>
  <c r="Z180" i="35"/>
  <c r="AA180" i="35"/>
  <c r="AB180" i="35"/>
  <c r="AI180" i="35"/>
  <c r="Z181" i="35"/>
  <c r="AA181" i="35"/>
  <c r="AB181" i="35"/>
  <c r="AI181" i="35"/>
  <c r="Z182" i="35"/>
  <c r="AA182" i="35"/>
  <c r="AB182" i="35"/>
  <c r="AI182" i="35"/>
  <c r="Z183" i="35"/>
  <c r="AA183" i="35"/>
  <c r="AB183" i="35"/>
  <c r="AI183" i="35"/>
  <c r="Z184" i="35"/>
  <c r="AA184" i="35"/>
  <c r="AB184" i="35"/>
  <c r="AI184" i="35"/>
  <c r="Z185" i="35"/>
  <c r="AA185" i="35"/>
  <c r="AB185" i="35"/>
  <c r="AI185" i="35"/>
  <c r="Z186" i="35"/>
  <c r="AA186" i="35"/>
  <c r="AB186" i="35"/>
  <c r="AI186" i="35"/>
  <c r="Z187" i="35"/>
  <c r="AA187" i="35"/>
  <c r="AB187" i="35"/>
  <c r="AI187" i="35"/>
  <c r="Z188" i="35"/>
  <c r="AA188" i="35"/>
  <c r="AB188" i="35"/>
  <c r="AI188" i="35"/>
  <c r="Z189" i="35"/>
  <c r="AA189" i="35"/>
  <c r="AB189" i="35"/>
  <c r="AI189" i="35"/>
  <c r="Z190" i="35"/>
  <c r="AA190" i="35"/>
  <c r="AB190" i="35"/>
  <c r="AI190" i="35"/>
  <c r="Z191" i="35"/>
  <c r="AA191" i="35"/>
  <c r="AB191" i="35"/>
  <c r="AI191" i="35"/>
  <c r="Z192" i="35"/>
  <c r="AA192" i="35"/>
  <c r="AB192" i="35"/>
  <c r="AI192" i="35"/>
  <c r="Z193" i="35"/>
  <c r="AA193" i="35"/>
  <c r="AB193" i="35"/>
  <c r="AI193" i="35"/>
  <c r="Z194" i="35"/>
  <c r="AA194" i="35"/>
  <c r="AB194" i="35"/>
  <c r="AI194" i="35"/>
  <c r="Z195" i="35"/>
  <c r="AA195" i="35"/>
  <c r="AB195" i="35"/>
  <c r="AI195" i="35"/>
  <c r="AI47" i="6"/>
  <c r="AH41" i="6"/>
  <c r="AH47" i="6"/>
  <c r="AG41" i="6"/>
  <c r="AG47" i="6"/>
  <c r="AF41" i="6"/>
  <c r="AF47" i="6"/>
  <c r="AE41" i="6"/>
  <c r="AE47" i="6"/>
  <c r="AJ41" i="6"/>
  <c r="AJ46" i="6"/>
  <c r="E117" i="9"/>
  <c r="G17" i="14"/>
  <c r="AH46" i="6"/>
  <c r="AG46" i="6"/>
  <c r="AF46" i="6"/>
  <c r="AE46" i="6"/>
  <c r="AJ45" i="6"/>
  <c r="AI45" i="6"/>
  <c r="AG45" i="6"/>
  <c r="AF45" i="6"/>
  <c r="AE45" i="6"/>
  <c r="AJ44" i="6"/>
  <c r="AI44" i="6"/>
  <c r="AH44" i="6"/>
  <c r="AF44" i="6"/>
  <c r="AE44" i="6"/>
  <c r="AJ43" i="6"/>
  <c r="AI43" i="6"/>
  <c r="AH43" i="6"/>
  <c r="AG43" i="6"/>
  <c r="AE43" i="6"/>
  <c r="AJ42" i="6"/>
  <c r="AI42" i="6"/>
  <c r="AH42" i="6"/>
  <c r="AG42" i="6"/>
  <c r="AF42" i="6"/>
  <c r="AI31" i="6"/>
  <c r="Z64" i="25"/>
  <c r="Z65" i="25"/>
  <c r="AI64" i="25"/>
  <c r="AI65" i="25"/>
  <c r="Z66" i="25"/>
  <c r="AI66" i="25"/>
  <c r="Z67" i="25"/>
  <c r="AI67" i="25"/>
  <c r="Z68" i="25"/>
  <c r="AI68" i="25"/>
  <c r="Z69" i="25"/>
  <c r="AI69" i="25"/>
  <c r="Z70" i="25"/>
  <c r="AI70" i="25"/>
  <c r="Z71" i="25"/>
  <c r="AI71" i="25"/>
  <c r="Z72" i="25"/>
  <c r="AI72" i="25"/>
  <c r="Z73" i="25"/>
  <c r="AI73" i="25"/>
  <c r="Z74" i="25"/>
  <c r="AI74" i="25"/>
  <c r="Z75" i="25"/>
  <c r="AI75" i="25"/>
  <c r="Z76" i="25"/>
  <c r="AI76" i="25"/>
  <c r="Z77" i="25"/>
  <c r="AI77" i="25"/>
  <c r="Z78" i="25"/>
  <c r="AI78" i="25"/>
  <c r="Z79" i="25"/>
  <c r="AI79" i="25"/>
  <c r="Z80" i="25"/>
  <c r="AI80" i="25"/>
  <c r="Z81" i="25"/>
  <c r="AI81" i="25"/>
  <c r="Z82" i="25"/>
  <c r="AI82" i="25"/>
  <c r="Z83" i="25"/>
  <c r="AI83" i="25"/>
  <c r="Z84" i="25"/>
  <c r="AI84" i="25"/>
  <c r="Z85" i="25"/>
  <c r="AI85" i="25"/>
  <c r="Z86" i="25"/>
  <c r="AI86" i="25"/>
  <c r="Z87" i="25"/>
  <c r="AI87" i="25"/>
  <c r="Z88" i="25"/>
  <c r="AI88" i="25"/>
  <c r="Z89" i="25"/>
  <c r="AI89" i="25"/>
  <c r="Z90" i="25"/>
  <c r="AI90" i="25"/>
  <c r="Z91" i="25"/>
  <c r="AI91" i="25"/>
  <c r="Z92" i="25"/>
  <c r="AI92" i="25"/>
  <c r="Z93" i="25"/>
  <c r="AI93" i="25"/>
  <c r="Z94" i="25"/>
  <c r="AI94" i="25"/>
  <c r="Z95" i="25"/>
  <c r="AI95" i="25"/>
  <c r="Z96" i="25"/>
  <c r="AI96" i="25"/>
  <c r="Z97" i="25"/>
  <c r="AI97" i="25"/>
  <c r="Z98" i="25"/>
  <c r="AI98" i="25"/>
  <c r="Z99" i="25"/>
  <c r="AI99" i="25"/>
  <c r="Z100" i="25"/>
  <c r="AI100" i="25"/>
  <c r="Z101" i="25"/>
  <c r="AI101" i="25"/>
  <c r="Z102" i="25"/>
  <c r="AI102" i="25"/>
  <c r="Z103" i="25"/>
  <c r="AI103" i="25"/>
  <c r="Z104" i="25"/>
  <c r="AI104" i="25"/>
  <c r="Z105" i="25"/>
  <c r="AI105" i="25"/>
  <c r="Z106" i="25"/>
  <c r="AI106" i="25"/>
  <c r="Z107" i="25"/>
  <c r="AI107" i="25"/>
  <c r="Z108" i="25"/>
  <c r="AI108" i="25"/>
  <c r="Z109" i="25"/>
  <c r="AI109" i="25"/>
  <c r="Z110" i="25"/>
  <c r="AI110" i="25"/>
  <c r="Z111" i="25"/>
  <c r="AI111" i="25"/>
  <c r="Z112" i="25"/>
  <c r="AI112" i="25"/>
  <c r="Z113" i="25"/>
  <c r="AI113" i="25"/>
  <c r="Z114" i="25"/>
  <c r="AI114" i="25"/>
  <c r="Z115" i="25"/>
  <c r="AI115" i="25"/>
  <c r="Z116" i="25"/>
  <c r="AI116" i="25"/>
  <c r="Z117" i="25"/>
  <c r="AI117" i="25"/>
  <c r="Z118" i="25"/>
  <c r="AI118" i="25"/>
  <c r="Z119" i="25"/>
  <c r="AI119" i="25"/>
  <c r="Z120" i="25"/>
  <c r="AI120" i="25"/>
  <c r="Z121" i="25"/>
  <c r="AI121" i="25"/>
  <c r="Z122" i="25"/>
  <c r="AI122" i="25"/>
  <c r="Z123" i="25"/>
  <c r="AI123" i="25"/>
  <c r="Z136" i="25"/>
  <c r="AA136" i="25"/>
  <c r="AB136" i="25"/>
  <c r="AI136" i="25"/>
  <c r="Z137" i="25"/>
  <c r="AA137" i="25"/>
  <c r="AB137" i="25"/>
  <c r="AI137" i="25"/>
  <c r="Z138" i="25"/>
  <c r="AA138" i="25"/>
  <c r="AB138" i="25"/>
  <c r="AI138" i="25"/>
  <c r="Z139" i="25"/>
  <c r="AA139" i="25"/>
  <c r="AB139" i="25"/>
  <c r="AI139" i="25"/>
  <c r="Z140" i="25"/>
  <c r="AA140" i="25"/>
  <c r="AB140" i="25"/>
  <c r="AI140" i="25"/>
  <c r="Z141" i="25"/>
  <c r="AA141" i="25"/>
  <c r="AB141" i="25"/>
  <c r="AI141" i="25"/>
  <c r="Z142" i="25"/>
  <c r="AA142" i="25"/>
  <c r="AB142" i="25"/>
  <c r="AI142" i="25"/>
  <c r="Z143" i="25"/>
  <c r="AA143" i="25"/>
  <c r="AB143" i="25"/>
  <c r="AI143" i="25"/>
  <c r="Z144" i="25"/>
  <c r="AA144" i="25"/>
  <c r="AB144" i="25"/>
  <c r="AI144" i="25"/>
  <c r="Z145" i="25"/>
  <c r="AA145" i="25"/>
  <c r="AB145" i="25"/>
  <c r="AI145" i="25"/>
  <c r="Z146" i="25"/>
  <c r="AA146" i="25"/>
  <c r="AB146" i="25"/>
  <c r="AI146" i="25"/>
  <c r="Z147" i="25"/>
  <c r="AA147" i="25"/>
  <c r="AB147" i="25"/>
  <c r="AI147" i="25"/>
  <c r="Z148" i="25"/>
  <c r="AA148" i="25"/>
  <c r="AB148" i="25"/>
  <c r="AI148" i="25"/>
  <c r="Z149" i="25"/>
  <c r="AA149" i="25"/>
  <c r="AB149" i="25"/>
  <c r="AI149" i="25"/>
  <c r="Z150" i="25"/>
  <c r="AA150" i="25"/>
  <c r="AB150" i="25"/>
  <c r="AI150" i="25"/>
  <c r="Z151" i="25"/>
  <c r="AA151" i="25"/>
  <c r="AB151" i="25"/>
  <c r="AI151" i="25"/>
  <c r="Z152" i="25"/>
  <c r="AA152" i="25"/>
  <c r="AB152" i="25"/>
  <c r="AI152" i="25"/>
  <c r="Z153" i="25"/>
  <c r="AA153" i="25"/>
  <c r="AB153" i="25"/>
  <c r="AI153" i="25"/>
  <c r="Z154" i="25"/>
  <c r="AA154" i="25"/>
  <c r="AB154" i="25"/>
  <c r="AI154" i="25"/>
  <c r="Z155" i="25"/>
  <c r="AA155" i="25"/>
  <c r="AB155" i="25"/>
  <c r="AI155" i="25"/>
  <c r="Z156" i="25"/>
  <c r="AA156" i="25"/>
  <c r="AB156" i="25"/>
  <c r="AI156" i="25"/>
  <c r="Z157" i="25"/>
  <c r="AA157" i="25"/>
  <c r="AB157" i="25"/>
  <c r="AI157" i="25"/>
  <c r="Z158" i="25"/>
  <c r="AA158" i="25"/>
  <c r="AB158" i="25"/>
  <c r="AI158" i="25"/>
  <c r="Z159" i="25"/>
  <c r="AA159" i="25"/>
  <c r="AB159" i="25"/>
  <c r="AI159" i="25"/>
  <c r="Z160" i="25"/>
  <c r="AA160" i="25"/>
  <c r="AB160" i="25"/>
  <c r="AI160" i="25"/>
  <c r="Z161" i="25"/>
  <c r="AA161" i="25"/>
  <c r="AB161" i="25"/>
  <c r="AI161" i="25"/>
  <c r="Z162" i="25"/>
  <c r="AA162" i="25"/>
  <c r="AB162" i="25"/>
  <c r="AI162" i="25"/>
  <c r="Z163" i="25"/>
  <c r="AA163" i="25"/>
  <c r="AB163" i="25"/>
  <c r="AI163" i="25"/>
  <c r="Z164" i="25"/>
  <c r="AA164" i="25"/>
  <c r="AB164" i="25"/>
  <c r="AI164" i="25"/>
  <c r="Z165" i="25"/>
  <c r="AA165" i="25"/>
  <c r="AB165" i="25"/>
  <c r="AI165" i="25"/>
  <c r="Z166" i="25"/>
  <c r="AA166" i="25"/>
  <c r="AB166" i="25"/>
  <c r="AI166" i="25"/>
  <c r="Z167" i="25"/>
  <c r="AA167" i="25"/>
  <c r="AB167" i="25"/>
  <c r="AI167" i="25"/>
  <c r="Z168" i="25"/>
  <c r="AA168" i="25"/>
  <c r="AB168" i="25"/>
  <c r="AI168" i="25"/>
  <c r="Z169" i="25"/>
  <c r="AA169" i="25"/>
  <c r="AB169" i="25"/>
  <c r="AI169" i="25"/>
  <c r="Z170" i="25"/>
  <c r="AA170" i="25"/>
  <c r="AB170" i="25"/>
  <c r="AI170" i="25"/>
  <c r="Z171" i="25"/>
  <c r="AA171" i="25"/>
  <c r="AB171" i="25"/>
  <c r="AI171" i="25"/>
  <c r="Z172" i="25"/>
  <c r="AA172" i="25"/>
  <c r="AB172" i="25"/>
  <c r="AI172" i="25"/>
  <c r="Z173" i="25"/>
  <c r="AA173" i="25"/>
  <c r="AB173" i="25"/>
  <c r="AI173" i="25"/>
  <c r="Z174" i="25"/>
  <c r="AA174" i="25"/>
  <c r="AB174" i="25"/>
  <c r="AI174" i="25"/>
  <c r="Z175" i="25"/>
  <c r="AA175" i="25"/>
  <c r="AB175" i="25"/>
  <c r="AI175" i="25"/>
  <c r="Z176" i="25"/>
  <c r="AA176" i="25"/>
  <c r="AB176" i="25"/>
  <c r="AI176" i="25"/>
  <c r="Z177" i="25"/>
  <c r="AA177" i="25"/>
  <c r="AB177" i="25"/>
  <c r="AI177" i="25"/>
  <c r="Z178" i="25"/>
  <c r="AA178" i="25"/>
  <c r="AB178" i="25"/>
  <c r="AI178" i="25"/>
  <c r="Z179" i="25"/>
  <c r="AA179" i="25"/>
  <c r="AB179" i="25"/>
  <c r="AI179" i="25"/>
  <c r="Z180" i="25"/>
  <c r="AA180" i="25"/>
  <c r="AB180" i="25"/>
  <c r="AI180" i="25"/>
  <c r="Z181" i="25"/>
  <c r="AA181" i="25"/>
  <c r="AB181" i="25"/>
  <c r="AI181" i="25"/>
  <c r="Z182" i="25"/>
  <c r="AA182" i="25"/>
  <c r="AB182" i="25"/>
  <c r="AI182" i="25"/>
  <c r="Z183" i="25"/>
  <c r="AA183" i="25"/>
  <c r="AB183" i="25"/>
  <c r="AI183" i="25"/>
  <c r="Z184" i="25"/>
  <c r="AA184" i="25"/>
  <c r="AB184" i="25"/>
  <c r="AI184" i="25"/>
  <c r="Z185" i="25"/>
  <c r="AA185" i="25"/>
  <c r="AB185" i="25"/>
  <c r="AI185" i="25"/>
  <c r="Z186" i="25"/>
  <c r="AA186" i="25"/>
  <c r="AB186" i="25"/>
  <c r="AI186" i="25"/>
  <c r="Z187" i="25"/>
  <c r="AA187" i="25"/>
  <c r="AB187" i="25"/>
  <c r="AI187" i="25"/>
  <c r="Z188" i="25"/>
  <c r="AA188" i="25"/>
  <c r="AB188" i="25"/>
  <c r="AI188" i="25"/>
  <c r="Z189" i="25"/>
  <c r="AA189" i="25"/>
  <c r="AB189" i="25"/>
  <c r="AI189" i="25"/>
  <c r="Z190" i="25"/>
  <c r="AA190" i="25"/>
  <c r="AB190" i="25"/>
  <c r="AI190" i="25"/>
  <c r="Z191" i="25"/>
  <c r="AA191" i="25"/>
  <c r="AB191" i="25"/>
  <c r="AI191" i="25"/>
  <c r="Z192" i="25"/>
  <c r="AA192" i="25"/>
  <c r="AB192" i="25"/>
  <c r="AI192" i="25"/>
  <c r="Z193" i="25"/>
  <c r="AA193" i="25"/>
  <c r="AB193" i="25"/>
  <c r="AI193" i="25"/>
  <c r="Z194" i="25"/>
  <c r="AA194" i="25"/>
  <c r="AB194" i="25"/>
  <c r="AI194" i="25"/>
  <c r="Z195" i="25"/>
  <c r="AA195" i="25"/>
  <c r="AB195" i="25"/>
  <c r="AI195" i="25"/>
  <c r="AI37" i="6"/>
  <c r="AH31" i="6"/>
  <c r="AH37" i="6"/>
  <c r="AG31" i="6"/>
  <c r="AG37" i="6"/>
  <c r="AF31" i="6"/>
  <c r="AF37" i="6"/>
  <c r="AE31" i="6"/>
  <c r="AE37" i="6"/>
  <c r="AJ31" i="6"/>
  <c r="AJ36" i="6"/>
  <c r="AH36" i="6"/>
  <c r="AG36" i="6"/>
  <c r="AF36" i="6"/>
  <c r="AE36" i="6"/>
  <c r="AJ35" i="6"/>
  <c r="AI35" i="6"/>
  <c r="AG35" i="6"/>
  <c r="AF35" i="6"/>
  <c r="AE35" i="6"/>
  <c r="AJ34" i="6"/>
  <c r="AI34" i="6"/>
  <c r="AH34" i="6"/>
  <c r="AF34" i="6"/>
  <c r="AE34" i="6"/>
  <c r="AJ33" i="6"/>
  <c r="AI33" i="6"/>
  <c r="AH33" i="6"/>
  <c r="AG33" i="6"/>
  <c r="AE33" i="6"/>
  <c r="AJ32" i="6"/>
  <c r="AI32" i="6"/>
  <c r="AH32" i="6"/>
  <c r="AG32" i="6"/>
  <c r="AF32" i="6"/>
  <c r="AI21" i="6"/>
  <c r="Z64" i="17"/>
  <c r="Z65" i="17"/>
  <c r="AI64" i="17"/>
  <c r="AI65" i="17"/>
  <c r="Z66" i="17"/>
  <c r="AI66" i="17"/>
  <c r="Z67" i="17"/>
  <c r="AI67" i="17"/>
  <c r="Z68" i="17"/>
  <c r="AI68" i="17"/>
  <c r="Z69" i="17"/>
  <c r="AI69" i="17"/>
  <c r="Z70" i="17"/>
  <c r="AI70" i="17"/>
  <c r="Z71" i="17"/>
  <c r="AI71" i="17"/>
  <c r="Z72" i="17"/>
  <c r="AI72" i="17"/>
  <c r="Z73" i="17"/>
  <c r="AI73" i="17"/>
  <c r="Z74" i="17"/>
  <c r="AI74" i="17"/>
  <c r="Z75" i="17"/>
  <c r="AI75" i="17"/>
  <c r="Z76" i="17"/>
  <c r="AI76" i="17"/>
  <c r="Z77" i="17"/>
  <c r="AI77" i="17"/>
  <c r="Z78" i="17"/>
  <c r="AI78" i="17"/>
  <c r="Z79" i="17"/>
  <c r="AI79" i="17"/>
  <c r="Z80" i="17"/>
  <c r="AI80" i="17"/>
  <c r="Z81" i="17"/>
  <c r="AI81" i="17"/>
  <c r="Z82" i="17"/>
  <c r="AI82" i="17"/>
  <c r="Z83" i="17"/>
  <c r="AI83" i="17"/>
  <c r="Z84" i="17"/>
  <c r="AI84" i="17"/>
  <c r="Z85" i="17"/>
  <c r="AI85" i="17"/>
  <c r="Z86" i="17"/>
  <c r="AI86" i="17"/>
  <c r="Z87" i="17"/>
  <c r="AI87" i="17"/>
  <c r="Z88" i="17"/>
  <c r="AI88" i="17"/>
  <c r="Z89" i="17"/>
  <c r="AI89" i="17"/>
  <c r="Z90" i="17"/>
  <c r="AI90" i="17"/>
  <c r="Z91" i="17"/>
  <c r="AI91" i="17"/>
  <c r="Z92" i="17"/>
  <c r="AI92" i="17"/>
  <c r="Z93" i="17"/>
  <c r="AI93" i="17"/>
  <c r="Z94" i="17"/>
  <c r="AI94" i="17"/>
  <c r="Z95" i="17"/>
  <c r="AI95" i="17"/>
  <c r="Z96" i="17"/>
  <c r="AI96" i="17"/>
  <c r="Z97" i="17"/>
  <c r="AI97" i="17"/>
  <c r="Z98" i="17"/>
  <c r="AI98" i="17"/>
  <c r="Z99" i="17"/>
  <c r="AI99" i="17"/>
  <c r="Z100" i="17"/>
  <c r="AI100" i="17"/>
  <c r="Z101" i="17"/>
  <c r="AI101" i="17"/>
  <c r="Z102" i="17"/>
  <c r="AI102" i="17"/>
  <c r="Z103" i="17"/>
  <c r="AI103" i="17"/>
  <c r="Z104" i="17"/>
  <c r="AI104" i="17"/>
  <c r="Z105" i="17"/>
  <c r="AI105" i="17"/>
  <c r="Z106" i="17"/>
  <c r="AI106" i="17"/>
  <c r="Z107" i="17"/>
  <c r="AI107" i="17"/>
  <c r="Z108" i="17"/>
  <c r="AI108" i="17"/>
  <c r="Z109" i="17"/>
  <c r="AI109" i="17"/>
  <c r="Z110" i="17"/>
  <c r="AI110" i="17"/>
  <c r="Z111" i="17"/>
  <c r="AI111" i="17"/>
  <c r="Z112" i="17"/>
  <c r="AI112" i="17"/>
  <c r="Z113" i="17"/>
  <c r="AI113" i="17"/>
  <c r="Z114" i="17"/>
  <c r="AI114" i="17"/>
  <c r="Z115" i="17"/>
  <c r="AI115" i="17"/>
  <c r="Z116" i="17"/>
  <c r="AI116" i="17"/>
  <c r="Z117" i="17"/>
  <c r="AI117" i="17"/>
  <c r="Z118" i="17"/>
  <c r="AI118" i="17"/>
  <c r="Z119" i="17"/>
  <c r="AI119" i="17"/>
  <c r="Z120" i="17"/>
  <c r="AI120" i="17"/>
  <c r="Z121" i="17"/>
  <c r="AI121" i="17"/>
  <c r="Z122" i="17"/>
  <c r="AI122" i="17"/>
  <c r="Z123" i="17"/>
  <c r="AI123" i="17"/>
  <c r="Z136" i="17"/>
  <c r="AA136" i="17"/>
  <c r="AB136" i="17"/>
  <c r="AI136" i="17"/>
  <c r="Z137" i="17"/>
  <c r="AA137" i="17"/>
  <c r="AB137" i="17"/>
  <c r="AI137" i="17"/>
  <c r="Z138" i="17"/>
  <c r="AA138" i="17"/>
  <c r="AB138" i="17"/>
  <c r="AI138" i="17"/>
  <c r="Z139" i="17"/>
  <c r="AA139" i="17"/>
  <c r="AB139" i="17"/>
  <c r="AI139" i="17"/>
  <c r="Z140" i="17"/>
  <c r="AA140" i="17"/>
  <c r="AB140" i="17"/>
  <c r="AI140" i="17"/>
  <c r="Z141" i="17"/>
  <c r="AA141" i="17"/>
  <c r="AB141" i="17"/>
  <c r="AI141" i="17"/>
  <c r="Z142" i="17"/>
  <c r="AA142" i="17"/>
  <c r="AB142" i="17"/>
  <c r="AI142" i="17"/>
  <c r="Z143" i="17"/>
  <c r="AA143" i="17"/>
  <c r="AB143" i="17"/>
  <c r="AI143" i="17"/>
  <c r="Z144" i="17"/>
  <c r="AA144" i="17"/>
  <c r="AB144" i="17"/>
  <c r="AI144" i="17"/>
  <c r="Z145" i="17"/>
  <c r="AA145" i="17"/>
  <c r="AB145" i="17"/>
  <c r="AI145" i="17"/>
  <c r="Z146" i="17"/>
  <c r="AA146" i="17"/>
  <c r="AB146" i="17"/>
  <c r="AI146" i="17"/>
  <c r="Z147" i="17"/>
  <c r="AA147" i="17"/>
  <c r="AB147" i="17"/>
  <c r="AI147" i="17"/>
  <c r="Z148" i="17"/>
  <c r="AA148" i="17"/>
  <c r="AB148" i="17"/>
  <c r="AI148" i="17"/>
  <c r="Z149" i="17"/>
  <c r="AA149" i="17"/>
  <c r="AB149" i="17"/>
  <c r="AI149" i="17"/>
  <c r="Z150" i="17"/>
  <c r="AA150" i="17"/>
  <c r="AB150" i="17"/>
  <c r="AI150" i="17"/>
  <c r="Z151" i="17"/>
  <c r="AA151" i="17"/>
  <c r="AB151" i="17"/>
  <c r="AI151" i="17"/>
  <c r="Z152" i="17"/>
  <c r="AA152" i="17"/>
  <c r="AB152" i="17"/>
  <c r="AI152" i="17"/>
  <c r="Z153" i="17"/>
  <c r="AA153" i="17"/>
  <c r="AB153" i="17"/>
  <c r="AI153" i="17"/>
  <c r="Z154" i="17"/>
  <c r="AA154" i="17"/>
  <c r="AB154" i="17"/>
  <c r="AI154" i="17"/>
  <c r="Z155" i="17"/>
  <c r="AA155" i="17"/>
  <c r="AB155" i="17"/>
  <c r="AI155" i="17"/>
  <c r="Z156" i="17"/>
  <c r="AA156" i="17"/>
  <c r="AB156" i="17"/>
  <c r="AI156" i="17"/>
  <c r="Z157" i="17"/>
  <c r="AA157" i="17"/>
  <c r="AB157" i="17"/>
  <c r="AI157" i="17"/>
  <c r="Z158" i="17"/>
  <c r="AA158" i="17"/>
  <c r="AB158" i="17"/>
  <c r="AI158" i="17"/>
  <c r="Z159" i="17"/>
  <c r="AA159" i="17"/>
  <c r="AB159" i="17"/>
  <c r="AI159" i="17"/>
  <c r="Z160" i="17"/>
  <c r="AA160" i="17"/>
  <c r="AB160" i="17"/>
  <c r="AI160" i="17"/>
  <c r="Z161" i="17"/>
  <c r="AA161" i="17"/>
  <c r="AB161" i="17"/>
  <c r="AI161" i="17"/>
  <c r="Z162" i="17"/>
  <c r="AA162" i="17"/>
  <c r="AB162" i="17"/>
  <c r="AI162" i="17"/>
  <c r="Z163" i="17"/>
  <c r="AA163" i="17"/>
  <c r="AB163" i="17"/>
  <c r="AI163" i="17"/>
  <c r="Z164" i="17"/>
  <c r="AA164" i="17"/>
  <c r="AB164" i="17"/>
  <c r="AI164" i="17"/>
  <c r="Z165" i="17"/>
  <c r="AA165" i="17"/>
  <c r="AB165" i="17"/>
  <c r="AI165" i="17"/>
  <c r="Z166" i="17"/>
  <c r="AA166" i="17"/>
  <c r="AB166" i="17"/>
  <c r="AI166" i="17"/>
  <c r="Z167" i="17"/>
  <c r="AA167" i="17"/>
  <c r="AB167" i="17"/>
  <c r="AI167" i="17"/>
  <c r="Z168" i="17"/>
  <c r="AA168" i="17"/>
  <c r="AB168" i="17"/>
  <c r="AI168" i="17"/>
  <c r="Z169" i="17"/>
  <c r="AA169" i="17"/>
  <c r="AB169" i="17"/>
  <c r="AI169" i="17"/>
  <c r="Z170" i="17"/>
  <c r="AA170" i="17"/>
  <c r="AB170" i="17"/>
  <c r="AI170" i="17"/>
  <c r="Z171" i="17"/>
  <c r="AA171" i="17"/>
  <c r="AB171" i="17"/>
  <c r="AI171" i="17"/>
  <c r="Z172" i="17"/>
  <c r="AA172" i="17"/>
  <c r="AB172" i="17"/>
  <c r="AI172" i="17"/>
  <c r="Z173" i="17"/>
  <c r="AA173" i="17"/>
  <c r="AB173" i="17"/>
  <c r="AI173" i="17"/>
  <c r="Z174" i="17"/>
  <c r="AA174" i="17"/>
  <c r="AB174" i="17"/>
  <c r="AI174" i="17"/>
  <c r="Z175" i="17"/>
  <c r="AA175" i="17"/>
  <c r="AB175" i="17"/>
  <c r="AI175" i="17"/>
  <c r="Z176" i="17"/>
  <c r="AA176" i="17"/>
  <c r="AB176" i="17"/>
  <c r="AI176" i="17"/>
  <c r="Z177" i="17"/>
  <c r="AA177" i="17"/>
  <c r="AB177" i="17"/>
  <c r="AI177" i="17"/>
  <c r="Z178" i="17"/>
  <c r="AA178" i="17"/>
  <c r="AB178" i="17"/>
  <c r="AI178" i="17"/>
  <c r="Z179" i="17"/>
  <c r="AA179" i="17"/>
  <c r="AB179" i="17"/>
  <c r="AI179" i="17"/>
  <c r="Z180" i="17"/>
  <c r="AA180" i="17"/>
  <c r="AB180" i="17"/>
  <c r="AI180" i="17"/>
  <c r="Z181" i="17"/>
  <c r="AA181" i="17"/>
  <c r="AB181" i="17"/>
  <c r="AI181" i="17"/>
  <c r="Z182" i="17"/>
  <c r="AA182" i="17"/>
  <c r="AB182" i="17"/>
  <c r="AI182" i="17"/>
  <c r="Z183" i="17"/>
  <c r="AA183" i="17"/>
  <c r="AB183" i="17"/>
  <c r="AI183" i="17"/>
  <c r="Z184" i="17"/>
  <c r="AA184" i="17"/>
  <c r="AB184" i="17"/>
  <c r="AI184" i="17"/>
  <c r="Z185" i="17"/>
  <c r="AA185" i="17"/>
  <c r="AB185" i="17"/>
  <c r="AI185" i="17"/>
  <c r="Z186" i="17"/>
  <c r="AA186" i="17"/>
  <c r="AB186" i="17"/>
  <c r="AI186" i="17"/>
  <c r="Z187" i="17"/>
  <c r="AA187" i="17"/>
  <c r="AB187" i="17"/>
  <c r="AI187" i="17"/>
  <c r="Z188" i="17"/>
  <c r="AA188" i="17"/>
  <c r="AB188" i="17"/>
  <c r="AI188" i="17"/>
  <c r="Z189" i="17"/>
  <c r="AA189" i="17"/>
  <c r="AB189" i="17"/>
  <c r="AI189" i="17"/>
  <c r="Z190" i="17"/>
  <c r="AA190" i="17"/>
  <c r="AB190" i="17"/>
  <c r="AI190" i="17"/>
  <c r="Z191" i="17"/>
  <c r="AA191" i="17"/>
  <c r="AB191" i="17"/>
  <c r="AI191" i="17"/>
  <c r="Z192" i="17"/>
  <c r="AA192" i="17"/>
  <c r="AB192" i="17"/>
  <c r="AI192" i="17"/>
  <c r="Z193" i="17"/>
  <c r="AA193" i="17"/>
  <c r="AB193" i="17"/>
  <c r="AI193" i="17"/>
  <c r="Z194" i="17"/>
  <c r="AA194" i="17"/>
  <c r="AB194" i="17"/>
  <c r="AI194" i="17"/>
  <c r="Z195" i="17"/>
  <c r="AA195" i="17"/>
  <c r="AB195" i="17"/>
  <c r="AI195" i="17"/>
  <c r="AI27" i="6"/>
  <c r="AH21" i="6"/>
  <c r="AH27" i="6"/>
  <c r="AG21" i="6"/>
  <c r="AG27" i="6"/>
  <c r="AF21" i="6"/>
  <c r="AF27" i="6"/>
  <c r="AE21" i="6"/>
  <c r="AE27" i="6"/>
  <c r="AJ21" i="6"/>
  <c r="AJ26" i="6"/>
  <c r="AH26" i="6"/>
  <c r="AG26" i="6"/>
  <c r="AF26" i="6"/>
  <c r="AE26" i="6"/>
  <c r="AJ25" i="6"/>
  <c r="AI25" i="6"/>
  <c r="AG25" i="6"/>
  <c r="AF25" i="6"/>
  <c r="AE25" i="6"/>
  <c r="AJ24" i="6"/>
  <c r="AI24" i="6"/>
  <c r="AH24" i="6"/>
  <c r="AF24" i="6"/>
  <c r="AE24" i="6"/>
  <c r="AJ23" i="6"/>
  <c r="AI23" i="6"/>
  <c r="AH23" i="6"/>
  <c r="AG23" i="6"/>
  <c r="AE23" i="6"/>
  <c r="AJ22" i="6"/>
  <c r="AI22" i="6"/>
  <c r="AH22" i="6"/>
  <c r="AG22" i="6"/>
  <c r="AF22" i="6"/>
  <c r="AI11" i="6"/>
  <c r="Z64" i="3"/>
  <c r="Z65" i="3"/>
  <c r="AB64" i="3"/>
  <c r="AI64" i="3"/>
  <c r="AB65" i="3"/>
  <c r="AI65" i="3"/>
  <c r="Z66" i="3"/>
  <c r="AB66" i="3"/>
  <c r="AI66" i="3"/>
  <c r="Z67" i="3"/>
  <c r="AB67" i="3"/>
  <c r="AI67" i="3"/>
  <c r="Z68" i="3"/>
  <c r="AB68" i="3"/>
  <c r="AI68" i="3"/>
  <c r="Z69" i="3"/>
  <c r="AB69" i="3"/>
  <c r="AI69" i="3"/>
  <c r="Z70" i="3"/>
  <c r="AB70" i="3"/>
  <c r="AI70" i="3"/>
  <c r="Z71" i="3"/>
  <c r="AB71" i="3"/>
  <c r="AI71" i="3"/>
  <c r="Z72" i="3"/>
  <c r="AB72" i="3"/>
  <c r="AI72" i="3"/>
  <c r="Z73" i="3"/>
  <c r="AB73" i="3"/>
  <c r="AI73" i="3"/>
  <c r="Z74" i="3"/>
  <c r="AB74" i="3"/>
  <c r="AI74" i="3"/>
  <c r="Z75" i="3"/>
  <c r="AB75" i="3"/>
  <c r="AI75" i="3"/>
  <c r="Z76" i="3"/>
  <c r="AB76" i="3"/>
  <c r="AI76" i="3"/>
  <c r="Z77" i="3"/>
  <c r="AB77" i="3"/>
  <c r="AI77" i="3"/>
  <c r="Z78" i="3"/>
  <c r="AB78" i="3"/>
  <c r="AI78" i="3"/>
  <c r="Z79" i="3"/>
  <c r="AB79" i="3"/>
  <c r="AI79" i="3"/>
  <c r="Z80" i="3"/>
  <c r="AB80" i="3"/>
  <c r="AI80" i="3"/>
  <c r="Z81" i="3"/>
  <c r="AB81" i="3"/>
  <c r="AI81" i="3"/>
  <c r="Z82" i="3"/>
  <c r="AB82" i="3"/>
  <c r="AI82" i="3"/>
  <c r="Z83" i="3"/>
  <c r="AB83" i="3"/>
  <c r="AI83" i="3"/>
  <c r="Z84" i="3"/>
  <c r="AB84" i="3"/>
  <c r="AI84" i="3"/>
  <c r="Z85" i="3"/>
  <c r="AB85" i="3"/>
  <c r="AI85" i="3"/>
  <c r="Z86" i="3"/>
  <c r="AB86" i="3"/>
  <c r="AI86" i="3"/>
  <c r="Z87" i="3"/>
  <c r="AB87" i="3"/>
  <c r="AI87" i="3"/>
  <c r="Z88" i="3"/>
  <c r="AB88" i="3"/>
  <c r="AI88" i="3"/>
  <c r="Z89" i="3"/>
  <c r="AB89" i="3"/>
  <c r="AI89" i="3"/>
  <c r="Z90" i="3"/>
  <c r="AB90" i="3"/>
  <c r="AI90" i="3"/>
  <c r="Z91" i="3"/>
  <c r="AB91" i="3"/>
  <c r="AI91" i="3"/>
  <c r="Z92" i="3"/>
  <c r="AB92" i="3"/>
  <c r="AI92" i="3"/>
  <c r="Z93" i="3"/>
  <c r="AB93" i="3"/>
  <c r="AI93" i="3"/>
  <c r="Z94" i="3"/>
  <c r="AB94" i="3"/>
  <c r="AI94" i="3"/>
  <c r="Z95" i="3"/>
  <c r="AB95" i="3"/>
  <c r="AI95" i="3"/>
  <c r="Z96" i="3"/>
  <c r="AB96" i="3"/>
  <c r="AI96" i="3"/>
  <c r="Z97" i="3"/>
  <c r="AB97" i="3"/>
  <c r="AI97" i="3"/>
  <c r="Z98" i="3"/>
  <c r="AB98" i="3"/>
  <c r="AI98" i="3"/>
  <c r="Z99" i="3"/>
  <c r="AB99" i="3"/>
  <c r="AI99" i="3"/>
  <c r="Z100" i="3"/>
  <c r="AB100" i="3"/>
  <c r="AI100" i="3"/>
  <c r="Z101" i="3"/>
  <c r="AB101" i="3"/>
  <c r="AI101" i="3"/>
  <c r="Z102" i="3"/>
  <c r="AB102" i="3"/>
  <c r="AI102" i="3"/>
  <c r="Z103" i="3"/>
  <c r="AB103" i="3"/>
  <c r="AI103" i="3"/>
  <c r="Z104" i="3"/>
  <c r="AB104" i="3"/>
  <c r="AI104" i="3"/>
  <c r="Z105" i="3"/>
  <c r="AB105" i="3"/>
  <c r="AI105" i="3"/>
  <c r="Z106" i="3"/>
  <c r="AB106" i="3"/>
  <c r="AI106" i="3"/>
  <c r="Z107" i="3"/>
  <c r="AB107" i="3"/>
  <c r="AI107" i="3"/>
  <c r="Z108" i="3"/>
  <c r="AB108" i="3"/>
  <c r="AI108" i="3"/>
  <c r="Z109" i="3"/>
  <c r="AB109" i="3"/>
  <c r="AI109" i="3"/>
  <c r="Z110" i="3"/>
  <c r="AB110" i="3"/>
  <c r="AI110" i="3"/>
  <c r="Z111" i="3"/>
  <c r="AB111" i="3"/>
  <c r="AI111" i="3"/>
  <c r="Z112" i="3"/>
  <c r="AB112" i="3"/>
  <c r="AI112" i="3"/>
  <c r="Z113" i="3"/>
  <c r="AB113" i="3"/>
  <c r="AI113" i="3"/>
  <c r="Z114" i="3"/>
  <c r="AB114" i="3"/>
  <c r="AI114" i="3"/>
  <c r="Z115" i="3"/>
  <c r="AB115" i="3"/>
  <c r="AI115" i="3"/>
  <c r="Z116" i="3"/>
  <c r="AB116" i="3"/>
  <c r="AI116" i="3"/>
  <c r="Z117" i="3"/>
  <c r="AB117" i="3"/>
  <c r="AI117" i="3"/>
  <c r="Z118" i="3"/>
  <c r="AB118" i="3"/>
  <c r="AI118" i="3"/>
  <c r="Z119" i="3"/>
  <c r="AB119" i="3"/>
  <c r="AI119" i="3"/>
  <c r="Z120" i="3"/>
  <c r="AB120" i="3"/>
  <c r="AI120" i="3"/>
  <c r="Z121" i="3"/>
  <c r="AB121" i="3"/>
  <c r="AI121" i="3"/>
  <c r="Z122" i="3"/>
  <c r="AB122" i="3"/>
  <c r="AI122" i="3"/>
  <c r="Z123" i="3"/>
  <c r="AB123" i="3"/>
  <c r="AI123" i="3"/>
  <c r="Z136" i="3"/>
  <c r="AA136" i="3"/>
  <c r="AB136" i="3"/>
  <c r="AI136" i="3"/>
  <c r="Z137" i="3"/>
  <c r="AA137" i="3"/>
  <c r="AB137" i="3"/>
  <c r="AI137" i="3"/>
  <c r="Z138" i="3"/>
  <c r="AA138" i="3"/>
  <c r="AB138" i="3"/>
  <c r="AI138" i="3"/>
  <c r="Z139" i="3"/>
  <c r="AA139" i="3"/>
  <c r="AB139" i="3"/>
  <c r="AI139" i="3"/>
  <c r="Z140" i="3"/>
  <c r="AA140" i="3"/>
  <c r="AB140" i="3"/>
  <c r="AI140" i="3"/>
  <c r="Z141" i="3"/>
  <c r="AA141" i="3"/>
  <c r="AB141" i="3"/>
  <c r="AI141" i="3"/>
  <c r="Z142" i="3"/>
  <c r="AA142" i="3"/>
  <c r="AB142" i="3"/>
  <c r="AI142" i="3"/>
  <c r="Z143" i="3"/>
  <c r="AA143" i="3"/>
  <c r="AB143" i="3"/>
  <c r="AI143" i="3"/>
  <c r="Z144" i="3"/>
  <c r="AA144" i="3"/>
  <c r="AB144" i="3"/>
  <c r="AI144" i="3"/>
  <c r="Z145" i="3"/>
  <c r="AA145" i="3"/>
  <c r="AB145" i="3"/>
  <c r="AI145" i="3"/>
  <c r="Z146" i="3"/>
  <c r="AA146" i="3"/>
  <c r="AB146" i="3"/>
  <c r="AI146" i="3"/>
  <c r="Z147" i="3"/>
  <c r="AA147" i="3"/>
  <c r="AB147" i="3"/>
  <c r="AI147" i="3"/>
  <c r="Z148" i="3"/>
  <c r="AA148" i="3"/>
  <c r="AB148" i="3"/>
  <c r="AI148" i="3"/>
  <c r="Z149" i="3"/>
  <c r="AA149" i="3"/>
  <c r="AB149" i="3"/>
  <c r="AI149" i="3"/>
  <c r="Z150" i="3"/>
  <c r="AA150" i="3"/>
  <c r="AB150" i="3"/>
  <c r="AI150" i="3"/>
  <c r="Z151" i="3"/>
  <c r="AA151" i="3"/>
  <c r="AB151" i="3"/>
  <c r="AI151" i="3"/>
  <c r="Z152" i="3"/>
  <c r="AA152" i="3"/>
  <c r="AB152" i="3"/>
  <c r="AI152" i="3"/>
  <c r="Z153" i="3"/>
  <c r="AA153" i="3"/>
  <c r="AB153" i="3"/>
  <c r="AI153" i="3"/>
  <c r="Z154" i="3"/>
  <c r="AA154" i="3"/>
  <c r="AB154" i="3"/>
  <c r="AI154" i="3"/>
  <c r="Z155" i="3"/>
  <c r="AA155" i="3"/>
  <c r="AB155" i="3"/>
  <c r="AI155" i="3"/>
  <c r="Z156" i="3"/>
  <c r="AA156" i="3"/>
  <c r="AB156" i="3"/>
  <c r="AI156" i="3"/>
  <c r="Z157" i="3"/>
  <c r="AA157" i="3"/>
  <c r="AB157" i="3"/>
  <c r="AI157" i="3"/>
  <c r="Z158" i="3"/>
  <c r="AA158" i="3"/>
  <c r="AB158" i="3"/>
  <c r="AI158" i="3"/>
  <c r="Z159" i="3"/>
  <c r="AA159" i="3"/>
  <c r="AB159" i="3"/>
  <c r="AI159" i="3"/>
  <c r="Z160" i="3"/>
  <c r="AA160" i="3"/>
  <c r="AB160" i="3"/>
  <c r="AI160" i="3"/>
  <c r="Z161" i="3"/>
  <c r="AA161" i="3"/>
  <c r="AB161" i="3"/>
  <c r="AI161" i="3"/>
  <c r="Z162" i="3"/>
  <c r="AA162" i="3"/>
  <c r="AB162" i="3"/>
  <c r="AI162" i="3"/>
  <c r="Z163" i="3"/>
  <c r="AA163" i="3"/>
  <c r="AB163" i="3"/>
  <c r="AI163" i="3"/>
  <c r="Z164" i="3"/>
  <c r="AA164" i="3"/>
  <c r="AB164" i="3"/>
  <c r="AI164" i="3"/>
  <c r="Z165" i="3"/>
  <c r="AA165" i="3"/>
  <c r="AB165" i="3"/>
  <c r="AI165" i="3"/>
  <c r="Z166" i="3"/>
  <c r="AA166" i="3"/>
  <c r="AB166" i="3"/>
  <c r="AI166" i="3"/>
  <c r="Z167" i="3"/>
  <c r="AA167" i="3"/>
  <c r="AB167" i="3"/>
  <c r="AI167" i="3"/>
  <c r="Z168" i="3"/>
  <c r="AA168" i="3"/>
  <c r="AB168" i="3"/>
  <c r="AI168" i="3"/>
  <c r="Z169" i="3"/>
  <c r="AA169" i="3"/>
  <c r="AB169" i="3"/>
  <c r="AI169" i="3"/>
  <c r="Z170" i="3"/>
  <c r="AA170" i="3"/>
  <c r="AB170" i="3"/>
  <c r="AI170" i="3"/>
  <c r="Z171" i="3"/>
  <c r="AA171" i="3"/>
  <c r="AB171" i="3"/>
  <c r="AI171" i="3"/>
  <c r="Z172" i="3"/>
  <c r="AA172" i="3"/>
  <c r="AB172" i="3"/>
  <c r="AI172" i="3"/>
  <c r="Z173" i="3"/>
  <c r="AA173" i="3"/>
  <c r="AB173" i="3"/>
  <c r="AI173" i="3"/>
  <c r="Z174" i="3"/>
  <c r="AA174" i="3"/>
  <c r="AB174" i="3"/>
  <c r="AI174" i="3"/>
  <c r="Z175" i="3"/>
  <c r="AA175" i="3"/>
  <c r="AB175" i="3"/>
  <c r="AI175" i="3"/>
  <c r="Z176" i="3"/>
  <c r="AA176" i="3"/>
  <c r="AB176" i="3"/>
  <c r="AI176" i="3"/>
  <c r="Z177" i="3"/>
  <c r="AA177" i="3"/>
  <c r="AB177" i="3"/>
  <c r="AI177" i="3"/>
  <c r="Z178" i="3"/>
  <c r="AA178" i="3"/>
  <c r="AB178" i="3"/>
  <c r="AI178" i="3"/>
  <c r="Z179" i="3"/>
  <c r="AA179" i="3"/>
  <c r="AB179" i="3"/>
  <c r="AI179" i="3"/>
  <c r="Z180" i="3"/>
  <c r="AA180" i="3"/>
  <c r="AB180" i="3"/>
  <c r="AI180" i="3"/>
  <c r="Z181" i="3"/>
  <c r="AA181" i="3"/>
  <c r="AB181" i="3"/>
  <c r="AI181" i="3"/>
  <c r="Z182" i="3"/>
  <c r="AA182" i="3"/>
  <c r="AB182" i="3"/>
  <c r="AI182" i="3"/>
  <c r="Z183" i="3"/>
  <c r="AA183" i="3"/>
  <c r="AB183" i="3"/>
  <c r="AI183" i="3"/>
  <c r="Z184" i="3"/>
  <c r="AA184" i="3"/>
  <c r="AB184" i="3"/>
  <c r="AI184" i="3"/>
  <c r="Z185" i="3"/>
  <c r="AA185" i="3"/>
  <c r="AB185" i="3"/>
  <c r="AI185" i="3"/>
  <c r="Z186" i="3"/>
  <c r="AA186" i="3"/>
  <c r="AB186" i="3"/>
  <c r="AI186" i="3"/>
  <c r="Z187" i="3"/>
  <c r="AA187" i="3"/>
  <c r="AB187" i="3"/>
  <c r="AI187" i="3"/>
  <c r="Z188" i="3"/>
  <c r="AA188" i="3"/>
  <c r="AB188" i="3"/>
  <c r="AI188" i="3"/>
  <c r="Z189" i="3"/>
  <c r="AA189" i="3"/>
  <c r="AB189" i="3"/>
  <c r="AI189" i="3"/>
  <c r="Z190" i="3"/>
  <c r="AA190" i="3"/>
  <c r="AB190" i="3"/>
  <c r="AI190" i="3"/>
  <c r="Z191" i="3"/>
  <c r="AA191" i="3"/>
  <c r="AB191" i="3"/>
  <c r="AI191" i="3"/>
  <c r="Z192" i="3"/>
  <c r="AA192" i="3"/>
  <c r="AB192" i="3"/>
  <c r="AI192" i="3"/>
  <c r="Z193" i="3"/>
  <c r="AA193" i="3"/>
  <c r="AB193" i="3"/>
  <c r="AI193" i="3"/>
  <c r="Z194" i="3"/>
  <c r="AA194" i="3"/>
  <c r="AB194" i="3"/>
  <c r="AI194" i="3"/>
  <c r="Z195" i="3"/>
  <c r="AA195" i="3"/>
  <c r="AB195" i="3"/>
  <c r="AI195" i="3"/>
  <c r="AI17" i="6"/>
  <c r="AH11" i="6"/>
  <c r="AH17" i="6"/>
  <c r="AG11" i="6"/>
  <c r="AG17" i="6"/>
  <c r="AF11" i="6"/>
  <c r="AF17" i="6"/>
  <c r="AE11" i="6"/>
  <c r="AE17" i="6"/>
  <c r="AJ11" i="6"/>
  <c r="AJ16" i="6"/>
  <c r="AH16" i="6"/>
  <c r="AG16" i="6"/>
  <c r="AF16" i="6"/>
  <c r="AE16" i="6"/>
  <c r="AJ15" i="6"/>
  <c r="AI15" i="6"/>
  <c r="AG15" i="6"/>
  <c r="AF15" i="6"/>
  <c r="AE15" i="6"/>
  <c r="AJ14" i="6"/>
  <c r="AI14" i="6"/>
  <c r="AH14" i="6"/>
  <c r="AF14" i="6"/>
  <c r="AE14" i="6"/>
  <c r="AJ13" i="6"/>
  <c r="AI13" i="6"/>
  <c r="AH13" i="6"/>
  <c r="AG13" i="6"/>
  <c r="AE13" i="6"/>
  <c r="AJ12" i="6"/>
  <c r="AI12" i="6"/>
  <c r="AH12" i="6"/>
  <c r="AG12" i="6"/>
  <c r="AF12" i="6"/>
  <c r="E116" i="9"/>
  <c r="B15" i="14"/>
  <c r="E118" i="9"/>
  <c r="E119" i="9"/>
  <c r="E80" i="9"/>
  <c r="E26" i="9"/>
  <c r="AC46" i="40"/>
  <c r="AC39" i="40"/>
  <c r="AC32" i="40"/>
  <c r="AC25" i="40"/>
  <c r="AC18" i="40"/>
  <c r="AC11" i="40"/>
  <c r="AC47" i="6"/>
  <c r="AC46" i="6"/>
  <c r="AC45" i="6"/>
  <c r="AC44" i="6"/>
  <c r="AC43" i="6"/>
  <c r="AC42" i="6"/>
  <c r="AC37" i="6"/>
  <c r="AC36" i="6"/>
  <c r="AC35" i="6"/>
  <c r="AC34" i="6"/>
  <c r="AC33" i="6"/>
  <c r="AC27" i="6"/>
  <c r="AC26" i="6"/>
  <c r="AC25" i="6"/>
  <c r="AC24" i="6"/>
  <c r="AC23" i="6"/>
  <c r="AC17" i="6"/>
  <c r="AC16" i="6"/>
  <c r="AC15" i="6"/>
  <c r="AC14" i="6"/>
  <c r="AC13" i="6"/>
  <c r="AC32" i="6"/>
  <c r="AC22" i="6"/>
  <c r="AC12" i="6"/>
  <c r="AC41" i="6"/>
  <c r="AC31" i="6"/>
  <c r="AC21" i="6"/>
  <c r="AC11" i="6"/>
  <c r="F8" i="31"/>
  <c r="F9" i="31"/>
  <c r="F10" i="31"/>
  <c r="F11" i="31"/>
  <c r="F12" i="31"/>
  <c r="F13" i="31"/>
  <c r="B13" i="31"/>
  <c r="I12" i="31"/>
  <c r="AR12" i="31"/>
  <c r="I11" i="31"/>
  <c r="AR11" i="31"/>
  <c r="I10" i="31"/>
  <c r="AR10" i="31"/>
  <c r="I9" i="31"/>
  <c r="AR9" i="31"/>
  <c r="I8" i="31"/>
  <c r="AR8" i="31"/>
  <c r="Y64" i="42"/>
  <c r="Y70" i="42"/>
  <c r="Y76" i="42"/>
  <c r="Y82" i="42"/>
  <c r="Y88" i="42"/>
  <c r="Y94" i="42"/>
  <c r="X64" i="42"/>
  <c r="X70" i="42"/>
  <c r="X76" i="42"/>
  <c r="X82" i="42"/>
  <c r="X88" i="42"/>
  <c r="X94" i="42"/>
  <c r="AH64" i="42"/>
  <c r="AH70" i="42"/>
  <c r="AH76" i="42"/>
  <c r="AH82" i="42"/>
  <c r="AH88" i="42"/>
  <c r="AH94" i="42"/>
  <c r="AG64" i="42"/>
  <c r="AG70" i="42"/>
  <c r="AG76" i="42"/>
  <c r="AG82" i="42"/>
  <c r="AG88" i="42"/>
  <c r="AG94" i="42"/>
  <c r="H7" i="31"/>
  <c r="G7" i="31"/>
  <c r="I7" i="31"/>
  <c r="AR7" i="31"/>
  <c r="K7" i="31"/>
  <c r="H6" i="31"/>
  <c r="G6" i="31"/>
  <c r="I6" i="31"/>
  <c r="AR6" i="31"/>
  <c r="K6" i="31"/>
  <c r="H5" i="31"/>
  <c r="G5" i="31"/>
  <c r="I5" i="31"/>
  <c r="AR5" i="31"/>
  <c r="K5" i="31"/>
  <c r="H4" i="31"/>
  <c r="G4" i="31"/>
  <c r="I4" i="31"/>
  <c r="AR4" i="31"/>
  <c r="F8" i="30"/>
  <c r="F9" i="30"/>
  <c r="F10" i="30"/>
  <c r="F11" i="30"/>
  <c r="F12" i="30"/>
  <c r="F13" i="30"/>
  <c r="B13" i="30"/>
  <c r="I12" i="30"/>
  <c r="AR12" i="30"/>
  <c r="I11" i="30"/>
  <c r="AR11" i="30"/>
  <c r="I10" i="30"/>
  <c r="AR10" i="30"/>
  <c r="I9" i="30"/>
  <c r="AR9" i="30"/>
  <c r="I8" i="30"/>
  <c r="AR8" i="30"/>
  <c r="H7" i="30"/>
  <c r="G7" i="30"/>
  <c r="I7" i="30"/>
  <c r="AR7" i="30"/>
  <c r="K7" i="30"/>
  <c r="H6" i="30"/>
  <c r="G6" i="30"/>
  <c r="I6" i="30"/>
  <c r="AR6" i="30"/>
  <c r="K6" i="30"/>
  <c r="H5" i="30"/>
  <c r="G5" i="30"/>
  <c r="I5" i="30"/>
  <c r="AR5" i="30"/>
  <c r="K5" i="30"/>
  <c r="H4" i="30"/>
  <c r="G4" i="30"/>
  <c r="I4" i="30"/>
  <c r="AR4" i="30"/>
  <c r="F8" i="29"/>
  <c r="F9" i="29"/>
  <c r="F10" i="29"/>
  <c r="F11" i="29"/>
  <c r="F12" i="29"/>
  <c r="F13" i="29"/>
  <c r="B13" i="29"/>
  <c r="I12" i="29"/>
  <c r="AR12" i="29"/>
  <c r="I11" i="29"/>
  <c r="AR11" i="29"/>
  <c r="I10" i="29"/>
  <c r="AR10" i="29"/>
  <c r="I9" i="29"/>
  <c r="AR9" i="29"/>
  <c r="I8" i="29"/>
  <c r="AR8" i="29"/>
  <c r="H7" i="29"/>
  <c r="G7" i="29"/>
  <c r="I7" i="29"/>
  <c r="AR7" i="29"/>
  <c r="K7" i="29"/>
  <c r="H6" i="29"/>
  <c r="G6" i="29"/>
  <c r="I6" i="29"/>
  <c r="AR6" i="29"/>
  <c r="K6" i="29"/>
  <c r="H5" i="29"/>
  <c r="G5" i="29"/>
  <c r="I5" i="29"/>
  <c r="AR5" i="29"/>
  <c r="K5" i="29"/>
  <c r="H4" i="29"/>
  <c r="G4" i="29"/>
  <c r="I4" i="29"/>
  <c r="AR4" i="29"/>
  <c r="F8" i="28"/>
  <c r="F9" i="28"/>
  <c r="F10" i="28"/>
  <c r="F11" i="28"/>
  <c r="F12" i="28"/>
  <c r="F13" i="28"/>
  <c r="B13" i="28"/>
  <c r="I12" i="28"/>
  <c r="AR12" i="28"/>
  <c r="I11" i="28"/>
  <c r="AR11" i="28"/>
  <c r="I10" i="28"/>
  <c r="AR10" i="28"/>
  <c r="I9" i="28"/>
  <c r="AR9" i="28"/>
  <c r="I8" i="28"/>
  <c r="AR8" i="28"/>
  <c r="H7" i="28"/>
  <c r="G7" i="28"/>
  <c r="I7" i="28"/>
  <c r="AR7" i="28"/>
  <c r="K7" i="28"/>
  <c r="H6" i="28"/>
  <c r="G6" i="28"/>
  <c r="I6" i="28"/>
  <c r="AR6" i="28"/>
  <c r="K6" i="28"/>
  <c r="H5" i="28"/>
  <c r="G5" i="28"/>
  <c r="I5" i="28"/>
  <c r="AR5" i="28"/>
  <c r="K5" i="28"/>
  <c r="H4" i="28"/>
  <c r="G4" i="28"/>
  <c r="I4" i="28"/>
  <c r="AR4" i="28"/>
  <c r="F8" i="27"/>
  <c r="F9" i="27"/>
  <c r="F10" i="27"/>
  <c r="F11" i="27"/>
  <c r="F12" i="27"/>
  <c r="F13" i="27"/>
  <c r="B13" i="27"/>
  <c r="I12" i="27"/>
  <c r="AR12" i="27"/>
  <c r="I11" i="27"/>
  <c r="AR11" i="27"/>
  <c r="I10" i="27"/>
  <c r="AR10" i="27"/>
  <c r="I9" i="27"/>
  <c r="AR9" i="27"/>
  <c r="I8" i="27"/>
  <c r="AR8" i="27"/>
  <c r="H7" i="27"/>
  <c r="G7" i="27"/>
  <c r="I7" i="27"/>
  <c r="AR7" i="27"/>
  <c r="K7" i="27"/>
  <c r="H6" i="27"/>
  <c r="G6" i="27"/>
  <c r="I6" i="27"/>
  <c r="AR6" i="27"/>
  <c r="K6" i="27"/>
  <c r="H5" i="27"/>
  <c r="G5" i="27"/>
  <c r="I5" i="27"/>
  <c r="AR5" i="27"/>
  <c r="K5" i="27"/>
  <c r="H4" i="27"/>
  <c r="G4" i="27"/>
  <c r="I4" i="27"/>
  <c r="AR4" i="27"/>
  <c r="I12" i="26"/>
  <c r="AR12" i="26"/>
  <c r="I11" i="26"/>
  <c r="AR11" i="26"/>
  <c r="I10" i="26"/>
  <c r="AR10" i="26"/>
  <c r="I9" i="26"/>
  <c r="AR9" i="26"/>
  <c r="I8" i="26"/>
  <c r="AR8" i="26"/>
  <c r="H7" i="26"/>
  <c r="G7" i="26"/>
  <c r="I7" i="26"/>
  <c r="AR7" i="26"/>
  <c r="H6" i="26"/>
  <c r="G6" i="26"/>
  <c r="I6" i="26"/>
  <c r="AR6" i="26"/>
  <c r="H5" i="26"/>
  <c r="G5" i="26"/>
  <c r="I5" i="26"/>
  <c r="AR5" i="26"/>
  <c r="H4" i="26"/>
  <c r="G4" i="26"/>
  <c r="I4" i="26"/>
  <c r="AR4" i="26"/>
  <c r="E114" i="9"/>
  <c r="F24" i="41"/>
  <c r="E115" i="9"/>
  <c r="F10" i="41"/>
  <c r="F11" i="41"/>
  <c r="E77" i="9"/>
  <c r="H20" i="41"/>
  <c r="E95" i="9"/>
  <c r="X12" i="41"/>
  <c r="Y12" i="41"/>
  <c r="Z12" i="41"/>
  <c r="AA12" i="41"/>
  <c r="AD17" i="35"/>
  <c r="AG17" i="35"/>
  <c r="AE17" i="35"/>
  <c r="AE18" i="35"/>
  <c r="AE19" i="35"/>
  <c r="AE20" i="35"/>
  <c r="AE21" i="35"/>
  <c r="AE22" i="35"/>
  <c r="AE23" i="35"/>
  <c r="AE24" i="35"/>
  <c r="AE25" i="35"/>
  <c r="AF17" i="35"/>
  <c r="AH17" i="35"/>
  <c r="AD18" i="35"/>
  <c r="AG18" i="35"/>
  <c r="AF18" i="35"/>
  <c r="AH18" i="35"/>
  <c r="AD19" i="35"/>
  <c r="AG19" i="35"/>
  <c r="AF19" i="35"/>
  <c r="AH19" i="35"/>
  <c r="AD20" i="35"/>
  <c r="AG20" i="35"/>
  <c r="AF20" i="35"/>
  <c r="AH20" i="35"/>
  <c r="AD21" i="35"/>
  <c r="AG21" i="35"/>
  <c r="AF21" i="35"/>
  <c r="AH21" i="35"/>
  <c r="AD22" i="35"/>
  <c r="AG22" i="35"/>
  <c r="AF22" i="35"/>
  <c r="AH22" i="35"/>
  <c r="AD23" i="35"/>
  <c r="AG23" i="35"/>
  <c r="AF23" i="35"/>
  <c r="AH23" i="35"/>
  <c r="AD24" i="35"/>
  <c r="AG24" i="35"/>
  <c r="AF24" i="35"/>
  <c r="AH24" i="35"/>
  <c r="AD25" i="35"/>
  <c r="AG25" i="35"/>
  <c r="AF25" i="35"/>
  <c r="AH25" i="35"/>
  <c r="K25" i="41"/>
  <c r="I25" i="41"/>
  <c r="AC25" i="41"/>
  <c r="AD25" i="41"/>
  <c r="U25" i="41"/>
  <c r="I26" i="41"/>
  <c r="K26" i="41"/>
  <c r="AC26" i="41"/>
  <c r="AD26" i="41"/>
  <c r="U26" i="41"/>
  <c r="I27" i="41"/>
  <c r="K27" i="41"/>
  <c r="AC27" i="41"/>
  <c r="AD27" i="41"/>
  <c r="U27" i="41"/>
  <c r="I28" i="41"/>
  <c r="K28" i="41"/>
  <c r="AC28" i="41"/>
  <c r="AD28" i="41"/>
  <c r="U28" i="41"/>
  <c r="I29" i="41"/>
  <c r="K29" i="41"/>
  <c r="AC29" i="41"/>
  <c r="AD29" i="41"/>
  <c r="U29" i="41"/>
  <c r="I30" i="41"/>
  <c r="K30" i="41"/>
  <c r="AC30" i="41"/>
  <c r="AD30" i="41"/>
  <c r="U30" i="41"/>
  <c r="AI50" i="40"/>
  <c r="AD17" i="25"/>
  <c r="AG17" i="25"/>
  <c r="AE17" i="25"/>
  <c r="AE18" i="25"/>
  <c r="AE19" i="25"/>
  <c r="AE20" i="25"/>
  <c r="AE21" i="25"/>
  <c r="AE22" i="25"/>
  <c r="AE23" i="25"/>
  <c r="AE24" i="25"/>
  <c r="AE25" i="25"/>
  <c r="AF17" i="25"/>
  <c r="AH17" i="25"/>
  <c r="AD18" i="25"/>
  <c r="AG18" i="25"/>
  <c r="AF18" i="25"/>
  <c r="AH18" i="25"/>
  <c r="AD19" i="25"/>
  <c r="AG19" i="25"/>
  <c r="AF19" i="25"/>
  <c r="AH19" i="25"/>
  <c r="AD20" i="25"/>
  <c r="AG20" i="25"/>
  <c r="AF20" i="25"/>
  <c r="AH20" i="25"/>
  <c r="AD21" i="25"/>
  <c r="AG21" i="25"/>
  <c r="AF21" i="25"/>
  <c r="AH21" i="25"/>
  <c r="AD22" i="25"/>
  <c r="AG22" i="25"/>
  <c r="AF22" i="25"/>
  <c r="AH22" i="25"/>
  <c r="AD23" i="25"/>
  <c r="AG23" i="25"/>
  <c r="AF23" i="25"/>
  <c r="AH23" i="25"/>
  <c r="AD24" i="25"/>
  <c r="AG24" i="25"/>
  <c r="AF24" i="25"/>
  <c r="AH24" i="25"/>
  <c r="AD25" i="25"/>
  <c r="AG25" i="25"/>
  <c r="AF25" i="25"/>
  <c r="AH25" i="25"/>
  <c r="AI49" i="40"/>
  <c r="AD17" i="17"/>
  <c r="AG17" i="17"/>
  <c r="AE17" i="17"/>
  <c r="AE18" i="17"/>
  <c r="AE19" i="17"/>
  <c r="AE20" i="17"/>
  <c r="AE21" i="17"/>
  <c r="AE22" i="17"/>
  <c r="AE23" i="17"/>
  <c r="AE24" i="17"/>
  <c r="AE25"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AI48" i="40"/>
  <c r="AD17" i="3"/>
  <c r="AG17" i="3"/>
  <c r="AE17" i="3"/>
  <c r="AE18" i="3"/>
  <c r="AE19" i="3"/>
  <c r="AE20" i="3"/>
  <c r="AE21" i="3"/>
  <c r="AE22" i="3"/>
  <c r="AE23" i="3"/>
  <c r="AE24" i="3"/>
  <c r="AE25"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AI47" i="40"/>
  <c r="AI43" i="40"/>
  <c r="AI42" i="40"/>
  <c r="AI41" i="40"/>
  <c r="AI40" i="40"/>
  <c r="AI36" i="40"/>
  <c r="AI35" i="40"/>
  <c r="AI34" i="40"/>
  <c r="AI33" i="40"/>
  <c r="AI29" i="40"/>
  <c r="AI28" i="40"/>
  <c r="AI27" i="40"/>
  <c r="AI26" i="40"/>
  <c r="AI22" i="40"/>
  <c r="AI21" i="40"/>
  <c r="AI20" i="40"/>
  <c r="AI19" i="40"/>
  <c r="AI15" i="40"/>
  <c r="AI14" i="40"/>
  <c r="AI13" i="40"/>
  <c r="AI12" i="40"/>
  <c r="AE30" i="41"/>
  <c r="X30" i="41"/>
  <c r="Y30" i="41"/>
  <c r="AA30" i="41"/>
  <c r="Z30" i="41"/>
  <c r="W30" i="41"/>
  <c r="AE29" i="41"/>
  <c r="X29" i="41"/>
  <c r="Y29" i="41"/>
  <c r="AA29" i="41"/>
  <c r="Z29" i="41"/>
  <c r="W29" i="41"/>
  <c r="AE28" i="41"/>
  <c r="X28" i="41"/>
  <c r="Y28" i="41"/>
  <c r="AA28" i="41"/>
  <c r="Z28" i="41"/>
  <c r="W28" i="41"/>
  <c r="AE27" i="41"/>
  <c r="X27" i="41"/>
  <c r="Y27" i="41"/>
  <c r="AA27" i="41"/>
  <c r="Z27" i="41"/>
  <c r="W27" i="41"/>
  <c r="AE26" i="41"/>
  <c r="X26" i="41"/>
  <c r="Y26" i="41"/>
  <c r="AA26" i="41"/>
  <c r="Z26" i="41"/>
  <c r="W26" i="41"/>
  <c r="AE25" i="41"/>
  <c r="X25" i="41"/>
  <c r="Y25" i="41"/>
  <c r="AA25" i="41"/>
  <c r="Z25" i="41"/>
  <c r="W25" i="41"/>
  <c r="E75" i="9"/>
  <c r="W24" i="41"/>
  <c r="S30" i="41"/>
  <c r="P30" i="41"/>
  <c r="M30" i="41"/>
  <c r="S29" i="41"/>
  <c r="P29" i="41"/>
  <c r="M29" i="41"/>
  <c r="S28" i="41"/>
  <c r="P28" i="41"/>
  <c r="M28" i="41"/>
  <c r="S27" i="41"/>
  <c r="P27" i="41"/>
  <c r="M27" i="41"/>
  <c r="S26" i="41"/>
  <c r="P26" i="41"/>
  <c r="M26" i="41"/>
  <c r="S25" i="41"/>
  <c r="P25" i="41"/>
  <c r="M25" i="41"/>
  <c r="E76" i="9"/>
  <c r="U24" i="41"/>
  <c r="R24" i="41"/>
  <c r="E73" i="9"/>
  <c r="O24" i="41"/>
  <c r="E72" i="9"/>
  <c r="L24" i="41"/>
  <c r="E14" i="9"/>
  <c r="I24" i="41"/>
  <c r="E48" i="9"/>
  <c r="E24" i="41"/>
  <c r="E39" i="9"/>
  <c r="D24" i="41"/>
  <c r="E33" i="9"/>
  <c r="C24" i="41"/>
  <c r="C40" i="38"/>
  <c r="F40" i="38"/>
  <c r="C39" i="38"/>
  <c r="F39" i="38"/>
  <c r="C38" i="38"/>
  <c r="F38" i="38"/>
  <c r="C37" i="38"/>
  <c r="F37" i="38"/>
  <c r="C36" i="38"/>
  <c r="F36" i="38"/>
  <c r="C35" i="38"/>
  <c r="F35" i="38"/>
  <c r="C31" i="38"/>
  <c r="F31" i="38"/>
  <c r="C30" i="38"/>
  <c r="F30" i="38"/>
  <c r="C29" i="38"/>
  <c r="F29" i="38"/>
  <c r="C28" i="38"/>
  <c r="F28" i="38"/>
  <c r="C27" i="38"/>
  <c r="F27" i="38"/>
  <c r="C26" i="38"/>
  <c r="F26" i="38"/>
  <c r="C22" i="38"/>
  <c r="F22" i="38"/>
  <c r="C21" i="38"/>
  <c r="F21" i="38"/>
  <c r="C20" i="38"/>
  <c r="F20" i="38"/>
  <c r="C19" i="38"/>
  <c r="F19" i="38"/>
  <c r="C18" i="38"/>
  <c r="F18" i="38"/>
  <c r="C17" i="38"/>
  <c r="F17" i="38"/>
  <c r="Z18" i="35"/>
  <c r="Z20" i="35"/>
  <c r="Z21" i="35"/>
  <c r="C13" i="38"/>
  <c r="F13" i="38"/>
  <c r="C12" i="38"/>
  <c r="F12" i="38"/>
  <c r="C11" i="38"/>
  <c r="F11" i="38"/>
  <c r="C10" i="38"/>
  <c r="F10" i="38"/>
  <c r="C9" i="38"/>
  <c r="F9" i="38"/>
  <c r="C8" i="38"/>
  <c r="F8" i="38"/>
  <c r="C40" i="20"/>
  <c r="F40" i="20"/>
  <c r="C39" i="20"/>
  <c r="F39" i="20"/>
  <c r="C38" i="20"/>
  <c r="F38" i="20"/>
  <c r="C37" i="20"/>
  <c r="F37" i="20"/>
  <c r="C36" i="20"/>
  <c r="F36" i="20"/>
  <c r="C35" i="20"/>
  <c r="F35" i="20"/>
  <c r="C31" i="20"/>
  <c r="F31" i="20"/>
  <c r="C30" i="20"/>
  <c r="F30" i="20"/>
  <c r="C29" i="20"/>
  <c r="F29" i="20"/>
  <c r="C28" i="20"/>
  <c r="F28" i="20"/>
  <c r="C27" i="20"/>
  <c r="F27" i="20"/>
  <c r="C26" i="20"/>
  <c r="F26" i="20"/>
  <c r="C22" i="20"/>
  <c r="F22" i="20"/>
  <c r="C21" i="20"/>
  <c r="F21" i="20"/>
  <c r="C20" i="20"/>
  <c r="F20" i="20"/>
  <c r="C19" i="20"/>
  <c r="F19" i="20"/>
  <c r="C18" i="20"/>
  <c r="F18" i="20"/>
  <c r="C17" i="20"/>
  <c r="F17" i="20"/>
  <c r="C13" i="20"/>
  <c r="F13" i="20"/>
  <c r="C12" i="20"/>
  <c r="F12" i="20"/>
  <c r="C11" i="20"/>
  <c r="F11" i="20"/>
  <c r="C10" i="20"/>
  <c r="F10" i="20"/>
  <c r="C9" i="20"/>
  <c r="F9" i="20"/>
  <c r="C8" i="20"/>
  <c r="F8" i="20"/>
  <c r="AB207" i="35"/>
  <c r="AB206" i="35"/>
  <c r="AB205" i="35"/>
  <c r="AB204" i="35"/>
  <c r="AB203" i="35"/>
  <c r="AB202" i="35"/>
  <c r="AB201" i="35"/>
  <c r="AB200" i="35"/>
  <c r="AB199" i="35"/>
  <c r="AB198" i="35"/>
  <c r="AB197" i="35"/>
  <c r="AB196" i="35"/>
  <c r="AB207" i="25"/>
  <c r="AB206" i="25"/>
  <c r="AB205" i="25"/>
  <c r="AB204" i="25"/>
  <c r="AB203" i="25"/>
  <c r="AB202" i="25"/>
  <c r="AB201" i="25"/>
  <c r="AB200" i="25"/>
  <c r="AB199" i="25"/>
  <c r="AB198" i="25"/>
  <c r="AB197" i="25"/>
  <c r="AB196" i="25"/>
  <c r="AB207" i="17"/>
  <c r="AB206" i="17"/>
  <c r="AB205" i="17"/>
  <c r="AB204" i="17"/>
  <c r="AB203" i="17"/>
  <c r="AB202" i="17"/>
  <c r="AB201" i="17"/>
  <c r="AB200" i="17"/>
  <c r="AB199" i="17"/>
  <c r="AB198" i="17"/>
  <c r="AB197" i="17"/>
  <c r="AB196" i="17"/>
  <c r="AB207" i="3"/>
  <c r="AB206" i="3"/>
  <c r="AB205" i="3"/>
  <c r="AB204" i="3"/>
  <c r="AB203" i="3"/>
  <c r="AB202" i="3"/>
  <c r="AB201" i="3"/>
  <c r="AB200" i="3"/>
  <c r="AB199" i="3"/>
  <c r="AB198" i="3"/>
  <c r="AB197" i="3"/>
  <c r="AB196" i="3"/>
  <c r="E6" i="9"/>
  <c r="Y18" i="31"/>
  <c r="Y19" i="31"/>
  <c r="Y20" i="31"/>
  <c r="Y17" i="31"/>
  <c r="Y18" i="30"/>
  <c r="Y19" i="30"/>
  <c r="Y20" i="30"/>
  <c r="Y17" i="30"/>
  <c r="Y18" i="28"/>
  <c r="Y19" i="28"/>
  <c r="Y20" i="28"/>
  <c r="Y17" i="28"/>
  <c r="Y18" i="27"/>
  <c r="Y19" i="27"/>
  <c r="Y20" i="27"/>
  <c r="Y17" i="27"/>
  <c r="Y18" i="26"/>
  <c r="Y19" i="26"/>
  <c r="Y20" i="26"/>
  <c r="Y17" i="26"/>
  <c r="X13" i="41"/>
  <c r="Y13" i="41"/>
  <c r="Z13" i="41"/>
  <c r="AA13" i="41"/>
  <c r="C33" i="26"/>
  <c r="C32" i="26"/>
  <c r="C31" i="26"/>
  <c r="C30" i="26"/>
  <c r="J17" i="26"/>
  <c r="AE17" i="26"/>
  <c r="J18" i="26"/>
  <c r="AE18" i="26"/>
  <c r="J19" i="26"/>
  <c r="AE19" i="26"/>
  <c r="J20" i="26"/>
  <c r="AE20" i="26"/>
  <c r="AF25" i="26"/>
  <c r="C25" i="26"/>
  <c r="AF24" i="26"/>
  <c r="C24" i="26"/>
  <c r="AF23" i="26"/>
  <c r="C23" i="26"/>
  <c r="AF22" i="26"/>
  <c r="C22" i="26"/>
  <c r="AF21" i="26"/>
  <c r="C21" i="26"/>
  <c r="AF20" i="26"/>
  <c r="I20" i="26"/>
  <c r="H20" i="26"/>
  <c r="C20" i="26"/>
  <c r="AF19" i="26"/>
  <c r="I19" i="26"/>
  <c r="H19" i="26"/>
  <c r="C19" i="26"/>
  <c r="AF18" i="26"/>
  <c r="I18" i="26"/>
  <c r="H18" i="26"/>
  <c r="C18" i="26"/>
  <c r="AF17" i="26"/>
  <c r="I17" i="26"/>
  <c r="H17" i="26"/>
  <c r="C17" i="26"/>
  <c r="F8" i="26"/>
  <c r="F9" i="26"/>
  <c r="F10" i="26"/>
  <c r="F11" i="26"/>
  <c r="F12" i="26"/>
  <c r="F13" i="26"/>
  <c r="B13" i="26"/>
  <c r="J17" i="27"/>
  <c r="AE17" i="27"/>
  <c r="J18" i="27"/>
  <c r="AE18" i="27"/>
  <c r="J19" i="27"/>
  <c r="AE19" i="27"/>
  <c r="J20" i="27"/>
  <c r="AE20" i="27"/>
  <c r="AF25" i="27"/>
  <c r="C25" i="27"/>
  <c r="AF24" i="27"/>
  <c r="C24" i="27"/>
  <c r="AF23" i="27"/>
  <c r="C23" i="27"/>
  <c r="AF22" i="27"/>
  <c r="C22" i="27"/>
  <c r="AF21" i="27"/>
  <c r="C21" i="27"/>
  <c r="AF20" i="27"/>
  <c r="I20" i="27"/>
  <c r="H20" i="27"/>
  <c r="D20" i="27"/>
  <c r="C20" i="27"/>
  <c r="AF19" i="27"/>
  <c r="I19" i="27"/>
  <c r="H19" i="27"/>
  <c r="D19" i="27"/>
  <c r="C19" i="27"/>
  <c r="AF18" i="27"/>
  <c r="I18" i="27"/>
  <c r="H18" i="27"/>
  <c r="D18" i="27"/>
  <c r="C18" i="27"/>
  <c r="AF17" i="27"/>
  <c r="I17" i="27"/>
  <c r="H17" i="27"/>
  <c r="C17" i="27"/>
  <c r="J17" i="28"/>
  <c r="AE17" i="28"/>
  <c r="J18" i="28"/>
  <c r="AE18" i="28"/>
  <c r="J19" i="28"/>
  <c r="AE19" i="28"/>
  <c r="J20" i="28"/>
  <c r="AE20" i="28"/>
  <c r="AF25" i="28"/>
  <c r="C25" i="28"/>
  <c r="AF24" i="28"/>
  <c r="C24" i="28"/>
  <c r="AF23" i="28"/>
  <c r="C23" i="28"/>
  <c r="AF22" i="28"/>
  <c r="C22" i="28"/>
  <c r="AF21" i="28"/>
  <c r="C21" i="28"/>
  <c r="AF20" i="28"/>
  <c r="I20" i="28"/>
  <c r="H20" i="28"/>
  <c r="D20" i="28"/>
  <c r="C20" i="28"/>
  <c r="AF19" i="28"/>
  <c r="I19" i="28"/>
  <c r="H19" i="28"/>
  <c r="D19" i="28"/>
  <c r="C19" i="28"/>
  <c r="AF18" i="28"/>
  <c r="I18" i="28"/>
  <c r="H18" i="28"/>
  <c r="D18" i="28"/>
  <c r="C18" i="28"/>
  <c r="AF17" i="28"/>
  <c r="I17" i="28"/>
  <c r="H17" i="28"/>
  <c r="C17" i="28"/>
  <c r="J17" i="31"/>
  <c r="AE17" i="31"/>
  <c r="J18" i="31"/>
  <c r="AE18" i="31"/>
  <c r="J19" i="31"/>
  <c r="AE19" i="31"/>
  <c r="J20" i="31"/>
  <c r="AE20" i="31"/>
  <c r="AF25" i="31"/>
  <c r="C25" i="31"/>
  <c r="AF24" i="31"/>
  <c r="C24" i="31"/>
  <c r="AF23" i="31"/>
  <c r="C23" i="31"/>
  <c r="AF22" i="31"/>
  <c r="C22" i="31"/>
  <c r="AF21" i="31"/>
  <c r="C21" i="31"/>
  <c r="AF20" i="31"/>
  <c r="I20" i="31"/>
  <c r="H20" i="31"/>
  <c r="D20" i="31"/>
  <c r="C20" i="31"/>
  <c r="AF19" i="31"/>
  <c r="I19" i="31"/>
  <c r="H19" i="31"/>
  <c r="D19" i="31"/>
  <c r="C19" i="31"/>
  <c r="AF18" i="31"/>
  <c r="I18" i="31"/>
  <c r="H18" i="31"/>
  <c r="D18" i="31"/>
  <c r="C18" i="31"/>
  <c r="AF17" i="31"/>
  <c r="I17" i="31"/>
  <c r="H17" i="31"/>
  <c r="C17" i="31"/>
  <c r="J17" i="30"/>
  <c r="AE17" i="30"/>
  <c r="J18" i="30"/>
  <c r="AE18" i="30"/>
  <c r="J19" i="30"/>
  <c r="AE19" i="30"/>
  <c r="J20" i="30"/>
  <c r="AE20" i="30"/>
  <c r="AF25" i="30"/>
  <c r="C25" i="30"/>
  <c r="AF24" i="30"/>
  <c r="C24" i="30"/>
  <c r="AF23" i="30"/>
  <c r="C23" i="30"/>
  <c r="AF22" i="30"/>
  <c r="C22" i="30"/>
  <c r="AF21" i="30"/>
  <c r="C21" i="30"/>
  <c r="AF20" i="30"/>
  <c r="I20" i="30"/>
  <c r="H20" i="30"/>
  <c r="D20" i="30"/>
  <c r="C20" i="30"/>
  <c r="AF19" i="30"/>
  <c r="I19" i="30"/>
  <c r="H19" i="30"/>
  <c r="D19" i="30"/>
  <c r="C19" i="30"/>
  <c r="AF18" i="30"/>
  <c r="I18" i="30"/>
  <c r="H18" i="30"/>
  <c r="D18" i="30"/>
  <c r="C18" i="30"/>
  <c r="AF17" i="30"/>
  <c r="I17" i="30"/>
  <c r="H17" i="30"/>
  <c r="C17" i="30"/>
  <c r="J20" i="29"/>
  <c r="AE20" i="29"/>
  <c r="J19" i="29"/>
  <c r="AE19" i="29"/>
  <c r="J18" i="29"/>
  <c r="AE18" i="29"/>
  <c r="J17" i="29"/>
  <c r="AE17" i="29"/>
  <c r="Y18" i="29"/>
  <c r="Y19" i="29"/>
  <c r="Y20" i="29"/>
  <c r="Y17" i="29"/>
  <c r="Z207" i="35"/>
  <c r="Z206" i="35"/>
  <c r="Z205" i="35"/>
  <c r="Z204" i="35"/>
  <c r="Z203" i="35"/>
  <c r="Z202" i="35"/>
  <c r="Z201" i="35"/>
  <c r="Z200" i="35"/>
  <c r="Z199" i="35"/>
  <c r="Z198" i="35"/>
  <c r="Z197" i="35"/>
  <c r="Z196" i="35"/>
  <c r="AH135" i="35"/>
  <c r="AG135" i="35"/>
  <c r="Z135" i="35"/>
  <c r="Y135" i="35"/>
  <c r="X135" i="35"/>
  <c r="W135" i="35"/>
  <c r="V135" i="35"/>
  <c r="AH134" i="35"/>
  <c r="AG134" i="35"/>
  <c r="Z134" i="35"/>
  <c r="Y134" i="35"/>
  <c r="X134" i="35"/>
  <c r="W134" i="35"/>
  <c r="V134" i="35"/>
  <c r="AH133" i="35"/>
  <c r="AG133" i="35"/>
  <c r="Z133" i="35"/>
  <c r="Y133" i="35"/>
  <c r="X133" i="35"/>
  <c r="W133" i="35"/>
  <c r="V133" i="35"/>
  <c r="AH132" i="35"/>
  <c r="AG132" i="35"/>
  <c r="Z132" i="35"/>
  <c r="Y132" i="35"/>
  <c r="X132" i="35"/>
  <c r="W132" i="35"/>
  <c r="V132" i="35"/>
  <c r="AH131" i="35"/>
  <c r="AG131" i="35"/>
  <c r="Z131" i="35"/>
  <c r="Y131" i="35"/>
  <c r="X131" i="35"/>
  <c r="W131" i="35"/>
  <c r="V131" i="35"/>
  <c r="AH130" i="35"/>
  <c r="AG130" i="35"/>
  <c r="Z130" i="35"/>
  <c r="Y130" i="35"/>
  <c r="X130" i="35"/>
  <c r="W130" i="35"/>
  <c r="V130" i="35"/>
  <c r="AH129" i="35"/>
  <c r="AG129" i="35"/>
  <c r="Z129" i="35"/>
  <c r="Y129" i="35"/>
  <c r="X129" i="35"/>
  <c r="W129" i="35"/>
  <c r="V129" i="35"/>
  <c r="AH128" i="35"/>
  <c r="AG128" i="35"/>
  <c r="Z128" i="35"/>
  <c r="Y128" i="35"/>
  <c r="X128" i="35"/>
  <c r="W128" i="35"/>
  <c r="V128" i="35"/>
  <c r="AH127" i="35"/>
  <c r="AG127" i="35"/>
  <c r="Z127" i="35"/>
  <c r="Y127" i="35"/>
  <c r="X127" i="35"/>
  <c r="W127" i="35"/>
  <c r="V127" i="35"/>
  <c r="AH126" i="35"/>
  <c r="AG126" i="35"/>
  <c r="Z126" i="35"/>
  <c r="Y126" i="35"/>
  <c r="X126" i="35"/>
  <c r="W126" i="35"/>
  <c r="V126" i="35"/>
  <c r="AH125" i="35"/>
  <c r="AG125" i="35"/>
  <c r="Z125" i="35"/>
  <c r="Y125" i="35"/>
  <c r="X125" i="35"/>
  <c r="W125" i="35"/>
  <c r="V125" i="35"/>
  <c r="AH124" i="35"/>
  <c r="AG124" i="35"/>
  <c r="Z124" i="35"/>
  <c r="Y124" i="35"/>
  <c r="X124" i="35"/>
  <c r="W124" i="35"/>
  <c r="V124" i="35"/>
  <c r="Z207" i="25"/>
  <c r="Z206" i="25"/>
  <c r="Z205" i="25"/>
  <c r="Z204" i="25"/>
  <c r="Z203" i="25"/>
  <c r="Z202" i="25"/>
  <c r="Z201" i="25"/>
  <c r="Z200" i="25"/>
  <c r="Z199" i="25"/>
  <c r="Z198" i="25"/>
  <c r="Z197" i="25"/>
  <c r="Z196" i="25"/>
  <c r="AH135" i="25"/>
  <c r="AG135" i="25"/>
  <c r="Z135" i="25"/>
  <c r="Y135" i="25"/>
  <c r="X135" i="25"/>
  <c r="W135" i="25"/>
  <c r="V135" i="25"/>
  <c r="AH134" i="25"/>
  <c r="AG134" i="25"/>
  <c r="Z134" i="25"/>
  <c r="Y134" i="25"/>
  <c r="X134" i="25"/>
  <c r="W134" i="25"/>
  <c r="V134" i="25"/>
  <c r="AH133" i="25"/>
  <c r="AG133" i="25"/>
  <c r="Z133" i="25"/>
  <c r="Y133" i="25"/>
  <c r="X133" i="25"/>
  <c r="W133" i="25"/>
  <c r="V133" i="25"/>
  <c r="AH132" i="25"/>
  <c r="AG132" i="25"/>
  <c r="Z132" i="25"/>
  <c r="Y132" i="25"/>
  <c r="X132" i="25"/>
  <c r="W132" i="25"/>
  <c r="V132" i="25"/>
  <c r="AH131" i="25"/>
  <c r="AG131" i="25"/>
  <c r="Z131" i="25"/>
  <c r="Y131" i="25"/>
  <c r="X131" i="25"/>
  <c r="W131" i="25"/>
  <c r="V131" i="25"/>
  <c r="AH130" i="25"/>
  <c r="AG130" i="25"/>
  <c r="Z130" i="25"/>
  <c r="Y130" i="25"/>
  <c r="X130" i="25"/>
  <c r="W130" i="25"/>
  <c r="V130" i="25"/>
  <c r="AH129" i="25"/>
  <c r="AG129" i="25"/>
  <c r="Z129" i="25"/>
  <c r="Y129" i="25"/>
  <c r="X129" i="25"/>
  <c r="W129" i="25"/>
  <c r="V129" i="25"/>
  <c r="AH128" i="25"/>
  <c r="AG128" i="25"/>
  <c r="Z128" i="25"/>
  <c r="Y128" i="25"/>
  <c r="X128" i="25"/>
  <c r="W128" i="25"/>
  <c r="V128" i="25"/>
  <c r="AH127" i="25"/>
  <c r="AG127" i="25"/>
  <c r="Z127" i="25"/>
  <c r="Y127" i="25"/>
  <c r="X127" i="25"/>
  <c r="W127" i="25"/>
  <c r="V127" i="25"/>
  <c r="AH126" i="25"/>
  <c r="AG126" i="25"/>
  <c r="Z126" i="25"/>
  <c r="Y126" i="25"/>
  <c r="X126" i="25"/>
  <c r="W126" i="25"/>
  <c r="V126" i="25"/>
  <c r="AH125" i="25"/>
  <c r="AG125" i="25"/>
  <c r="Z125" i="25"/>
  <c r="Y125" i="25"/>
  <c r="X125" i="25"/>
  <c r="W125" i="25"/>
  <c r="V125" i="25"/>
  <c r="AH124" i="25"/>
  <c r="AG124" i="25"/>
  <c r="Z124" i="25"/>
  <c r="Y124" i="25"/>
  <c r="X124" i="25"/>
  <c r="W124" i="25"/>
  <c r="V124" i="25"/>
  <c r="Z207" i="17"/>
  <c r="Z206" i="17"/>
  <c r="Z205" i="17"/>
  <c r="Z204" i="17"/>
  <c r="Z203" i="17"/>
  <c r="Z202" i="17"/>
  <c r="Z201" i="17"/>
  <c r="Z200" i="17"/>
  <c r="Z199" i="17"/>
  <c r="Z198" i="17"/>
  <c r="Z197" i="17"/>
  <c r="Z196" i="17"/>
  <c r="AH135" i="17"/>
  <c r="AG135" i="17"/>
  <c r="Z135" i="17"/>
  <c r="Y135" i="17"/>
  <c r="X135" i="17"/>
  <c r="W135" i="17"/>
  <c r="V135" i="17"/>
  <c r="AH134" i="17"/>
  <c r="AG134" i="17"/>
  <c r="Z134" i="17"/>
  <c r="Y134" i="17"/>
  <c r="X134" i="17"/>
  <c r="W134" i="17"/>
  <c r="V134" i="17"/>
  <c r="AH133" i="17"/>
  <c r="AG133" i="17"/>
  <c r="Z133" i="17"/>
  <c r="Y133" i="17"/>
  <c r="X133" i="17"/>
  <c r="W133" i="17"/>
  <c r="V133" i="17"/>
  <c r="AH132" i="17"/>
  <c r="AG132" i="17"/>
  <c r="Z132" i="17"/>
  <c r="Y132" i="17"/>
  <c r="X132" i="17"/>
  <c r="W132" i="17"/>
  <c r="V132" i="17"/>
  <c r="AH131" i="17"/>
  <c r="AG131" i="17"/>
  <c r="Z131" i="17"/>
  <c r="Y131" i="17"/>
  <c r="X131" i="17"/>
  <c r="W131" i="17"/>
  <c r="V131" i="17"/>
  <c r="AH130" i="17"/>
  <c r="AG130" i="17"/>
  <c r="Z130" i="17"/>
  <c r="Y130" i="17"/>
  <c r="X130" i="17"/>
  <c r="W130" i="17"/>
  <c r="V130" i="17"/>
  <c r="AH129" i="17"/>
  <c r="AG129" i="17"/>
  <c r="Z129" i="17"/>
  <c r="Y129" i="17"/>
  <c r="X129" i="17"/>
  <c r="W129" i="17"/>
  <c r="V129" i="17"/>
  <c r="AH128" i="17"/>
  <c r="AG128" i="17"/>
  <c r="Z128" i="17"/>
  <c r="Y128" i="17"/>
  <c r="X128" i="17"/>
  <c r="W128" i="17"/>
  <c r="V128" i="17"/>
  <c r="AH127" i="17"/>
  <c r="AG127" i="17"/>
  <c r="Z127" i="17"/>
  <c r="Y127" i="17"/>
  <c r="X127" i="17"/>
  <c r="W127" i="17"/>
  <c r="V127" i="17"/>
  <c r="AH126" i="17"/>
  <c r="AG126" i="17"/>
  <c r="Z126" i="17"/>
  <c r="Y126" i="17"/>
  <c r="X126" i="17"/>
  <c r="W126" i="17"/>
  <c r="V126" i="17"/>
  <c r="AH125" i="17"/>
  <c r="AG125" i="17"/>
  <c r="Z125" i="17"/>
  <c r="Y125" i="17"/>
  <c r="X125" i="17"/>
  <c r="W125" i="17"/>
  <c r="V125" i="17"/>
  <c r="AH124" i="17"/>
  <c r="AG124" i="17"/>
  <c r="Z124" i="17"/>
  <c r="Y124" i="17"/>
  <c r="X124" i="17"/>
  <c r="W124" i="17"/>
  <c r="V124" i="17"/>
  <c r="Z207" i="3"/>
  <c r="Z206" i="3"/>
  <c r="Z205" i="3"/>
  <c r="Z204" i="3"/>
  <c r="Z203" i="3"/>
  <c r="Z202" i="3"/>
  <c r="Z201" i="3"/>
  <c r="Z200" i="3"/>
  <c r="Z199" i="3"/>
  <c r="Z198" i="3"/>
  <c r="Z197" i="3"/>
  <c r="Z196" i="3"/>
  <c r="BR60" i="31"/>
  <c r="BZ51" i="31"/>
  <c r="BZ60" i="31"/>
  <c r="BY51" i="31"/>
  <c r="BY60" i="31"/>
  <c r="BX51" i="31"/>
  <c r="BX60" i="31"/>
  <c r="BW51" i="31"/>
  <c r="BW60" i="31"/>
  <c r="BV51" i="31"/>
  <c r="BV60" i="31"/>
  <c r="BU51" i="31"/>
  <c r="BU60" i="31"/>
  <c r="BT51" i="31"/>
  <c r="BT60" i="31"/>
  <c r="BS51" i="31"/>
  <c r="BS60" i="31"/>
  <c r="BR59" i="31"/>
  <c r="CA51" i="31"/>
  <c r="CA59" i="31"/>
  <c r="BY59" i="31"/>
  <c r="BX59" i="31"/>
  <c r="BW59" i="31"/>
  <c r="BV59" i="31"/>
  <c r="BU59" i="31"/>
  <c r="BT59" i="31"/>
  <c r="BS59" i="31"/>
  <c r="BR58" i="31"/>
  <c r="CA58" i="31"/>
  <c r="BZ58" i="31"/>
  <c r="BX58" i="31"/>
  <c r="BW58" i="31"/>
  <c r="BV58" i="31"/>
  <c r="BU58" i="31"/>
  <c r="BT58" i="31"/>
  <c r="BS58" i="31"/>
  <c r="BR57" i="31"/>
  <c r="CA57" i="31"/>
  <c r="BZ57" i="31"/>
  <c r="BY57" i="31"/>
  <c r="BW57" i="31"/>
  <c r="BV57" i="31"/>
  <c r="BU57" i="31"/>
  <c r="BT57" i="31"/>
  <c r="BS57" i="31"/>
  <c r="BR56" i="31"/>
  <c r="CA56" i="31"/>
  <c r="BZ56" i="31"/>
  <c r="BY56" i="31"/>
  <c r="BX56" i="31"/>
  <c r="BV56" i="31"/>
  <c r="BU56" i="31"/>
  <c r="BT56" i="31"/>
  <c r="BS56" i="31"/>
  <c r="BR55" i="31"/>
  <c r="CA55" i="31"/>
  <c r="BZ55" i="31"/>
  <c r="BY55" i="31"/>
  <c r="BX55" i="31"/>
  <c r="BW55" i="31"/>
  <c r="BR54" i="31"/>
  <c r="CA54" i="31"/>
  <c r="BZ54" i="31"/>
  <c r="BY54" i="31"/>
  <c r="BX54" i="31"/>
  <c r="BW54" i="31"/>
  <c r="BR53" i="31"/>
  <c r="CA53" i="31"/>
  <c r="BZ53" i="31"/>
  <c r="BY53" i="31"/>
  <c r="BX53" i="31"/>
  <c r="BW53" i="31"/>
  <c r="BS53" i="31"/>
  <c r="BR52" i="31"/>
  <c r="CA52" i="31"/>
  <c r="BZ52" i="31"/>
  <c r="BY52" i="31"/>
  <c r="BX52" i="31"/>
  <c r="BW52" i="31"/>
  <c r="BT52" i="31"/>
  <c r="BR37" i="31"/>
  <c r="CA29" i="31"/>
  <c r="CA37" i="31"/>
  <c r="BR38" i="31"/>
  <c r="BZ29" i="31"/>
  <c r="BZ38" i="31"/>
  <c r="CA48" i="31"/>
  <c r="BZ49" i="31"/>
  <c r="BR36" i="31"/>
  <c r="CA36" i="31"/>
  <c r="BY29" i="31"/>
  <c r="BY38" i="31"/>
  <c r="CA47" i="31"/>
  <c r="BY49" i="31"/>
  <c r="BR35" i="31"/>
  <c r="CA35" i="31"/>
  <c r="BX29" i="31"/>
  <c r="BX38" i="31"/>
  <c r="CA46" i="31"/>
  <c r="BX49" i="31"/>
  <c r="BR34" i="31"/>
  <c r="CA34" i="31"/>
  <c r="BW29" i="31"/>
  <c r="BW38" i="31"/>
  <c r="CA45" i="31"/>
  <c r="BW49" i="31"/>
  <c r="BR33" i="31"/>
  <c r="CA33" i="31"/>
  <c r="BV29" i="31"/>
  <c r="BV38" i="31"/>
  <c r="CA44" i="31"/>
  <c r="BV49" i="31"/>
  <c r="BR32" i="31"/>
  <c r="CA32" i="31"/>
  <c r="BU29" i="31"/>
  <c r="BU38" i="31"/>
  <c r="CA43" i="31"/>
  <c r="BU49" i="31"/>
  <c r="BR31" i="31"/>
  <c r="CA31" i="31"/>
  <c r="BT29" i="31"/>
  <c r="BT38" i="31"/>
  <c r="CA42" i="31"/>
  <c r="BT49" i="31"/>
  <c r="BR30" i="31"/>
  <c r="CA30" i="31"/>
  <c r="BS29" i="31"/>
  <c r="BS38" i="31"/>
  <c r="CA41" i="31"/>
  <c r="BS49" i="31"/>
  <c r="BR49" i="31"/>
  <c r="BZ36" i="31"/>
  <c r="BY37" i="31"/>
  <c r="BZ47" i="31"/>
  <c r="BY48" i="31"/>
  <c r="BZ35" i="31"/>
  <c r="BX37" i="31"/>
  <c r="BZ46" i="31"/>
  <c r="BX48" i="31"/>
  <c r="BZ34" i="31"/>
  <c r="BW37" i="31"/>
  <c r="BZ45" i="31"/>
  <c r="BW48" i="31"/>
  <c r="BZ33" i="31"/>
  <c r="BV37" i="31"/>
  <c r="BZ44" i="31"/>
  <c r="BV48" i="31"/>
  <c r="BZ32" i="31"/>
  <c r="BU37" i="31"/>
  <c r="BZ43" i="31"/>
  <c r="BU48" i="31"/>
  <c r="BZ31" i="31"/>
  <c r="BT37" i="31"/>
  <c r="BZ42" i="31"/>
  <c r="BT48" i="31"/>
  <c r="BZ30" i="31"/>
  <c r="BS37" i="31"/>
  <c r="BZ41" i="31"/>
  <c r="BS48" i="31"/>
  <c r="BR48" i="31"/>
  <c r="BY35" i="31"/>
  <c r="BX36" i="31"/>
  <c r="BY46" i="31"/>
  <c r="BX47" i="31"/>
  <c r="BY34" i="31"/>
  <c r="BW36" i="31"/>
  <c r="BY45" i="31"/>
  <c r="BW47" i="31"/>
  <c r="BY33" i="31"/>
  <c r="BV36" i="31"/>
  <c r="BY44" i="31"/>
  <c r="BV47" i="31"/>
  <c r="BY32" i="31"/>
  <c r="BU36" i="31"/>
  <c r="BY43" i="31"/>
  <c r="BU47" i="31"/>
  <c r="BY31" i="31"/>
  <c r="BT36" i="31"/>
  <c r="BY42" i="31"/>
  <c r="BT47" i="31"/>
  <c r="BY30" i="31"/>
  <c r="BS36" i="31"/>
  <c r="BY41" i="31"/>
  <c r="BS47" i="31"/>
  <c r="BR47" i="31"/>
  <c r="BX34" i="31"/>
  <c r="BW35" i="31"/>
  <c r="BX45" i="31"/>
  <c r="BW46" i="31"/>
  <c r="BX33" i="31"/>
  <c r="BV35" i="31"/>
  <c r="BX44" i="31"/>
  <c r="BV46" i="31"/>
  <c r="BX32" i="31"/>
  <c r="BU35" i="31"/>
  <c r="BX43" i="31"/>
  <c r="BU46" i="31"/>
  <c r="BX31" i="31"/>
  <c r="BT35" i="31"/>
  <c r="BX42" i="31"/>
  <c r="BT46" i="31"/>
  <c r="BX30" i="31"/>
  <c r="BS35" i="31"/>
  <c r="BX41" i="31"/>
  <c r="BS46" i="31"/>
  <c r="BR46" i="31"/>
  <c r="BW33" i="31"/>
  <c r="BV34" i="31"/>
  <c r="BW44" i="31"/>
  <c r="BV45" i="31"/>
  <c r="BW32" i="31"/>
  <c r="BU34" i="31"/>
  <c r="BW43" i="31"/>
  <c r="BU45" i="31"/>
  <c r="BW31" i="31"/>
  <c r="BT34" i="31"/>
  <c r="BW42" i="31"/>
  <c r="BT45" i="31"/>
  <c r="BW30" i="31"/>
  <c r="BS34" i="31"/>
  <c r="BW41" i="31"/>
  <c r="BS45" i="31"/>
  <c r="BR45" i="31"/>
  <c r="BR44" i="31"/>
  <c r="BR41" i="31"/>
  <c r="BS40" i="31"/>
  <c r="BT40" i="31"/>
  <c r="BT30" i="31"/>
  <c r="BS31" i="31"/>
  <c r="BT41" i="31"/>
  <c r="BU40" i="31"/>
  <c r="BV40" i="31"/>
  <c r="BR42" i="31"/>
  <c r="BS42" i="31"/>
  <c r="BR43" i="31"/>
  <c r="CA40" i="31"/>
  <c r="BZ40" i="31"/>
  <c r="BY40" i="31"/>
  <c r="BX40" i="31"/>
  <c r="BW40" i="31"/>
  <c r="C38" i="31"/>
  <c r="C37" i="31"/>
  <c r="C36" i="31"/>
  <c r="C35" i="31"/>
  <c r="C34" i="31"/>
  <c r="C33" i="31"/>
  <c r="C32" i="31"/>
  <c r="C31" i="31"/>
  <c r="C30" i="31"/>
  <c r="BR60" i="30"/>
  <c r="BZ51" i="30"/>
  <c r="BZ60" i="30"/>
  <c r="BY51" i="30"/>
  <c r="BY60" i="30"/>
  <c r="BX51" i="30"/>
  <c r="BX60" i="30"/>
  <c r="BW51" i="30"/>
  <c r="BW60" i="30"/>
  <c r="BV51" i="30"/>
  <c r="BV60" i="30"/>
  <c r="BU51" i="30"/>
  <c r="BU60" i="30"/>
  <c r="BT51" i="30"/>
  <c r="BT60" i="30"/>
  <c r="BS51" i="30"/>
  <c r="BS60" i="30"/>
  <c r="BR59" i="30"/>
  <c r="CA51" i="30"/>
  <c r="CA59" i="30"/>
  <c r="BY59" i="30"/>
  <c r="BX59" i="30"/>
  <c r="BW59" i="30"/>
  <c r="BV59" i="30"/>
  <c r="BU59" i="30"/>
  <c r="BT59" i="30"/>
  <c r="BS59" i="30"/>
  <c r="BR58" i="30"/>
  <c r="CA58" i="30"/>
  <c r="BZ58" i="30"/>
  <c r="BX58" i="30"/>
  <c r="BW58" i="30"/>
  <c r="BV58" i="30"/>
  <c r="BU58" i="30"/>
  <c r="BT58" i="30"/>
  <c r="BS58" i="30"/>
  <c r="BR57" i="30"/>
  <c r="CA57" i="30"/>
  <c r="BZ57" i="30"/>
  <c r="BY57" i="30"/>
  <c r="BW57" i="30"/>
  <c r="BV57" i="30"/>
  <c r="BU57" i="30"/>
  <c r="BT57" i="30"/>
  <c r="BS57" i="30"/>
  <c r="BR56" i="30"/>
  <c r="CA56" i="30"/>
  <c r="BZ56" i="30"/>
  <c r="BY56" i="30"/>
  <c r="BX56" i="30"/>
  <c r="BV56" i="30"/>
  <c r="BU56" i="30"/>
  <c r="BT56" i="30"/>
  <c r="BS56" i="30"/>
  <c r="BR55" i="30"/>
  <c r="CA55" i="30"/>
  <c r="BZ55" i="30"/>
  <c r="BY55" i="30"/>
  <c r="BX55" i="30"/>
  <c r="BW55" i="30"/>
  <c r="BR54" i="30"/>
  <c r="CA54" i="30"/>
  <c r="BZ54" i="30"/>
  <c r="BY54" i="30"/>
  <c r="BX54" i="30"/>
  <c r="BW54" i="30"/>
  <c r="BR53" i="30"/>
  <c r="CA53" i="30"/>
  <c r="BZ53" i="30"/>
  <c r="BY53" i="30"/>
  <c r="BX53" i="30"/>
  <c r="BW53" i="30"/>
  <c r="BR52" i="30"/>
  <c r="CA52" i="30"/>
  <c r="BZ52" i="30"/>
  <c r="BY52" i="30"/>
  <c r="BX52" i="30"/>
  <c r="BW52" i="30"/>
  <c r="BR37" i="30"/>
  <c r="CA29" i="30"/>
  <c r="CA37" i="30"/>
  <c r="BR38" i="30"/>
  <c r="BZ29" i="30"/>
  <c r="BZ38" i="30"/>
  <c r="CA48" i="30"/>
  <c r="BZ49" i="30"/>
  <c r="BR36" i="30"/>
  <c r="CA36" i="30"/>
  <c r="BY29" i="30"/>
  <c r="BY38" i="30"/>
  <c r="CA47" i="30"/>
  <c r="BY49" i="30"/>
  <c r="BR35" i="30"/>
  <c r="CA35" i="30"/>
  <c r="BX29" i="30"/>
  <c r="BX38" i="30"/>
  <c r="CA46" i="30"/>
  <c r="BX49" i="30"/>
  <c r="BR34" i="30"/>
  <c r="CA34" i="30"/>
  <c r="BW29" i="30"/>
  <c r="BW38" i="30"/>
  <c r="CA45" i="30"/>
  <c r="BW49" i="30"/>
  <c r="BR33" i="30"/>
  <c r="CA33" i="30"/>
  <c r="BV29" i="30"/>
  <c r="BV38" i="30"/>
  <c r="CA44" i="30"/>
  <c r="BV49" i="30"/>
  <c r="BR32" i="30"/>
  <c r="CA32" i="30"/>
  <c r="BU29" i="30"/>
  <c r="BU38" i="30"/>
  <c r="CA43" i="30"/>
  <c r="BU49" i="30"/>
  <c r="BR31" i="30"/>
  <c r="CA31" i="30"/>
  <c r="BT29" i="30"/>
  <c r="BT38" i="30"/>
  <c r="CA42" i="30"/>
  <c r="BT49" i="30"/>
  <c r="BR30" i="30"/>
  <c r="CA30" i="30"/>
  <c r="BS29" i="30"/>
  <c r="BS38" i="30"/>
  <c r="CA41" i="30"/>
  <c r="BS49" i="30"/>
  <c r="BR49" i="30"/>
  <c r="BZ36" i="30"/>
  <c r="BY37" i="30"/>
  <c r="BZ47" i="30"/>
  <c r="BY48" i="30"/>
  <c r="BZ35" i="30"/>
  <c r="BX37" i="30"/>
  <c r="BZ46" i="30"/>
  <c r="BX48" i="30"/>
  <c r="BZ34" i="30"/>
  <c r="BW37" i="30"/>
  <c r="BZ45" i="30"/>
  <c r="BW48" i="30"/>
  <c r="BZ33" i="30"/>
  <c r="BV37" i="30"/>
  <c r="BZ44" i="30"/>
  <c r="BV48" i="30"/>
  <c r="BZ32" i="30"/>
  <c r="BU37" i="30"/>
  <c r="BZ43" i="30"/>
  <c r="BU48" i="30"/>
  <c r="BZ31" i="30"/>
  <c r="BT37" i="30"/>
  <c r="BZ42" i="30"/>
  <c r="BT48" i="30"/>
  <c r="BZ30" i="30"/>
  <c r="BS37" i="30"/>
  <c r="BZ41" i="30"/>
  <c r="BS48" i="30"/>
  <c r="BR48" i="30"/>
  <c r="BY35" i="30"/>
  <c r="BX36" i="30"/>
  <c r="BY46" i="30"/>
  <c r="BX47" i="30"/>
  <c r="BY34" i="30"/>
  <c r="BW36" i="30"/>
  <c r="BY45" i="30"/>
  <c r="BW47" i="30"/>
  <c r="BY33" i="30"/>
  <c r="BV36" i="30"/>
  <c r="BY44" i="30"/>
  <c r="BV47" i="30"/>
  <c r="BY32" i="30"/>
  <c r="BU36" i="30"/>
  <c r="BY43" i="30"/>
  <c r="BU47" i="30"/>
  <c r="BY31" i="30"/>
  <c r="BT36" i="30"/>
  <c r="BY42" i="30"/>
  <c r="BT47" i="30"/>
  <c r="BY30" i="30"/>
  <c r="BS36" i="30"/>
  <c r="BY41" i="30"/>
  <c r="BS47" i="30"/>
  <c r="BR47" i="30"/>
  <c r="BX34" i="30"/>
  <c r="BW35" i="30"/>
  <c r="BX45" i="30"/>
  <c r="BW46" i="30"/>
  <c r="BX33" i="30"/>
  <c r="BV35" i="30"/>
  <c r="BX44" i="30"/>
  <c r="BV46" i="30"/>
  <c r="BX32" i="30"/>
  <c r="BU35" i="30"/>
  <c r="BX43" i="30"/>
  <c r="BU46" i="30"/>
  <c r="BX31" i="30"/>
  <c r="BT35" i="30"/>
  <c r="BX42" i="30"/>
  <c r="BT46" i="30"/>
  <c r="BX30" i="30"/>
  <c r="BS35" i="30"/>
  <c r="BX41" i="30"/>
  <c r="BS46" i="30"/>
  <c r="BR46" i="30"/>
  <c r="BW33" i="30"/>
  <c r="BV34" i="30"/>
  <c r="BW44" i="30"/>
  <c r="BV45" i="30"/>
  <c r="BW32" i="30"/>
  <c r="BU34" i="30"/>
  <c r="BW43" i="30"/>
  <c r="BU45" i="30"/>
  <c r="BW31" i="30"/>
  <c r="BT34" i="30"/>
  <c r="BW42" i="30"/>
  <c r="BT45" i="30"/>
  <c r="BW30" i="30"/>
  <c r="BS34" i="30"/>
  <c r="BW41" i="30"/>
  <c r="BS45" i="30"/>
  <c r="BR45" i="30"/>
  <c r="BR44" i="30"/>
  <c r="BR43" i="30"/>
  <c r="BR42" i="30"/>
  <c r="BR41" i="30"/>
  <c r="CA40" i="30"/>
  <c r="BZ40" i="30"/>
  <c r="BY40" i="30"/>
  <c r="BX40" i="30"/>
  <c r="BW40" i="30"/>
  <c r="BV40" i="30"/>
  <c r="BU40" i="30"/>
  <c r="BT40" i="30"/>
  <c r="BS40" i="30"/>
  <c r="C38" i="30"/>
  <c r="C37" i="30"/>
  <c r="C36" i="30"/>
  <c r="C35" i="30"/>
  <c r="C34" i="30"/>
  <c r="C33" i="30"/>
  <c r="C32" i="30"/>
  <c r="C31" i="30"/>
  <c r="C30" i="30"/>
  <c r="BR60" i="29"/>
  <c r="BZ51" i="29"/>
  <c r="BZ60" i="29"/>
  <c r="BY51" i="29"/>
  <c r="BY60" i="29"/>
  <c r="BX51" i="29"/>
  <c r="BX60" i="29"/>
  <c r="BW51" i="29"/>
  <c r="BW60" i="29"/>
  <c r="BV51" i="29"/>
  <c r="BV60" i="29"/>
  <c r="BU51" i="29"/>
  <c r="BU60" i="29"/>
  <c r="BT51" i="29"/>
  <c r="BT60" i="29"/>
  <c r="BS51" i="29"/>
  <c r="BS60" i="29"/>
  <c r="BR59" i="29"/>
  <c r="CA51" i="29"/>
  <c r="CA59" i="29"/>
  <c r="BY59" i="29"/>
  <c r="BX59" i="29"/>
  <c r="BW59" i="29"/>
  <c r="BV59" i="29"/>
  <c r="BU59" i="29"/>
  <c r="BT59" i="29"/>
  <c r="BS59" i="29"/>
  <c r="BR58" i="29"/>
  <c r="CA58" i="29"/>
  <c r="BZ58" i="29"/>
  <c r="BX58" i="29"/>
  <c r="BW58" i="29"/>
  <c r="BV58" i="29"/>
  <c r="BU58" i="29"/>
  <c r="BT58" i="29"/>
  <c r="BS58" i="29"/>
  <c r="BR57" i="29"/>
  <c r="CA57" i="29"/>
  <c r="BZ57" i="29"/>
  <c r="BY57" i="29"/>
  <c r="BW57" i="29"/>
  <c r="BV57" i="29"/>
  <c r="BU57" i="29"/>
  <c r="BT57" i="29"/>
  <c r="BS57" i="29"/>
  <c r="BR56" i="29"/>
  <c r="CA56" i="29"/>
  <c r="BZ56" i="29"/>
  <c r="BY56" i="29"/>
  <c r="BX56" i="29"/>
  <c r="BV56" i="29"/>
  <c r="BU56" i="29"/>
  <c r="BT56" i="29"/>
  <c r="BS56" i="29"/>
  <c r="BR55" i="29"/>
  <c r="CA55" i="29"/>
  <c r="BZ55" i="29"/>
  <c r="BY55" i="29"/>
  <c r="BX55" i="29"/>
  <c r="BW55" i="29"/>
  <c r="BR54" i="29"/>
  <c r="CA54" i="29"/>
  <c r="BZ54" i="29"/>
  <c r="BY54" i="29"/>
  <c r="BX54" i="29"/>
  <c r="BW54" i="29"/>
  <c r="BR53" i="29"/>
  <c r="CA53" i="29"/>
  <c r="BZ53" i="29"/>
  <c r="BY53" i="29"/>
  <c r="BX53" i="29"/>
  <c r="BW53" i="29"/>
  <c r="BR52" i="29"/>
  <c r="CA52" i="29"/>
  <c r="BZ52" i="29"/>
  <c r="BY52" i="29"/>
  <c r="BX52" i="29"/>
  <c r="BW52" i="29"/>
  <c r="BR37" i="29"/>
  <c r="CA29" i="29"/>
  <c r="CA37" i="29"/>
  <c r="BR38" i="29"/>
  <c r="BZ29" i="29"/>
  <c r="BZ38" i="29"/>
  <c r="CA48" i="29"/>
  <c r="BZ49" i="29"/>
  <c r="BR36" i="29"/>
  <c r="CA36" i="29"/>
  <c r="BY29" i="29"/>
  <c r="BY38" i="29"/>
  <c r="CA47" i="29"/>
  <c r="BY49" i="29"/>
  <c r="BR35" i="29"/>
  <c r="CA35" i="29"/>
  <c r="BX29" i="29"/>
  <c r="BX38" i="29"/>
  <c r="CA46" i="29"/>
  <c r="BX49" i="29"/>
  <c r="BR34" i="29"/>
  <c r="CA34" i="29"/>
  <c r="BW29" i="29"/>
  <c r="BW38" i="29"/>
  <c r="CA45" i="29"/>
  <c r="BW49" i="29"/>
  <c r="BR33" i="29"/>
  <c r="CA33" i="29"/>
  <c r="BV29" i="29"/>
  <c r="BV38" i="29"/>
  <c r="CA44" i="29"/>
  <c r="BV49" i="29"/>
  <c r="BR32" i="29"/>
  <c r="CA32" i="29"/>
  <c r="BU29" i="29"/>
  <c r="BU38" i="29"/>
  <c r="CA43" i="29"/>
  <c r="BU49" i="29"/>
  <c r="BR31" i="29"/>
  <c r="CA31" i="29"/>
  <c r="BT29" i="29"/>
  <c r="BT38" i="29"/>
  <c r="CA42" i="29"/>
  <c r="BT49" i="29"/>
  <c r="BR30" i="29"/>
  <c r="CA30" i="29"/>
  <c r="BS29" i="29"/>
  <c r="BS38" i="29"/>
  <c r="CA41" i="29"/>
  <c r="BS49" i="29"/>
  <c r="BR49" i="29"/>
  <c r="C25" i="29"/>
  <c r="BZ36" i="29"/>
  <c r="BY37" i="29"/>
  <c r="BZ47" i="29"/>
  <c r="BY48" i="29"/>
  <c r="BZ35" i="29"/>
  <c r="BX37" i="29"/>
  <c r="BZ46" i="29"/>
  <c r="BX48" i="29"/>
  <c r="BZ34" i="29"/>
  <c r="BW37" i="29"/>
  <c r="BZ45" i="29"/>
  <c r="BW48" i="29"/>
  <c r="BZ33" i="29"/>
  <c r="BV37" i="29"/>
  <c r="BZ44" i="29"/>
  <c r="BV48" i="29"/>
  <c r="BZ32" i="29"/>
  <c r="BU37" i="29"/>
  <c r="BZ43" i="29"/>
  <c r="BU48" i="29"/>
  <c r="BZ31" i="29"/>
  <c r="BT37" i="29"/>
  <c r="BZ42" i="29"/>
  <c r="BT48" i="29"/>
  <c r="BZ30" i="29"/>
  <c r="BS37" i="29"/>
  <c r="BZ41" i="29"/>
  <c r="BS48" i="29"/>
  <c r="BR48" i="29"/>
  <c r="C24" i="29"/>
  <c r="BY35" i="29"/>
  <c r="BX36" i="29"/>
  <c r="BY46" i="29"/>
  <c r="BX47" i="29"/>
  <c r="BY34" i="29"/>
  <c r="BW36" i="29"/>
  <c r="BY45" i="29"/>
  <c r="BW47" i="29"/>
  <c r="BY33" i="29"/>
  <c r="BV36" i="29"/>
  <c r="BY44" i="29"/>
  <c r="BV47" i="29"/>
  <c r="BY32" i="29"/>
  <c r="BU36" i="29"/>
  <c r="BY43" i="29"/>
  <c r="BU47" i="29"/>
  <c r="BY31" i="29"/>
  <c r="BT36" i="29"/>
  <c r="BY42" i="29"/>
  <c r="BT47" i="29"/>
  <c r="BY30" i="29"/>
  <c r="BS36" i="29"/>
  <c r="BY41" i="29"/>
  <c r="BS47" i="29"/>
  <c r="BR47" i="29"/>
  <c r="C23" i="29"/>
  <c r="BX34" i="29"/>
  <c r="BW35" i="29"/>
  <c r="BX45" i="29"/>
  <c r="BW46" i="29"/>
  <c r="BX33" i="29"/>
  <c r="BV35" i="29"/>
  <c r="BX44" i="29"/>
  <c r="BV46" i="29"/>
  <c r="BX32" i="29"/>
  <c r="BU35" i="29"/>
  <c r="BX43" i="29"/>
  <c r="BU46" i="29"/>
  <c r="BX31" i="29"/>
  <c r="BT35" i="29"/>
  <c r="BX42" i="29"/>
  <c r="BT46" i="29"/>
  <c r="BX30" i="29"/>
  <c r="BS35" i="29"/>
  <c r="BX41" i="29"/>
  <c r="BS46" i="29"/>
  <c r="BR46" i="29"/>
  <c r="C22" i="29"/>
  <c r="BW33" i="29"/>
  <c r="BV34" i="29"/>
  <c r="BW44" i="29"/>
  <c r="BV45" i="29"/>
  <c r="BW32" i="29"/>
  <c r="BU34" i="29"/>
  <c r="BW43" i="29"/>
  <c r="BU45" i="29"/>
  <c r="BW31" i="29"/>
  <c r="BT34" i="29"/>
  <c r="BW42" i="29"/>
  <c r="BT45" i="29"/>
  <c r="BW30" i="29"/>
  <c r="BS34" i="29"/>
  <c r="BW41" i="29"/>
  <c r="BS45" i="29"/>
  <c r="BR45" i="29"/>
  <c r="C21" i="29"/>
  <c r="BR44" i="29"/>
  <c r="C20" i="29"/>
  <c r="BR41" i="29"/>
  <c r="BS40" i="29"/>
  <c r="BT40" i="29"/>
  <c r="BU40" i="29"/>
  <c r="BV40" i="29"/>
  <c r="BR42" i="29"/>
  <c r="BR43" i="29"/>
  <c r="C19" i="29"/>
  <c r="C18" i="29"/>
  <c r="C17" i="29"/>
  <c r="CA40" i="29"/>
  <c r="BZ40" i="29"/>
  <c r="BY40" i="29"/>
  <c r="BX40" i="29"/>
  <c r="BW40" i="29"/>
  <c r="C38" i="29"/>
  <c r="C37" i="29"/>
  <c r="C36" i="29"/>
  <c r="C35" i="29"/>
  <c r="C34" i="29"/>
  <c r="C33" i="29"/>
  <c r="C32" i="29"/>
  <c r="C31" i="29"/>
  <c r="C30" i="29"/>
  <c r="BR60" i="28"/>
  <c r="BZ51" i="28"/>
  <c r="BZ60" i="28"/>
  <c r="BY51" i="28"/>
  <c r="BY60" i="28"/>
  <c r="BX51" i="28"/>
  <c r="BX60" i="28"/>
  <c r="BW51" i="28"/>
  <c r="BW60" i="28"/>
  <c r="BV51" i="28"/>
  <c r="BV60" i="28"/>
  <c r="BU51" i="28"/>
  <c r="BU60" i="28"/>
  <c r="BT51" i="28"/>
  <c r="BT60" i="28"/>
  <c r="BS51" i="28"/>
  <c r="BS60" i="28"/>
  <c r="BR59" i="28"/>
  <c r="CA51" i="28"/>
  <c r="CA59" i="28"/>
  <c r="BY59" i="28"/>
  <c r="BX59" i="28"/>
  <c r="BW59" i="28"/>
  <c r="BV59" i="28"/>
  <c r="BU59" i="28"/>
  <c r="BT59" i="28"/>
  <c r="BS59" i="28"/>
  <c r="BR58" i="28"/>
  <c r="CA58" i="28"/>
  <c r="BZ58" i="28"/>
  <c r="BX58" i="28"/>
  <c r="BW58" i="28"/>
  <c r="BV58" i="28"/>
  <c r="BU58" i="28"/>
  <c r="BT58" i="28"/>
  <c r="BS58" i="28"/>
  <c r="BR57" i="28"/>
  <c r="CA57" i="28"/>
  <c r="BZ57" i="28"/>
  <c r="BY57" i="28"/>
  <c r="BW57" i="28"/>
  <c r="BV57" i="28"/>
  <c r="BU57" i="28"/>
  <c r="BT57" i="28"/>
  <c r="BS57" i="28"/>
  <c r="BR56" i="28"/>
  <c r="CA56" i="28"/>
  <c r="BZ56" i="28"/>
  <c r="BY56" i="28"/>
  <c r="BX56" i="28"/>
  <c r="BV56" i="28"/>
  <c r="BU56" i="28"/>
  <c r="BT56" i="28"/>
  <c r="BS56" i="28"/>
  <c r="BR55" i="28"/>
  <c r="CA55" i="28"/>
  <c r="BZ55" i="28"/>
  <c r="BY55" i="28"/>
  <c r="BX55" i="28"/>
  <c r="BW55" i="28"/>
  <c r="BR54" i="28"/>
  <c r="CA54" i="28"/>
  <c r="BZ54" i="28"/>
  <c r="BY54" i="28"/>
  <c r="BX54" i="28"/>
  <c r="BW54" i="28"/>
  <c r="BR53" i="28"/>
  <c r="CA53" i="28"/>
  <c r="BZ53" i="28"/>
  <c r="BY53" i="28"/>
  <c r="BX53" i="28"/>
  <c r="BW53" i="28"/>
  <c r="BR52" i="28"/>
  <c r="CA52" i="28"/>
  <c r="BZ52" i="28"/>
  <c r="BY52" i="28"/>
  <c r="BX52" i="28"/>
  <c r="BW52" i="28"/>
  <c r="BR37" i="28"/>
  <c r="CA29" i="28"/>
  <c r="CA37" i="28"/>
  <c r="BR38" i="28"/>
  <c r="BZ29" i="28"/>
  <c r="BZ38" i="28"/>
  <c r="CA48" i="28"/>
  <c r="BZ49" i="28"/>
  <c r="BR36" i="28"/>
  <c r="CA36" i="28"/>
  <c r="BY29" i="28"/>
  <c r="BY38" i="28"/>
  <c r="CA47" i="28"/>
  <c r="BY49" i="28"/>
  <c r="BR35" i="28"/>
  <c r="CA35" i="28"/>
  <c r="BX29" i="28"/>
  <c r="BX38" i="28"/>
  <c r="CA46" i="28"/>
  <c r="BX49" i="28"/>
  <c r="BR34" i="28"/>
  <c r="CA34" i="28"/>
  <c r="BW29" i="28"/>
  <c r="BW38" i="28"/>
  <c r="CA45" i="28"/>
  <c r="BW49" i="28"/>
  <c r="BR33" i="28"/>
  <c r="CA33" i="28"/>
  <c r="BV29" i="28"/>
  <c r="BV38" i="28"/>
  <c r="CA44" i="28"/>
  <c r="BV49" i="28"/>
  <c r="BR32" i="28"/>
  <c r="CA32" i="28"/>
  <c r="BU29" i="28"/>
  <c r="BU38" i="28"/>
  <c r="CA43" i="28"/>
  <c r="BU49" i="28"/>
  <c r="BR31" i="28"/>
  <c r="CA31" i="28"/>
  <c r="BT29" i="28"/>
  <c r="BT38" i="28"/>
  <c r="CA42" i="28"/>
  <c r="BT49" i="28"/>
  <c r="BR30" i="28"/>
  <c r="CA30" i="28"/>
  <c r="BS29" i="28"/>
  <c r="BS38" i="28"/>
  <c r="CA41" i="28"/>
  <c r="BS49" i="28"/>
  <c r="BR49" i="28"/>
  <c r="BZ36" i="28"/>
  <c r="BY37" i="28"/>
  <c r="BZ47" i="28"/>
  <c r="BY48" i="28"/>
  <c r="BZ35" i="28"/>
  <c r="BX37" i="28"/>
  <c r="BZ46" i="28"/>
  <c r="BX48" i="28"/>
  <c r="BZ34" i="28"/>
  <c r="BW37" i="28"/>
  <c r="BZ45" i="28"/>
  <c r="BW48" i="28"/>
  <c r="BZ33" i="28"/>
  <c r="BV37" i="28"/>
  <c r="BZ44" i="28"/>
  <c r="BV48" i="28"/>
  <c r="BZ32" i="28"/>
  <c r="BU37" i="28"/>
  <c r="BZ43" i="28"/>
  <c r="BU48" i="28"/>
  <c r="BZ31" i="28"/>
  <c r="BT37" i="28"/>
  <c r="BZ42" i="28"/>
  <c r="BT48" i="28"/>
  <c r="BZ30" i="28"/>
  <c r="BS37" i="28"/>
  <c r="BZ41" i="28"/>
  <c r="BS48" i="28"/>
  <c r="BR48" i="28"/>
  <c r="BY35" i="28"/>
  <c r="BX36" i="28"/>
  <c r="BY46" i="28"/>
  <c r="BX47" i="28"/>
  <c r="BY34" i="28"/>
  <c r="BW36" i="28"/>
  <c r="BY45" i="28"/>
  <c r="BW47" i="28"/>
  <c r="BY33" i="28"/>
  <c r="BV36" i="28"/>
  <c r="BY44" i="28"/>
  <c r="BV47" i="28"/>
  <c r="BY32" i="28"/>
  <c r="BU36" i="28"/>
  <c r="BY43" i="28"/>
  <c r="BU47" i="28"/>
  <c r="BY31" i="28"/>
  <c r="BT36" i="28"/>
  <c r="BY42" i="28"/>
  <c r="BT47" i="28"/>
  <c r="BY30" i="28"/>
  <c r="BS36" i="28"/>
  <c r="BY41" i="28"/>
  <c r="BS47" i="28"/>
  <c r="BR47" i="28"/>
  <c r="BX34" i="28"/>
  <c r="BW35" i="28"/>
  <c r="BX45" i="28"/>
  <c r="BW46" i="28"/>
  <c r="BX33" i="28"/>
  <c r="BV35" i="28"/>
  <c r="BX44" i="28"/>
  <c r="BV46" i="28"/>
  <c r="BX32" i="28"/>
  <c r="BU35" i="28"/>
  <c r="BX43" i="28"/>
  <c r="BU46" i="28"/>
  <c r="BX31" i="28"/>
  <c r="BT35" i="28"/>
  <c r="BX42" i="28"/>
  <c r="BT46" i="28"/>
  <c r="BX30" i="28"/>
  <c r="BS35" i="28"/>
  <c r="BX41" i="28"/>
  <c r="BS46" i="28"/>
  <c r="BR46" i="28"/>
  <c r="BW33" i="28"/>
  <c r="BV34" i="28"/>
  <c r="BW44" i="28"/>
  <c r="BV45" i="28"/>
  <c r="BW32" i="28"/>
  <c r="BU34" i="28"/>
  <c r="BW43" i="28"/>
  <c r="BU45" i="28"/>
  <c r="BW31" i="28"/>
  <c r="BT34" i="28"/>
  <c r="BW42" i="28"/>
  <c r="BT45" i="28"/>
  <c r="BW30" i="28"/>
  <c r="BS34" i="28"/>
  <c r="BW41" i="28"/>
  <c r="BS45" i="28"/>
  <c r="BR45" i="28"/>
  <c r="BR44" i="28"/>
  <c r="BR43" i="28"/>
  <c r="BR42" i="28"/>
  <c r="BR41" i="28"/>
  <c r="CA40" i="28"/>
  <c r="BZ40" i="28"/>
  <c r="BY40" i="28"/>
  <c r="BX40" i="28"/>
  <c r="BW40" i="28"/>
  <c r="BV40" i="28"/>
  <c r="BU40" i="28"/>
  <c r="BT40" i="28"/>
  <c r="BS40" i="28"/>
  <c r="C38" i="28"/>
  <c r="C37" i="28"/>
  <c r="C36" i="28"/>
  <c r="C35" i="28"/>
  <c r="C34" i="28"/>
  <c r="C33" i="28"/>
  <c r="C32" i="28"/>
  <c r="C31" i="28"/>
  <c r="C30" i="28"/>
  <c r="BR60" i="27"/>
  <c r="BZ51" i="27"/>
  <c r="BZ60" i="27"/>
  <c r="BY51" i="27"/>
  <c r="BY60" i="27"/>
  <c r="BX51" i="27"/>
  <c r="BX60" i="27"/>
  <c r="BW51" i="27"/>
  <c r="BW60" i="27"/>
  <c r="BV51" i="27"/>
  <c r="BV60" i="27"/>
  <c r="BU51" i="27"/>
  <c r="BU60" i="27"/>
  <c r="BT51" i="27"/>
  <c r="BT60" i="27"/>
  <c r="BS51" i="27"/>
  <c r="BS60" i="27"/>
  <c r="BR59" i="27"/>
  <c r="CA51" i="27"/>
  <c r="CA59" i="27"/>
  <c r="BY59" i="27"/>
  <c r="BX59" i="27"/>
  <c r="BW59" i="27"/>
  <c r="BV59" i="27"/>
  <c r="BU59" i="27"/>
  <c r="BT59" i="27"/>
  <c r="BS59" i="27"/>
  <c r="BR58" i="27"/>
  <c r="CA58" i="27"/>
  <c r="BZ58" i="27"/>
  <c r="BX58" i="27"/>
  <c r="BW58" i="27"/>
  <c r="BV58" i="27"/>
  <c r="BU58" i="27"/>
  <c r="BT58" i="27"/>
  <c r="BS58" i="27"/>
  <c r="BR57" i="27"/>
  <c r="CA57" i="27"/>
  <c r="BZ57" i="27"/>
  <c r="BY57" i="27"/>
  <c r="BW57" i="27"/>
  <c r="BV57" i="27"/>
  <c r="BU57" i="27"/>
  <c r="BT57" i="27"/>
  <c r="BS57" i="27"/>
  <c r="BR56" i="27"/>
  <c r="CA56" i="27"/>
  <c r="BZ56" i="27"/>
  <c r="BY56" i="27"/>
  <c r="BX56" i="27"/>
  <c r="BV56" i="27"/>
  <c r="BU56" i="27"/>
  <c r="BT56" i="27"/>
  <c r="BS56" i="27"/>
  <c r="BR55" i="27"/>
  <c r="CA55" i="27"/>
  <c r="BZ55" i="27"/>
  <c r="BY55" i="27"/>
  <c r="BX55" i="27"/>
  <c r="BW55" i="27"/>
  <c r="BR54" i="27"/>
  <c r="CA54" i="27"/>
  <c r="BZ54" i="27"/>
  <c r="BY54" i="27"/>
  <c r="BX54" i="27"/>
  <c r="BW54" i="27"/>
  <c r="BR53" i="27"/>
  <c r="CA53" i="27"/>
  <c r="BZ53" i="27"/>
  <c r="BY53" i="27"/>
  <c r="BX53" i="27"/>
  <c r="BW53" i="27"/>
  <c r="BR52" i="27"/>
  <c r="CA52" i="27"/>
  <c r="BZ52" i="27"/>
  <c r="BY52" i="27"/>
  <c r="BX52" i="27"/>
  <c r="BW52" i="27"/>
  <c r="BR37" i="27"/>
  <c r="CA29" i="27"/>
  <c r="CA37" i="27"/>
  <c r="BR38" i="27"/>
  <c r="BZ29" i="27"/>
  <c r="BZ38" i="27"/>
  <c r="CA48" i="27"/>
  <c r="BZ49" i="27"/>
  <c r="BR36" i="27"/>
  <c r="CA36" i="27"/>
  <c r="BY29" i="27"/>
  <c r="BY38" i="27"/>
  <c r="CA47" i="27"/>
  <c r="BY49" i="27"/>
  <c r="BR35" i="27"/>
  <c r="CA35" i="27"/>
  <c r="BX29" i="27"/>
  <c r="BX38" i="27"/>
  <c r="CA46" i="27"/>
  <c r="BX49" i="27"/>
  <c r="BR34" i="27"/>
  <c r="CA34" i="27"/>
  <c r="BW29" i="27"/>
  <c r="BW38" i="27"/>
  <c r="CA45" i="27"/>
  <c r="BW49" i="27"/>
  <c r="BR33" i="27"/>
  <c r="CA33" i="27"/>
  <c r="BV29" i="27"/>
  <c r="BV38" i="27"/>
  <c r="CA44" i="27"/>
  <c r="BV49" i="27"/>
  <c r="BR32" i="27"/>
  <c r="CA32" i="27"/>
  <c r="BU29" i="27"/>
  <c r="BU38" i="27"/>
  <c r="CA43" i="27"/>
  <c r="BU49" i="27"/>
  <c r="BR31" i="27"/>
  <c r="CA31" i="27"/>
  <c r="BT29" i="27"/>
  <c r="BT38" i="27"/>
  <c r="CA42" i="27"/>
  <c r="BT49" i="27"/>
  <c r="BR30" i="27"/>
  <c r="CA30" i="27"/>
  <c r="BS29" i="27"/>
  <c r="BS38" i="27"/>
  <c r="CA41" i="27"/>
  <c r="BS49" i="27"/>
  <c r="BR49" i="27"/>
  <c r="BZ36" i="27"/>
  <c r="BY37" i="27"/>
  <c r="BZ47" i="27"/>
  <c r="BY48" i="27"/>
  <c r="BZ35" i="27"/>
  <c r="BX37" i="27"/>
  <c r="BZ46" i="27"/>
  <c r="BX48" i="27"/>
  <c r="BZ34" i="27"/>
  <c r="BW37" i="27"/>
  <c r="BZ45" i="27"/>
  <c r="BW48" i="27"/>
  <c r="BZ33" i="27"/>
  <c r="BV37" i="27"/>
  <c r="BZ44" i="27"/>
  <c r="BV48" i="27"/>
  <c r="BZ32" i="27"/>
  <c r="BU37" i="27"/>
  <c r="BZ43" i="27"/>
  <c r="BU48" i="27"/>
  <c r="BZ31" i="27"/>
  <c r="BT37" i="27"/>
  <c r="BZ42" i="27"/>
  <c r="BT48" i="27"/>
  <c r="BZ30" i="27"/>
  <c r="BS37" i="27"/>
  <c r="BZ41" i="27"/>
  <c r="BS48" i="27"/>
  <c r="BR48" i="27"/>
  <c r="BY35" i="27"/>
  <c r="BX36" i="27"/>
  <c r="BY46" i="27"/>
  <c r="BX47" i="27"/>
  <c r="BY34" i="27"/>
  <c r="BW36" i="27"/>
  <c r="BY45" i="27"/>
  <c r="BW47" i="27"/>
  <c r="BY33" i="27"/>
  <c r="BV36" i="27"/>
  <c r="BY44" i="27"/>
  <c r="BV47" i="27"/>
  <c r="BY32" i="27"/>
  <c r="BU36" i="27"/>
  <c r="BY43" i="27"/>
  <c r="BU47" i="27"/>
  <c r="BY31" i="27"/>
  <c r="BT36" i="27"/>
  <c r="BY42" i="27"/>
  <c r="BT47" i="27"/>
  <c r="BY30" i="27"/>
  <c r="BS36" i="27"/>
  <c r="BY41" i="27"/>
  <c r="BS47" i="27"/>
  <c r="BR47" i="27"/>
  <c r="BX34" i="27"/>
  <c r="BW35" i="27"/>
  <c r="BX45" i="27"/>
  <c r="BW46" i="27"/>
  <c r="BX33" i="27"/>
  <c r="BV35" i="27"/>
  <c r="BX44" i="27"/>
  <c r="BV46" i="27"/>
  <c r="BX32" i="27"/>
  <c r="BU35" i="27"/>
  <c r="BX43" i="27"/>
  <c r="BU46" i="27"/>
  <c r="BX31" i="27"/>
  <c r="BT35" i="27"/>
  <c r="BX42" i="27"/>
  <c r="BT46" i="27"/>
  <c r="BX30" i="27"/>
  <c r="BS35" i="27"/>
  <c r="BX41" i="27"/>
  <c r="BS46" i="27"/>
  <c r="BR46" i="27"/>
  <c r="BW33" i="27"/>
  <c r="BV34" i="27"/>
  <c r="BW44" i="27"/>
  <c r="BV45" i="27"/>
  <c r="BW32" i="27"/>
  <c r="BU34" i="27"/>
  <c r="BW43" i="27"/>
  <c r="BU45" i="27"/>
  <c r="BW31" i="27"/>
  <c r="BT34" i="27"/>
  <c r="BW42" i="27"/>
  <c r="BT45" i="27"/>
  <c r="BW30" i="27"/>
  <c r="BS34" i="27"/>
  <c r="BW41" i="27"/>
  <c r="BS45" i="27"/>
  <c r="BR45" i="27"/>
  <c r="BR44" i="27"/>
  <c r="BR43" i="27"/>
  <c r="BR42" i="27"/>
  <c r="BR41" i="27"/>
  <c r="CA40" i="27"/>
  <c r="BZ40" i="27"/>
  <c r="BY40" i="27"/>
  <c r="BX40" i="27"/>
  <c r="BW40" i="27"/>
  <c r="BV40" i="27"/>
  <c r="BU40" i="27"/>
  <c r="BT40" i="27"/>
  <c r="BS40" i="27"/>
  <c r="C38" i="27"/>
  <c r="C37" i="27"/>
  <c r="C36" i="27"/>
  <c r="C35" i="27"/>
  <c r="C34" i="27"/>
  <c r="C33" i="27"/>
  <c r="C32" i="27"/>
  <c r="C31" i="27"/>
  <c r="C30" i="27"/>
  <c r="C38" i="26"/>
  <c r="C37" i="26"/>
  <c r="C36" i="26"/>
  <c r="C35" i="26"/>
  <c r="C34" i="26"/>
  <c r="BR38" i="26"/>
  <c r="BZ29" i="26"/>
  <c r="BZ38" i="26"/>
  <c r="BY29" i="26"/>
  <c r="BY38" i="26"/>
  <c r="BX29" i="26"/>
  <c r="BX38" i="26"/>
  <c r="BW29" i="26"/>
  <c r="BW38" i="26"/>
  <c r="BV29" i="26"/>
  <c r="BV38" i="26"/>
  <c r="BU29" i="26"/>
  <c r="BU38" i="26"/>
  <c r="BT29" i="26"/>
  <c r="BT38" i="26"/>
  <c r="BS29" i="26"/>
  <c r="BS38" i="26"/>
  <c r="BR37" i="26"/>
  <c r="CA29" i="26"/>
  <c r="CA37" i="26"/>
  <c r="BY37" i="26"/>
  <c r="BX37" i="26"/>
  <c r="BW37" i="26"/>
  <c r="BV37" i="26"/>
  <c r="BU37" i="26"/>
  <c r="BT37" i="26"/>
  <c r="BS37" i="26"/>
  <c r="BR36" i="26"/>
  <c r="CA36" i="26"/>
  <c r="BZ36" i="26"/>
  <c r="BX36" i="26"/>
  <c r="BW36" i="26"/>
  <c r="BV36" i="26"/>
  <c r="BU36" i="26"/>
  <c r="BT36" i="26"/>
  <c r="BS36" i="26"/>
  <c r="BR35" i="26"/>
  <c r="CA35" i="26"/>
  <c r="BZ35" i="26"/>
  <c r="BY35" i="26"/>
  <c r="BW35" i="26"/>
  <c r="BV35" i="26"/>
  <c r="BU35" i="26"/>
  <c r="BT35" i="26"/>
  <c r="BS35" i="26"/>
  <c r="BR34" i="26"/>
  <c r="CA34" i="26"/>
  <c r="BZ34" i="26"/>
  <c r="BY34" i="26"/>
  <c r="BX34" i="26"/>
  <c r="BV34" i="26"/>
  <c r="BU34" i="26"/>
  <c r="BT34" i="26"/>
  <c r="BS34" i="26"/>
  <c r="BR33" i="26"/>
  <c r="CA33" i="26"/>
  <c r="BZ33" i="26"/>
  <c r="BY33" i="26"/>
  <c r="BX33" i="26"/>
  <c r="BW33" i="26"/>
  <c r="BR32" i="26"/>
  <c r="CA32" i="26"/>
  <c r="BZ32" i="26"/>
  <c r="BY32" i="26"/>
  <c r="BX32" i="26"/>
  <c r="BW32" i="26"/>
  <c r="BR31" i="26"/>
  <c r="CA31" i="26"/>
  <c r="BZ31" i="26"/>
  <c r="BY31" i="26"/>
  <c r="BX31" i="26"/>
  <c r="BW31" i="26"/>
  <c r="BR30" i="26"/>
  <c r="CA30" i="26"/>
  <c r="BZ30" i="26"/>
  <c r="BY30" i="26"/>
  <c r="BX30" i="26"/>
  <c r="BW30" i="26"/>
  <c r="BR60" i="26"/>
  <c r="BZ51" i="26"/>
  <c r="BZ60" i="26"/>
  <c r="BY51" i="26"/>
  <c r="BY60" i="26"/>
  <c r="BX51" i="26"/>
  <c r="BX60" i="26"/>
  <c r="BW51" i="26"/>
  <c r="BW60" i="26"/>
  <c r="BV51" i="26"/>
  <c r="BV60" i="26"/>
  <c r="BU51" i="26"/>
  <c r="BU60" i="26"/>
  <c r="BT51" i="26"/>
  <c r="BT60" i="26"/>
  <c r="BS51" i="26"/>
  <c r="BS60" i="26"/>
  <c r="BR59" i="26"/>
  <c r="CA51" i="26"/>
  <c r="CA59" i="26"/>
  <c r="BY59" i="26"/>
  <c r="BX59" i="26"/>
  <c r="BW59" i="26"/>
  <c r="BV59" i="26"/>
  <c r="BU59" i="26"/>
  <c r="BT59" i="26"/>
  <c r="BS59" i="26"/>
  <c r="BR58" i="26"/>
  <c r="CA58" i="26"/>
  <c r="BZ58" i="26"/>
  <c r="BX58" i="26"/>
  <c r="BW58" i="26"/>
  <c r="BV58" i="26"/>
  <c r="BU58" i="26"/>
  <c r="BT58" i="26"/>
  <c r="BS58" i="26"/>
  <c r="BR57" i="26"/>
  <c r="CA57" i="26"/>
  <c r="BZ57" i="26"/>
  <c r="BY57" i="26"/>
  <c r="BW57" i="26"/>
  <c r="BV57" i="26"/>
  <c r="BU57" i="26"/>
  <c r="BT57" i="26"/>
  <c r="BS57" i="26"/>
  <c r="BR56" i="26"/>
  <c r="CA56" i="26"/>
  <c r="BZ56" i="26"/>
  <c r="BY56" i="26"/>
  <c r="BX56" i="26"/>
  <c r="BV56" i="26"/>
  <c r="BU56" i="26"/>
  <c r="BT56" i="26"/>
  <c r="BS56" i="26"/>
  <c r="BR55" i="26"/>
  <c r="CA55" i="26"/>
  <c r="BZ55" i="26"/>
  <c r="BY55" i="26"/>
  <c r="BX55" i="26"/>
  <c r="BW55" i="26"/>
  <c r="BR54" i="26"/>
  <c r="CA54" i="26"/>
  <c r="BZ54" i="26"/>
  <c r="BY54" i="26"/>
  <c r="BX54" i="26"/>
  <c r="BW54" i="26"/>
  <c r="BR53" i="26"/>
  <c r="CA53" i="26"/>
  <c r="BZ53" i="26"/>
  <c r="BY53" i="26"/>
  <c r="BX53" i="26"/>
  <c r="BW53" i="26"/>
  <c r="BR52" i="26"/>
  <c r="CA52" i="26"/>
  <c r="BZ52" i="26"/>
  <c r="BY52" i="26"/>
  <c r="BX52" i="26"/>
  <c r="BW52" i="26"/>
  <c r="Z207" i="42"/>
  <c r="Z206" i="42"/>
  <c r="Z205" i="42"/>
  <c r="Z204" i="42"/>
  <c r="Z203" i="42"/>
  <c r="Z202" i="42"/>
  <c r="Z201" i="42"/>
  <c r="Z200" i="42"/>
  <c r="Z199" i="42"/>
  <c r="Z198" i="42"/>
  <c r="Z197" i="42"/>
  <c r="Z196" i="42"/>
  <c r="Z195" i="42"/>
  <c r="Z194" i="42"/>
  <c r="Z193" i="42"/>
  <c r="Z192" i="42"/>
  <c r="Z191" i="42"/>
  <c r="Z190" i="42"/>
  <c r="Z189" i="42"/>
  <c r="Z188" i="42"/>
  <c r="Z187" i="42"/>
  <c r="Z186" i="42"/>
  <c r="Z185" i="42"/>
  <c r="Z184" i="42"/>
  <c r="Z183" i="42"/>
  <c r="Z182" i="42"/>
  <c r="Z181" i="42"/>
  <c r="Z180" i="42"/>
  <c r="Z179" i="42"/>
  <c r="Z178" i="42"/>
  <c r="Z177" i="42"/>
  <c r="Z176" i="42"/>
  <c r="Z175" i="42"/>
  <c r="Z174" i="42"/>
  <c r="Z173" i="42"/>
  <c r="Z172" i="42"/>
  <c r="Z171" i="42"/>
  <c r="Z170" i="42"/>
  <c r="Z169" i="42"/>
  <c r="Z168" i="42"/>
  <c r="Z167" i="42"/>
  <c r="Z166" i="42"/>
  <c r="Z165" i="42"/>
  <c r="Z164" i="42"/>
  <c r="Z163" i="42"/>
  <c r="Z162" i="42"/>
  <c r="Z161" i="42"/>
  <c r="Z160" i="42"/>
  <c r="Z159" i="42"/>
  <c r="Z158" i="42"/>
  <c r="Z157" i="42"/>
  <c r="Z156" i="42"/>
  <c r="Z155" i="42"/>
  <c r="Z154" i="42"/>
  <c r="Z153" i="42"/>
  <c r="Z152" i="42"/>
  <c r="Z151" i="42"/>
  <c r="Z150" i="42"/>
  <c r="Z149" i="42"/>
  <c r="Z148" i="42"/>
  <c r="Z147" i="42"/>
  <c r="Z146" i="42"/>
  <c r="Z145" i="42"/>
  <c r="Z144" i="42"/>
  <c r="Z143" i="42"/>
  <c r="Z142" i="42"/>
  <c r="Z141" i="42"/>
  <c r="Z140" i="42"/>
  <c r="Z139" i="42"/>
  <c r="Z138" i="42"/>
  <c r="Z137" i="42"/>
  <c r="AA136" i="42"/>
  <c r="Z136" i="42"/>
  <c r="AH135" i="42"/>
  <c r="AG135" i="42"/>
  <c r="Z135" i="42"/>
  <c r="Y135" i="42"/>
  <c r="X135" i="42"/>
  <c r="W135" i="42"/>
  <c r="V135" i="42"/>
  <c r="AH134" i="42"/>
  <c r="AG134" i="42"/>
  <c r="Z134" i="42"/>
  <c r="Y134" i="42"/>
  <c r="X134" i="42"/>
  <c r="W134" i="42"/>
  <c r="V134" i="42"/>
  <c r="AH133" i="42"/>
  <c r="AG133" i="42"/>
  <c r="Z133" i="42"/>
  <c r="Y133" i="42"/>
  <c r="X133" i="42"/>
  <c r="W133" i="42"/>
  <c r="V133" i="42"/>
  <c r="AH132" i="42"/>
  <c r="AG132" i="42"/>
  <c r="Z132" i="42"/>
  <c r="Y132" i="42"/>
  <c r="X132" i="42"/>
  <c r="W132" i="42"/>
  <c r="V132" i="42"/>
  <c r="AH131" i="42"/>
  <c r="AG131" i="42"/>
  <c r="Z131" i="42"/>
  <c r="Y131" i="42"/>
  <c r="X131" i="42"/>
  <c r="W131" i="42"/>
  <c r="V131" i="42"/>
  <c r="AH130" i="42"/>
  <c r="AG130" i="42"/>
  <c r="Z130" i="42"/>
  <c r="Y130" i="42"/>
  <c r="X130" i="42"/>
  <c r="W130" i="42"/>
  <c r="V130" i="42"/>
  <c r="AH129" i="42"/>
  <c r="AG129" i="42"/>
  <c r="Z129" i="42"/>
  <c r="Y129" i="42"/>
  <c r="X129" i="42"/>
  <c r="W129" i="42"/>
  <c r="V129" i="42"/>
  <c r="AH128" i="42"/>
  <c r="AG128" i="42"/>
  <c r="Z128" i="42"/>
  <c r="Y128" i="42"/>
  <c r="X128" i="42"/>
  <c r="W128" i="42"/>
  <c r="V128" i="42"/>
  <c r="AH127" i="42"/>
  <c r="AG127" i="42"/>
  <c r="Z127" i="42"/>
  <c r="Y127" i="42"/>
  <c r="X127" i="42"/>
  <c r="W127" i="42"/>
  <c r="V127" i="42"/>
  <c r="AH126" i="42"/>
  <c r="AG126" i="42"/>
  <c r="Z126" i="42"/>
  <c r="Y126" i="42"/>
  <c r="X126" i="42"/>
  <c r="W126" i="42"/>
  <c r="V126" i="42"/>
  <c r="AH125" i="42"/>
  <c r="AG125" i="42"/>
  <c r="Z125" i="42"/>
  <c r="Y125" i="42"/>
  <c r="X125" i="42"/>
  <c r="W125" i="42"/>
  <c r="V125" i="42"/>
  <c r="AH124" i="42"/>
  <c r="AG124" i="42"/>
  <c r="Z124" i="42"/>
  <c r="Y124" i="42"/>
  <c r="X124" i="42"/>
  <c r="W124" i="42"/>
  <c r="V124" i="42"/>
  <c r="AH123" i="42"/>
  <c r="AG123" i="42"/>
  <c r="Z123" i="42"/>
  <c r="Y123" i="42"/>
  <c r="X123" i="42"/>
  <c r="W123" i="42"/>
  <c r="V123" i="42"/>
  <c r="AH122" i="42"/>
  <c r="AG122" i="42"/>
  <c r="Z122" i="42"/>
  <c r="Y122" i="42"/>
  <c r="X122" i="42"/>
  <c r="W122" i="42"/>
  <c r="V122" i="42"/>
  <c r="AH121" i="42"/>
  <c r="AG121" i="42"/>
  <c r="Z121" i="42"/>
  <c r="Y121" i="42"/>
  <c r="X121" i="42"/>
  <c r="W121" i="42"/>
  <c r="V121" i="42"/>
  <c r="AH120" i="42"/>
  <c r="AG120" i="42"/>
  <c r="Z120" i="42"/>
  <c r="Y120" i="42"/>
  <c r="X120" i="42"/>
  <c r="W120" i="42"/>
  <c r="V120" i="42"/>
  <c r="AH119" i="42"/>
  <c r="AG119" i="42"/>
  <c r="Z119" i="42"/>
  <c r="Y119" i="42"/>
  <c r="X119" i="42"/>
  <c r="W119" i="42"/>
  <c r="V119" i="42"/>
  <c r="AH118" i="42"/>
  <c r="AG118" i="42"/>
  <c r="Z118" i="42"/>
  <c r="Y118" i="42"/>
  <c r="X118" i="42"/>
  <c r="W118" i="42"/>
  <c r="V118" i="42"/>
  <c r="AH117" i="42"/>
  <c r="AG117" i="42"/>
  <c r="Z117" i="42"/>
  <c r="Y117" i="42"/>
  <c r="X117" i="42"/>
  <c r="W117" i="42"/>
  <c r="V117" i="42"/>
  <c r="AH116" i="42"/>
  <c r="AG116" i="42"/>
  <c r="Z116" i="42"/>
  <c r="Y116" i="42"/>
  <c r="X116" i="42"/>
  <c r="W116" i="42"/>
  <c r="V116" i="42"/>
  <c r="AH115" i="42"/>
  <c r="AG115" i="42"/>
  <c r="Z115" i="42"/>
  <c r="Y115" i="42"/>
  <c r="X115" i="42"/>
  <c r="W115" i="42"/>
  <c r="V115" i="42"/>
  <c r="AH114" i="42"/>
  <c r="AG114" i="42"/>
  <c r="Z114" i="42"/>
  <c r="Y114" i="42"/>
  <c r="X114" i="42"/>
  <c r="W114" i="42"/>
  <c r="V114" i="42"/>
  <c r="AH113" i="42"/>
  <c r="AG113" i="42"/>
  <c r="Z113" i="42"/>
  <c r="Y113" i="42"/>
  <c r="X113" i="42"/>
  <c r="W113" i="42"/>
  <c r="V113" i="42"/>
  <c r="AH112" i="42"/>
  <c r="AG112" i="42"/>
  <c r="Z112" i="42"/>
  <c r="Y112" i="42"/>
  <c r="X112" i="42"/>
  <c r="W112" i="42"/>
  <c r="V112" i="42"/>
  <c r="AH111" i="42"/>
  <c r="AG111" i="42"/>
  <c r="Z111" i="42"/>
  <c r="Y111" i="42"/>
  <c r="X111" i="42"/>
  <c r="W111" i="42"/>
  <c r="V111" i="42"/>
  <c r="AH110" i="42"/>
  <c r="AG110" i="42"/>
  <c r="Z110" i="42"/>
  <c r="Y110" i="42"/>
  <c r="X110" i="42"/>
  <c r="W110" i="42"/>
  <c r="V110" i="42"/>
  <c r="AH109" i="42"/>
  <c r="AG109" i="42"/>
  <c r="Z109" i="42"/>
  <c r="Y109" i="42"/>
  <c r="X109" i="42"/>
  <c r="W109" i="42"/>
  <c r="V109" i="42"/>
  <c r="AH108" i="42"/>
  <c r="AG108" i="42"/>
  <c r="Z108" i="42"/>
  <c r="Y108" i="42"/>
  <c r="X108" i="42"/>
  <c r="W108" i="42"/>
  <c r="V108" i="42"/>
  <c r="AH107" i="42"/>
  <c r="AG107" i="42"/>
  <c r="Z107" i="42"/>
  <c r="Y107" i="42"/>
  <c r="X107" i="42"/>
  <c r="W107" i="42"/>
  <c r="V107" i="42"/>
  <c r="AH106" i="42"/>
  <c r="AG106" i="42"/>
  <c r="Z106" i="42"/>
  <c r="Y106" i="42"/>
  <c r="X106" i="42"/>
  <c r="W106" i="42"/>
  <c r="V106" i="42"/>
  <c r="AH105" i="42"/>
  <c r="AG105" i="42"/>
  <c r="Z105" i="42"/>
  <c r="Y105" i="42"/>
  <c r="X105" i="42"/>
  <c r="W105" i="42"/>
  <c r="V105" i="42"/>
  <c r="AH104" i="42"/>
  <c r="AG104" i="42"/>
  <c r="Z104" i="42"/>
  <c r="Y104" i="42"/>
  <c r="X104" i="42"/>
  <c r="W104" i="42"/>
  <c r="V104" i="42"/>
  <c r="AH103" i="42"/>
  <c r="AG103" i="42"/>
  <c r="Z103" i="42"/>
  <c r="Y103" i="42"/>
  <c r="X103" i="42"/>
  <c r="W103" i="42"/>
  <c r="V103" i="42"/>
  <c r="AH102" i="42"/>
  <c r="AG102" i="42"/>
  <c r="Z102" i="42"/>
  <c r="Y102" i="42"/>
  <c r="X102" i="42"/>
  <c r="W102" i="42"/>
  <c r="V102" i="42"/>
  <c r="AH101" i="42"/>
  <c r="AG101" i="42"/>
  <c r="Z101" i="42"/>
  <c r="Y101" i="42"/>
  <c r="X101" i="42"/>
  <c r="W101" i="42"/>
  <c r="V101" i="42"/>
  <c r="AH100" i="42"/>
  <c r="AG100" i="42"/>
  <c r="Z100" i="42"/>
  <c r="Y100" i="42"/>
  <c r="X100" i="42"/>
  <c r="W100" i="42"/>
  <c r="V100" i="42"/>
  <c r="Z99" i="42"/>
  <c r="Z98" i="42"/>
  <c r="Z97" i="42"/>
  <c r="Z96" i="42"/>
  <c r="Z95" i="42"/>
  <c r="Z94" i="42"/>
  <c r="Z93" i="42"/>
  <c r="Z92" i="42"/>
  <c r="Z91" i="42"/>
  <c r="Z90" i="42"/>
  <c r="Z89" i="42"/>
  <c r="Z88" i="42"/>
  <c r="Z87" i="42"/>
  <c r="Z86" i="42"/>
  <c r="Z85" i="42"/>
  <c r="Z84" i="42"/>
  <c r="Z83" i="42"/>
  <c r="Z82" i="42"/>
  <c r="Z81" i="42"/>
  <c r="Z80" i="42"/>
  <c r="Z79" i="42"/>
  <c r="Z78" i="42"/>
  <c r="Z77" i="42"/>
  <c r="Z76" i="42"/>
  <c r="Z75" i="42"/>
  <c r="Z74" i="42"/>
  <c r="Z73" i="42"/>
  <c r="Z72" i="42"/>
  <c r="Z71" i="42"/>
  <c r="Z70" i="42"/>
  <c r="Z69" i="42"/>
  <c r="Z68" i="42"/>
  <c r="Z67" i="42"/>
  <c r="Z66" i="42"/>
  <c r="Z65" i="42"/>
  <c r="AI64" i="42"/>
  <c r="Z64" i="42"/>
  <c r="E74" i="9"/>
  <c r="Z46" i="40"/>
  <c r="Z39" i="40"/>
  <c r="Z32" i="40"/>
  <c r="Z25" i="40"/>
  <c r="Z18" i="40"/>
  <c r="Z11" i="40"/>
  <c r="AH135" i="3"/>
  <c r="AG135" i="3"/>
  <c r="AH134" i="3"/>
  <c r="AG134" i="3"/>
  <c r="AH133" i="3"/>
  <c r="AG133" i="3"/>
  <c r="AH132" i="3"/>
  <c r="AG132" i="3"/>
  <c r="AH131" i="3"/>
  <c r="AG131" i="3"/>
  <c r="AH130" i="3"/>
  <c r="AG130" i="3"/>
  <c r="AH129" i="3"/>
  <c r="AG129" i="3"/>
  <c r="AH128" i="3"/>
  <c r="AG128" i="3"/>
  <c r="AH127" i="3"/>
  <c r="AG127" i="3"/>
  <c r="AH126" i="3"/>
  <c r="AG126" i="3"/>
  <c r="AH125" i="3"/>
  <c r="AG125" i="3"/>
  <c r="AH124" i="3"/>
  <c r="AG124" i="3"/>
  <c r="E49" i="9"/>
  <c r="AI10" i="40"/>
  <c r="N11" i="40"/>
  <c r="K11" i="40"/>
  <c r="O47" i="40"/>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P16" i="39"/>
  <c r="P15" i="39"/>
  <c r="P13" i="39"/>
  <c r="P12" i="39"/>
  <c r="P21" i="24"/>
  <c r="P20" i="24"/>
  <c r="P18" i="24"/>
  <c r="P17" i="24"/>
  <c r="P15" i="24"/>
  <c r="P14" i="24"/>
  <c r="P13" i="24"/>
  <c r="P12" i="24"/>
  <c r="BR60" i="3"/>
  <c r="BZ51" i="3"/>
  <c r="BY51" i="3"/>
  <c r="BR59" i="3"/>
  <c r="CA51" i="3"/>
  <c r="BR58" i="3"/>
  <c r="BR37" i="3"/>
  <c r="CA29" i="3"/>
  <c r="BR38" i="3"/>
  <c r="BZ29" i="3"/>
  <c r="BR36" i="3"/>
  <c r="BY29" i="3"/>
  <c r="BR49" i="3"/>
  <c r="C25" i="3"/>
  <c r="BR48" i="3"/>
  <c r="C24" i="3"/>
  <c r="BR47" i="3"/>
  <c r="C23" i="3"/>
  <c r="CA40" i="3"/>
  <c r="BZ40" i="3"/>
  <c r="BY40" i="3"/>
  <c r="C38" i="3"/>
  <c r="C37" i="3"/>
  <c r="C36" i="3"/>
  <c r="C35" i="3"/>
  <c r="C34" i="3"/>
  <c r="C33" i="3"/>
  <c r="C32" i="3"/>
  <c r="C31" i="3"/>
  <c r="C30" i="3"/>
  <c r="I25" i="3"/>
  <c r="H25" i="3"/>
  <c r="I24" i="3"/>
  <c r="H24" i="3"/>
  <c r="I23" i="3"/>
  <c r="H23" i="3"/>
  <c r="I22" i="3"/>
  <c r="H22" i="3"/>
  <c r="I21" i="3"/>
  <c r="I20" i="3"/>
  <c r="H20" i="3"/>
  <c r="I19" i="3"/>
  <c r="H19" i="3"/>
  <c r="H18" i="3"/>
  <c r="I17" i="3"/>
  <c r="H17" i="3"/>
  <c r="BR60" i="17"/>
  <c r="BZ51" i="17"/>
  <c r="BY51" i="17"/>
  <c r="BR59" i="17"/>
  <c r="CA51" i="17"/>
  <c r="BR58" i="17"/>
  <c r="BR37" i="17"/>
  <c r="CA29" i="17"/>
  <c r="BR38" i="17"/>
  <c r="BZ29" i="17"/>
  <c r="BR36" i="17"/>
  <c r="BY29" i="17"/>
  <c r="BR49" i="17"/>
  <c r="C25" i="17"/>
  <c r="BR48" i="17"/>
  <c r="C24" i="17"/>
  <c r="BR47" i="17"/>
  <c r="C23" i="17"/>
  <c r="CA40" i="17"/>
  <c r="BZ40" i="17"/>
  <c r="BY40" i="17"/>
  <c r="C38" i="17"/>
  <c r="C37" i="17"/>
  <c r="C36" i="17"/>
  <c r="C35" i="17"/>
  <c r="C34" i="17"/>
  <c r="C33" i="17"/>
  <c r="C32" i="17"/>
  <c r="C31" i="17"/>
  <c r="C30" i="17"/>
  <c r="I25" i="17"/>
  <c r="H25" i="17"/>
  <c r="G25" i="17"/>
  <c r="F25" i="17"/>
  <c r="E25" i="17"/>
  <c r="D25" i="17"/>
  <c r="I24" i="17"/>
  <c r="H24" i="17"/>
  <c r="G24" i="17"/>
  <c r="F24" i="17"/>
  <c r="E24" i="17"/>
  <c r="D24" i="17"/>
  <c r="I23" i="17"/>
  <c r="H23" i="17"/>
  <c r="G23" i="17"/>
  <c r="F23" i="17"/>
  <c r="E23" i="17"/>
  <c r="D23" i="17"/>
  <c r="I22" i="17"/>
  <c r="H22" i="17"/>
  <c r="G22" i="17"/>
  <c r="F22" i="17"/>
  <c r="E22" i="17"/>
  <c r="D22" i="17"/>
  <c r="I21" i="17"/>
  <c r="H21" i="17"/>
  <c r="G21" i="17"/>
  <c r="F21" i="17"/>
  <c r="E21" i="17"/>
  <c r="D21" i="17"/>
  <c r="I20" i="17"/>
  <c r="H20" i="17"/>
  <c r="G20" i="17"/>
  <c r="F20" i="17"/>
  <c r="E20" i="17"/>
  <c r="D20" i="17"/>
  <c r="I19" i="17"/>
  <c r="H19" i="17"/>
  <c r="G19" i="17"/>
  <c r="F19" i="17"/>
  <c r="E19" i="17"/>
  <c r="D19" i="17"/>
  <c r="I18" i="17"/>
  <c r="H18" i="17"/>
  <c r="G18" i="17"/>
  <c r="F18" i="17"/>
  <c r="E18" i="17"/>
  <c r="D18" i="17"/>
  <c r="I17" i="17"/>
  <c r="H17" i="17"/>
  <c r="G17" i="17"/>
  <c r="F17" i="17"/>
  <c r="E17" i="17"/>
  <c r="D17" i="17"/>
  <c r="BR60" i="35"/>
  <c r="BZ51" i="35"/>
  <c r="BY51" i="35"/>
  <c r="BR59" i="35"/>
  <c r="CA51" i="35"/>
  <c r="BR58" i="35"/>
  <c r="BR37" i="35"/>
  <c r="CA29" i="35"/>
  <c r="BR38" i="35"/>
  <c r="BZ29" i="35"/>
  <c r="BR36" i="35"/>
  <c r="BY29" i="35"/>
  <c r="BR49" i="35"/>
  <c r="C25" i="35"/>
  <c r="BR48" i="35"/>
  <c r="C24" i="35"/>
  <c r="BR47" i="35"/>
  <c r="C23" i="35"/>
  <c r="CA40" i="35"/>
  <c r="BZ40" i="35"/>
  <c r="BY40" i="35"/>
  <c r="C38" i="35"/>
  <c r="C37" i="35"/>
  <c r="C36" i="35"/>
  <c r="C35" i="35"/>
  <c r="C34" i="35"/>
  <c r="C33" i="35"/>
  <c r="C32" i="35"/>
  <c r="C31" i="35"/>
  <c r="C30" i="35"/>
  <c r="I25" i="35"/>
  <c r="H25" i="35"/>
  <c r="G25" i="35"/>
  <c r="F25" i="35"/>
  <c r="E25" i="35"/>
  <c r="D25" i="35"/>
  <c r="I24" i="35"/>
  <c r="H24" i="35"/>
  <c r="G24" i="35"/>
  <c r="F24" i="35"/>
  <c r="E24" i="35"/>
  <c r="D24" i="35"/>
  <c r="I23" i="35"/>
  <c r="H23" i="35"/>
  <c r="G23" i="35"/>
  <c r="F23" i="35"/>
  <c r="E23" i="35"/>
  <c r="D23" i="35"/>
  <c r="I22" i="35"/>
  <c r="H22" i="35"/>
  <c r="G22" i="35"/>
  <c r="F22" i="35"/>
  <c r="E22" i="35"/>
  <c r="D22" i="35"/>
  <c r="I21" i="35"/>
  <c r="H21" i="35"/>
  <c r="G21" i="35"/>
  <c r="F21" i="35"/>
  <c r="E21" i="35"/>
  <c r="D21" i="35"/>
  <c r="I20" i="35"/>
  <c r="H20" i="35"/>
  <c r="G20" i="35"/>
  <c r="F20" i="35"/>
  <c r="E20" i="35"/>
  <c r="D20" i="35"/>
  <c r="I19" i="35"/>
  <c r="H19" i="35"/>
  <c r="G19" i="35"/>
  <c r="F19" i="35"/>
  <c r="E19" i="35"/>
  <c r="D19" i="35"/>
  <c r="I18" i="35"/>
  <c r="H18" i="35"/>
  <c r="G18" i="35"/>
  <c r="F18" i="35"/>
  <c r="E18" i="35"/>
  <c r="D18" i="35"/>
  <c r="I17" i="35"/>
  <c r="H17" i="35"/>
  <c r="G17" i="35"/>
  <c r="F17" i="35"/>
  <c r="E17" i="35"/>
  <c r="D17" i="35"/>
  <c r="H18" i="25"/>
  <c r="H19" i="25"/>
  <c r="H20" i="25"/>
  <c r="H21" i="25"/>
  <c r="H22" i="25"/>
  <c r="H23" i="25"/>
  <c r="H24" i="25"/>
  <c r="H25" i="25"/>
  <c r="H17" i="25"/>
  <c r="C40" i="37"/>
  <c r="F40" i="37"/>
  <c r="C39" i="37"/>
  <c r="F39" i="37"/>
  <c r="C38" i="37"/>
  <c r="F38" i="37"/>
  <c r="C37" i="37"/>
  <c r="F37" i="37"/>
  <c r="C36" i="37"/>
  <c r="F36" i="37"/>
  <c r="C35" i="37"/>
  <c r="F35" i="37"/>
  <c r="C31" i="37"/>
  <c r="F31" i="37"/>
  <c r="C30" i="37"/>
  <c r="F30" i="37"/>
  <c r="C29" i="37"/>
  <c r="F29" i="37"/>
  <c r="C28" i="37"/>
  <c r="F28" i="37"/>
  <c r="C27" i="37"/>
  <c r="F27" i="37"/>
  <c r="C26" i="37"/>
  <c r="F26" i="37"/>
  <c r="C22" i="37"/>
  <c r="F22" i="37"/>
  <c r="C21" i="37"/>
  <c r="F21" i="37"/>
  <c r="C20" i="37"/>
  <c r="F20" i="37"/>
  <c r="C19" i="37"/>
  <c r="F19" i="37"/>
  <c r="C18" i="37"/>
  <c r="F18" i="37"/>
  <c r="C17" i="37"/>
  <c r="F17" i="37"/>
  <c r="Z20" i="25"/>
  <c r="C13" i="37"/>
  <c r="F13" i="37"/>
  <c r="C12" i="37"/>
  <c r="F12" i="37"/>
  <c r="C11" i="37"/>
  <c r="F11" i="37"/>
  <c r="C10" i="37"/>
  <c r="F10" i="37"/>
  <c r="C9" i="37"/>
  <c r="AO21" i="6"/>
  <c r="AO31" i="6"/>
  <c r="F9" i="37"/>
  <c r="C8" i="37"/>
  <c r="F8" i="37"/>
  <c r="AQ10" i="6"/>
  <c r="X14" i="41"/>
  <c r="Y14" i="41"/>
  <c r="Z14" i="41"/>
  <c r="AA14" i="41"/>
  <c r="AE16" i="41"/>
  <c r="X16" i="41"/>
  <c r="Y16" i="41"/>
  <c r="Z16" i="41"/>
  <c r="AA16" i="41"/>
  <c r="W16" i="41"/>
  <c r="AE15" i="41"/>
  <c r="X15" i="41"/>
  <c r="Y15" i="41"/>
  <c r="Z15" i="41"/>
  <c r="AA15" i="41"/>
  <c r="W15" i="41"/>
  <c r="AE14" i="41"/>
  <c r="W14" i="41"/>
  <c r="AE13" i="41"/>
  <c r="W13" i="41"/>
  <c r="AE12" i="41"/>
  <c r="W12" i="41"/>
  <c r="X17" i="41"/>
  <c r="Y17" i="41"/>
  <c r="Z17" i="41"/>
  <c r="AA17" i="41"/>
  <c r="W17" i="41"/>
  <c r="AE17" i="41"/>
  <c r="U11" i="41"/>
  <c r="H7" i="41"/>
  <c r="S17" i="41"/>
  <c r="P17" i="41"/>
  <c r="M17" i="41"/>
  <c r="S16" i="41"/>
  <c r="P16" i="41"/>
  <c r="M16" i="41"/>
  <c r="S15" i="41"/>
  <c r="P15" i="41"/>
  <c r="M15" i="41"/>
  <c r="S14" i="41"/>
  <c r="P14" i="41"/>
  <c r="M14" i="41"/>
  <c r="S13" i="41"/>
  <c r="P13" i="41"/>
  <c r="M13" i="41"/>
  <c r="S12" i="41"/>
  <c r="P12" i="41"/>
  <c r="M12" i="41"/>
  <c r="W11" i="41"/>
  <c r="R11" i="41"/>
  <c r="O11" i="41"/>
  <c r="L11" i="41"/>
  <c r="I11" i="41"/>
  <c r="E11" i="41"/>
  <c r="D11" i="41"/>
  <c r="C11" i="41"/>
  <c r="F5" i="41"/>
  <c r="F4" i="41"/>
  <c r="F3" i="41"/>
  <c r="F2" i="41"/>
  <c r="R49" i="21"/>
  <c r="O49" i="21"/>
  <c r="L49" i="21"/>
  <c r="R46" i="21"/>
  <c r="O46" i="21"/>
  <c r="L46" i="21"/>
  <c r="R42" i="21"/>
  <c r="O42" i="21"/>
  <c r="L42" i="21"/>
  <c r="R38" i="21"/>
  <c r="O38" i="21"/>
  <c r="L38" i="21"/>
  <c r="R34" i="21"/>
  <c r="O34" i="21"/>
  <c r="L34" i="21"/>
  <c r="R30" i="21"/>
  <c r="O30" i="21"/>
  <c r="L30" i="21"/>
  <c r="R26" i="21"/>
  <c r="O26" i="21"/>
  <c r="L26" i="21"/>
  <c r="S50" i="21"/>
  <c r="S47" i="21"/>
  <c r="S44" i="21"/>
  <c r="S43" i="21"/>
  <c r="S40" i="21"/>
  <c r="S39" i="21"/>
  <c r="S36" i="21"/>
  <c r="S35" i="21"/>
  <c r="S32" i="21"/>
  <c r="S31" i="21"/>
  <c r="S28" i="21"/>
  <c r="S27" i="21"/>
  <c r="H28" i="21"/>
  <c r="H27" i="21"/>
  <c r="R11" i="21"/>
  <c r="O11" i="21"/>
  <c r="L11" i="21"/>
  <c r="Z41" i="6"/>
  <c r="Z31" i="6"/>
  <c r="Z21" i="6"/>
  <c r="Z11" i="6"/>
  <c r="E78" i="9"/>
  <c r="E79" i="9"/>
  <c r="L11" i="6"/>
  <c r="I11" i="6"/>
  <c r="E25" i="9"/>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Z17" i="25"/>
  <c r="BU40" i="26"/>
  <c r="BR43" i="26"/>
  <c r="T45" i="40"/>
  <c r="T38" i="40"/>
  <c r="T31" i="40"/>
  <c r="T24" i="40"/>
  <c r="T17" i="40"/>
  <c r="E98" i="9"/>
  <c r="G52" i="40"/>
  <c r="B12" i="40" a="1"/>
  <c r="B12" i="40"/>
  <c r="E106" i="9"/>
  <c r="R18" i="22"/>
  <c r="E105" i="9"/>
  <c r="R17" i="22"/>
  <c r="BW40" i="26"/>
  <c r="BX40" i="26"/>
  <c r="BY40" i="26"/>
  <c r="BZ40" i="26"/>
  <c r="CA40" i="26"/>
  <c r="BR45" i="26"/>
  <c r="BR46" i="26"/>
  <c r="BR47" i="26"/>
  <c r="BR48" i="26"/>
  <c r="BR49" i="26"/>
  <c r="AA50" i="40"/>
  <c r="AA49" i="40"/>
  <c r="AA48" i="40"/>
  <c r="AA47" i="40"/>
  <c r="E27" i="9"/>
  <c r="AD46" i="40"/>
  <c r="E24" i="9"/>
  <c r="Y46" i="40"/>
  <c r="E23" i="9"/>
  <c r="X46" i="40"/>
  <c r="E22" i="9"/>
  <c r="W46" i="40"/>
  <c r="E21" i="9"/>
  <c r="V46" i="40"/>
  <c r="AA43" i="40"/>
  <c r="AA42" i="40"/>
  <c r="AA41" i="40"/>
  <c r="AA40" i="40"/>
  <c r="AD39" i="40"/>
  <c r="Y39" i="40"/>
  <c r="X39" i="40"/>
  <c r="W39" i="40"/>
  <c r="V39" i="40"/>
  <c r="AA36" i="40"/>
  <c r="AA35" i="40"/>
  <c r="AA34" i="40"/>
  <c r="AA33" i="40"/>
  <c r="AD32" i="40"/>
  <c r="Y32" i="40"/>
  <c r="X32" i="40"/>
  <c r="W32" i="40"/>
  <c r="V32" i="40"/>
  <c r="AA29" i="40"/>
  <c r="AA28" i="40"/>
  <c r="AA27" i="40"/>
  <c r="AA26" i="40"/>
  <c r="AD25" i="40"/>
  <c r="Y25" i="40"/>
  <c r="X25" i="40"/>
  <c r="W25" i="40"/>
  <c r="V25" i="40"/>
  <c r="AA22" i="40"/>
  <c r="AA21" i="40"/>
  <c r="AA20" i="40"/>
  <c r="AA19" i="40"/>
  <c r="AD18" i="40"/>
  <c r="Y18" i="40"/>
  <c r="X18" i="40"/>
  <c r="W18" i="40"/>
  <c r="V18" i="40"/>
  <c r="AA13" i="40"/>
  <c r="AA14" i="40"/>
  <c r="AA15" i="40"/>
  <c r="AA12" i="40"/>
  <c r="AD11" i="40"/>
  <c r="Y11" i="40"/>
  <c r="X11" i="40"/>
  <c r="W11" i="40"/>
  <c r="V11"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E64" i="9"/>
  <c r="T10" i="40"/>
  <c r="AF10" i="40"/>
  <c r="AG18" i="40"/>
  <c r="AG25" i="40"/>
  <c r="AG32" i="40"/>
  <c r="AG39" i="40"/>
  <c r="AG46" i="40"/>
  <c r="H52" i="40"/>
  <c r="E29" i="9"/>
  <c r="B50" i="40"/>
  <c r="L22" i="40"/>
  <c r="L21" i="40"/>
  <c r="L20" i="40"/>
  <c r="L19" i="40"/>
  <c r="L18" i="40"/>
  <c r="L17" i="40"/>
  <c r="L16" i="40"/>
  <c r="L15" i="40"/>
  <c r="L14" i="40"/>
  <c r="L13" i="40"/>
  <c r="AG11" i="40"/>
  <c r="L12" i="40"/>
  <c r="D12" i="40"/>
  <c r="H11" i="40"/>
  <c r="D11" i="40"/>
  <c r="C11" i="40"/>
  <c r="B11" i="40"/>
  <c r="E20" i="9"/>
  <c r="R10" i="40"/>
  <c r="E69" i="9"/>
  <c r="B10" i="40"/>
  <c r="E19" i="9"/>
  <c r="K7" i="40"/>
  <c r="H5" i="40"/>
  <c r="H4" i="40"/>
  <c r="H3" i="40"/>
  <c r="H2" i="40"/>
  <c r="E12" i="39"/>
  <c r="E13" i="39"/>
  <c r="C12" i="24" a="1"/>
  <c r="C12" i="24"/>
  <c r="E17" i="24"/>
  <c r="E18" i="24"/>
  <c r="E53" i="9"/>
  <c r="C10" i="39"/>
  <c r="I20" i="39"/>
  <c r="F20" i="39"/>
  <c r="I18" i="39"/>
  <c r="S16" i="39"/>
  <c r="M16" i="39"/>
  <c r="E100" i="9"/>
  <c r="F16" i="39"/>
  <c r="E16" i="39"/>
  <c r="S15" i="39"/>
  <c r="M15" i="39"/>
  <c r="E99" i="9"/>
  <c r="F15" i="39"/>
  <c r="E15" i="39"/>
  <c r="Y12" i="39"/>
  <c r="E54" i="9"/>
  <c r="C14" i="39"/>
  <c r="S13" i="39"/>
  <c r="M13" i="39"/>
  <c r="S12" i="39"/>
  <c r="M12" i="39"/>
  <c r="E15" i="9"/>
  <c r="I11" i="39"/>
  <c r="E11" i="39"/>
  <c r="D11" i="39"/>
  <c r="E9" i="9"/>
  <c r="C11" i="39"/>
  <c r="V9" i="39"/>
  <c r="J7" i="39"/>
  <c r="H5" i="39"/>
  <c r="H4" i="39"/>
  <c r="H3" i="39"/>
  <c r="H2" i="39"/>
  <c r="E113" i="9"/>
  <c r="J71"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H6" i="22"/>
  <c r="E112" i="9"/>
  <c r="J70" i="9"/>
  <c r="F21" i="24"/>
  <c r="F20" i="24"/>
  <c r="K34" i="37"/>
  <c r="K40" i="37"/>
  <c r="J34" i="37"/>
  <c r="J40" i="37"/>
  <c r="I34" i="37"/>
  <c r="I40" i="37"/>
  <c r="H34" i="37"/>
  <c r="H40" i="37"/>
  <c r="G34" i="37"/>
  <c r="G40" i="37"/>
  <c r="E40" i="37"/>
  <c r="D40" i="37"/>
  <c r="B40" i="37"/>
  <c r="L34" i="37"/>
  <c r="L39" i="37"/>
  <c r="J39" i="37"/>
  <c r="I39" i="37"/>
  <c r="H39" i="37"/>
  <c r="G39" i="37"/>
  <c r="E39" i="37"/>
  <c r="D39" i="37"/>
  <c r="B39" i="37"/>
  <c r="L38" i="37"/>
  <c r="K38" i="37"/>
  <c r="I38" i="37"/>
  <c r="H38" i="37"/>
  <c r="G38" i="37"/>
  <c r="E38" i="37"/>
  <c r="D38" i="37"/>
  <c r="B38" i="37"/>
  <c r="L37" i="37"/>
  <c r="K37" i="37"/>
  <c r="J37" i="37"/>
  <c r="H37" i="37"/>
  <c r="G37" i="37"/>
  <c r="E37" i="37"/>
  <c r="D37" i="37"/>
  <c r="B37" i="37"/>
  <c r="L36" i="37"/>
  <c r="K36" i="37"/>
  <c r="J36" i="37"/>
  <c r="I36" i="37"/>
  <c r="G36" i="37"/>
  <c r="E36" i="37"/>
  <c r="D36" i="37"/>
  <c r="B36" i="37"/>
  <c r="L35" i="37"/>
  <c r="K35" i="37"/>
  <c r="J35" i="37"/>
  <c r="I35" i="37"/>
  <c r="H35" i="37"/>
  <c r="E35" i="37"/>
  <c r="D35" i="37"/>
  <c r="B35" i="37"/>
  <c r="K25" i="37"/>
  <c r="K31" i="37"/>
  <c r="J25" i="37"/>
  <c r="J31" i="37"/>
  <c r="I25" i="37"/>
  <c r="I31" i="37"/>
  <c r="H25" i="37"/>
  <c r="H31" i="37"/>
  <c r="G25" i="37"/>
  <c r="G31" i="37"/>
  <c r="E31" i="37"/>
  <c r="D31" i="37"/>
  <c r="B31" i="37"/>
  <c r="L25" i="37"/>
  <c r="L30" i="37"/>
  <c r="J30" i="37"/>
  <c r="I30" i="37"/>
  <c r="H30" i="37"/>
  <c r="G30" i="37"/>
  <c r="E30" i="37"/>
  <c r="D30" i="37"/>
  <c r="B30" i="37"/>
  <c r="L29" i="37"/>
  <c r="K29" i="37"/>
  <c r="I29" i="37"/>
  <c r="H29" i="37"/>
  <c r="G29" i="37"/>
  <c r="E29" i="37"/>
  <c r="D29" i="37"/>
  <c r="B29" i="37"/>
  <c r="L28" i="37"/>
  <c r="K28" i="37"/>
  <c r="J28" i="37"/>
  <c r="H28" i="37"/>
  <c r="G28" i="37"/>
  <c r="E28" i="37"/>
  <c r="D28" i="37"/>
  <c r="B28" i="37"/>
  <c r="L27" i="37"/>
  <c r="K27" i="37"/>
  <c r="J27" i="37"/>
  <c r="I27" i="37"/>
  <c r="G27" i="37"/>
  <c r="E27" i="37"/>
  <c r="D27" i="37"/>
  <c r="B27" i="37"/>
  <c r="L26" i="37"/>
  <c r="K26" i="37"/>
  <c r="J26" i="37"/>
  <c r="I26" i="37"/>
  <c r="H26" i="37"/>
  <c r="E26" i="37"/>
  <c r="D26" i="37"/>
  <c r="B26" i="37"/>
  <c r="K16" i="37"/>
  <c r="K22" i="37"/>
  <c r="J16" i="37"/>
  <c r="J22" i="37"/>
  <c r="I16" i="37"/>
  <c r="I22" i="37"/>
  <c r="H16" i="37"/>
  <c r="H22" i="37"/>
  <c r="G16" i="37"/>
  <c r="G22" i="37"/>
  <c r="E22" i="37"/>
  <c r="D22" i="37"/>
  <c r="B22" i="37"/>
  <c r="L16" i="37"/>
  <c r="L21" i="37"/>
  <c r="J21" i="37"/>
  <c r="I21" i="37"/>
  <c r="H21" i="37"/>
  <c r="G21" i="37"/>
  <c r="E21" i="37"/>
  <c r="D21" i="37"/>
  <c r="B21" i="37"/>
  <c r="L20" i="37"/>
  <c r="K20" i="37"/>
  <c r="I20" i="37"/>
  <c r="H20" i="37"/>
  <c r="G20" i="37"/>
  <c r="E20" i="37"/>
  <c r="D20" i="37"/>
  <c r="B20" i="37"/>
  <c r="L19" i="37"/>
  <c r="K19" i="37"/>
  <c r="J19" i="37"/>
  <c r="H19" i="37"/>
  <c r="G19" i="37"/>
  <c r="E19" i="37"/>
  <c r="D19" i="37"/>
  <c r="B19" i="37"/>
  <c r="L18" i="37"/>
  <c r="K18" i="37"/>
  <c r="J18" i="37"/>
  <c r="I18" i="37"/>
  <c r="G18" i="37"/>
  <c r="E18" i="37"/>
  <c r="D18" i="37"/>
  <c r="B18" i="37"/>
  <c r="L17" i="37"/>
  <c r="K17" i="37"/>
  <c r="J17" i="37"/>
  <c r="I17" i="37"/>
  <c r="H17" i="37"/>
  <c r="E17" i="37"/>
  <c r="D17" i="37"/>
  <c r="B17" i="37"/>
  <c r="K7" i="37"/>
  <c r="K13" i="37"/>
  <c r="J7" i="37"/>
  <c r="J13" i="37"/>
  <c r="I7" i="37"/>
  <c r="I13" i="37"/>
  <c r="H7" i="37"/>
  <c r="H13" i="37"/>
  <c r="G7" i="37"/>
  <c r="G13" i="37"/>
  <c r="E13" i="37"/>
  <c r="D13" i="37"/>
  <c r="B13" i="37"/>
  <c r="L7" i="37"/>
  <c r="L12" i="37"/>
  <c r="J12" i="37"/>
  <c r="I12" i="37"/>
  <c r="H12" i="37"/>
  <c r="G12" i="37"/>
  <c r="E12" i="37"/>
  <c r="D12" i="37"/>
  <c r="B12" i="37"/>
  <c r="L11" i="37"/>
  <c r="K11" i="37"/>
  <c r="I11" i="37"/>
  <c r="H11" i="37"/>
  <c r="G11" i="37"/>
  <c r="E11" i="37"/>
  <c r="D11" i="37"/>
  <c r="B11" i="37"/>
  <c r="L10" i="37"/>
  <c r="K10" i="37"/>
  <c r="J10" i="37"/>
  <c r="H10" i="37"/>
  <c r="G10" i="37"/>
  <c r="E10" i="37"/>
  <c r="D10" i="37"/>
  <c r="B10" i="37"/>
  <c r="L9" i="37"/>
  <c r="K9" i="37"/>
  <c r="J9" i="37"/>
  <c r="I9" i="37"/>
  <c r="G9" i="37"/>
  <c r="E9" i="37"/>
  <c r="D9" i="37"/>
  <c r="B9" i="37"/>
  <c r="L8" i="37"/>
  <c r="K8" i="37"/>
  <c r="J8" i="37"/>
  <c r="I8" i="37"/>
  <c r="H8" i="37"/>
  <c r="E8" i="37"/>
  <c r="D8" i="37"/>
  <c r="B8" i="37"/>
  <c r="E56" i="9"/>
  <c r="B3" i="38"/>
  <c r="B3" i="37"/>
  <c r="B3" i="36"/>
  <c r="F34" i="38"/>
  <c r="E28" i="9"/>
  <c r="E34" i="38"/>
  <c r="D34" i="38"/>
  <c r="C34" i="38"/>
  <c r="F25" i="38"/>
  <c r="E25" i="38"/>
  <c r="D25" i="38"/>
  <c r="C25" i="38"/>
  <c r="F16" i="38"/>
  <c r="E16" i="38"/>
  <c r="D16" i="38"/>
  <c r="C16" i="38"/>
  <c r="F7" i="38"/>
  <c r="E7" i="38"/>
  <c r="D7" i="38"/>
  <c r="C7" i="38"/>
  <c r="E88" i="9"/>
  <c r="B4" i="38"/>
  <c r="E7" i="9"/>
  <c r="B2" i="38"/>
  <c r="M40" i="37"/>
  <c r="M39" i="37"/>
  <c r="M38" i="37"/>
  <c r="M37" i="37"/>
  <c r="M36" i="37"/>
  <c r="M35" i="37"/>
  <c r="F34" i="37"/>
  <c r="E34" i="37"/>
  <c r="D34" i="37"/>
  <c r="C34" i="37"/>
  <c r="L33" i="37"/>
  <c r="K33" i="37"/>
  <c r="J33" i="37"/>
  <c r="I33" i="37"/>
  <c r="H33" i="37"/>
  <c r="G33" i="37"/>
  <c r="M31" i="37"/>
  <c r="M30" i="37"/>
  <c r="M29" i="37"/>
  <c r="M28" i="37"/>
  <c r="M27" i="37"/>
  <c r="M26" i="37"/>
  <c r="F25" i="37"/>
  <c r="E25" i="37"/>
  <c r="D25" i="37"/>
  <c r="C25" i="37"/>
  <c r="L24" i="37"/>
  <c r="K24" i="37"/>
  <c r="J24" i="37"/>
  <c r="I24" i="37"/>
  <c r="H24" i="37"/>
  <c r="G24" i="37"/>
  <c r="M22" i="37"/>
  <c r="M21" i="37"/>
  <c r="M20" i="37"/>
  <c r="M19" i="37"/>
  <c r="M18" i="37"/>
  <c r="M17" i="37"/>
  <c r="F16" i="37"/>
  <c r="E16" i="37"/>
  <c r="D16" i="37"/>
  <c r="C16" i="37"/>
  <c r="L15" i="37"/>
  <c r="K15" i="37"/>
  <c r="J15" i="37"/>
  <c r="I15" i="37"/>
  <c r="H15" i="37"/>
  <c r="G15" i="37"/>
  <c r="M13" i="37"/>
  <c r="M12" i="37"/>
  <c r="M11" i="37"/>
  <c r="M10" i="37"/>
  <c r="M9" i="37"/>
  <c r="M8" i="37"/>
  <c r="F7" i="37"/>
  <c r="E7" i="37"/>
  <c r="D7" i="37"/>
  <c r="C7" i="37"/>
  <c r="L6" i="37"/>
  <c r="K6" i="37"/>
  <c r="J6" i="37"/>
  <c r="I6" i="37"/>
  <c r="H6" i="37"/>
  <c r="G6" i="37"/>
  <c r="B4" i="37"/>
  <c r="B2" i="37"/>
  <c r="F34" i="36"/>
  <c r="E34" i="36"/>
  <c r="D34" i="36"/>
  <c r="C34" i="36"/>
  <c r="F25" i="36"/>
  <c r="E25" i="36"/>
  <c r="D25" i="36"/>
  <c r="C25" i="36"/>
  <c r="F16" i="36"/>
  <c r="E16" i="36"/>
  <c r="D16" i="36"/>
  <c r="C16" i="36"/>
  <c r="F7" i="36"/>
  <c r="E7" i="36"/>
  <c r="D7" i="36"/>
  <c r="C7"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Y19" i="24"/>
  <c r="Y12" i="24"/>
  <c r="X11" i="24"/>
  <c r="E12" i="24"/>
  <c r="P50" i="21"/>
  <c r="P47" i="21"/>
  <c r="P44" i="21"/>
  <c r="P43" i="21"/>
  <c r="P40" i="21"/>
  <c r="P39" i="21"/>
  <c r="P36" i="21"/>
  <c r="P35" i="21"/>
  <c r="P32" i="21"/>
  <c r="P31" i="21"/>
  <c r="P28" i="21"/>
  <c r="P27" i="21"/>
  <c r="C10" i="21"/>
  <c r="V10" i="21"/>
  <c r="M44" i="21"/>
  <c r="M40" i="21"/>
  <c r="M36" i="21"/>
  <c r="M32" i="21"/>
  <c r="M28" i="21"/>
  <c r="E65" i="9"/>
  <c r="C49" i="21"/>
  <c r="E66" i="9"/>
  <c r="C46" i="21"/>
  <c r="E67" i="9"/>
  <c r="E68" i="9"/>
  <c r="C42" i="21"/>
  <c r="C38" i="21"/>
  <c r="C34" i="21"/>
  <c r="C30" i="21"/>
  <c r="C26" i="21"/>
  <c r="X11" i="21"/>
  <c r="M27" i="21"/>
  <c r="M31" i="21"/>
  <c r="M35" i="21"/>
  <c r="M39" i="21"/>
  <c r="M43" i="21"/>
  <c r="M47" i="21"/>
  <c r="M50" i="21"/>
  <c r="T11" i="22"/>
  <c r="V17" i="22"/>
  <c r="E16" i="9"/>
  <c r="AN40" i="6"/>
  <c r="AO41" i="6"/>
  <c r="AN41" i="6"/>
  <c r="V124" i="3"/>
  <c r="W124" i="3"/>
  <c r="X124" i="3"/>
  <c r="Y124" i="3"/>
  <c r="AB124" i="3"/>
  <c r="Z124" i="3"/>
  <c r="AA43" i="6"/>
  <c r="AA44" i="6"/>
  <c r="AA45" i="6"/>
  <c r="AA46" i="6"/>
  <c r="AA47" i="6"/>
  <c r="Q42" i="6"/>
  <c r="Q32" i="6"/>
  <c r="Q33" i="6"/>
  <c r="Q34" i="6"/>
  <c r="Q35" i="6"/>
  <c r="Q36" i="6"/>
  <c r="Q37"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Q72" i="35"/>
  <c r="Q71" i="35"/>
  <c r="Q70" i="35"/>
  <c r="F12" i="35"/>
  <c r="F11" i="35"/>
  <c r="F10" i="35"/>
  <c r="Q40" i="6"/>
  <c r="AA42" i="6"/>
  <c r="AD41" i="6"/>
  <c r="V41" i="6"/>
  <c r="U41" i="6"/>
  <c r="T41" i="6"/>
  <c r="S41" i="6"/>
  <c r="E40" i="9"/>
  <c r="Q50" i="6"/>
  <c r="C54" i="22"/>
  <c r="C56" i="22"/>
  <c r="E108" i="9"/>
  <c r="E107" i="9"/>
  <c r="E109" i="9"/>
  <c r="E110" i="9"/>
  <c r="E111" i="9"/>
  <c r="E58" i="9"/>
  <c r="C10" i="24"/>
  <c r="E57" i="9"/>
  <c r="E82" i="9"/>
  <c r="AN30" i="6"/>
  <c r="AN31" i="6"/>
  <c r="AN21" i="6"/>
  <c r="AN20" i="6"/>
  <c r="AO11" i="6"/>
  <c r="AN11" i="6"/>
  <c r="AN10" i="6"/>
  <c r="E104" i="9"/>
  <c r="R16" i="22"/>
  <c r="E103" i="9"/>
  <c r="R15" i="22"/>
  <c r="I54" i="21"/>
  <c r="I11" i="21"/>
  <c r="E34" i="9"/>
  <c r="E11" i="21"/>
  <c r="D11" i="21"/>
  <c r="C11" i="21"/>
  <c r="E32" i="9"/>
  <c r="Q22" i="6"/>
  <c r="S33" i="6"/>
  <c r="T33" i="6"/>
  <c r="U33" i="6"/>
  <c r="V33" i="6"/>
  <c r="Z33" i="6"/>
  <c r="AA33" i="6"/>
  <c r="AB33" i="6"/>
  <c r="S34" i="6"/>
  <c r="T34" i="6"/>
  <c r="U34" i="6"/>
  <c r="V34" i="6"/>
  <c r="Z34" i="6"/>
  <c r="AA34" i="6"/>
  <c r="AB34" i="6"/>
  <c r="S35" i="6"/>
  <c r="T35" i="6"/>
  <c r="U35" i="6"/>
  <c r="V35" i="6"/>
  <c r="Z35" i="6"/>
  <c r="AA35" i="6"/>
  <c r="AB35" i="6"/>
  <c r="S36" i="6"/>
  <c r="T36" i="6"/>
  <c r="U36" i="6"/>
  <c r="V36" i="6"/>
  <c r="Z36" i="6"/>
  <c r="AA36" i="6"/>
  <c r="AB36" i="6"/>
  <c r="S37" i="6"/>
  <c r="T37" i="6"/>
  <c r="U37" i="6"/>
  <c r="V37" i="6"/>
  <c r="Z37" i="6"/>
  <c r="AA37" i="6"/>
  <c r="AB37" i="6"/>
  <c r="AB32" i="6"/>
  <c r="Z32" i="6"/>
  <c r="V32" i="6"/>
  <c r="U32" i="6"/>
  <c r="T32" i="6"/>
  <c r="S32" i="6"/>
  <c r="Q30" i="6"/>
  <c r="AK37" i="6"/>
  <c r="AK36" i="6"/>
  <c r="AK35" i="6"/>
  <c r="AK34" i="6"/>
  <c r="AK33" i="6"/>
  <c r="AK32" i="6"/>
  <c r="AA32" i="6"/>
  <c r="AD31" i="6"/>
  <c r="V31" i="6"/>
  <c r="U31" i="6"/>
  <c r="T31" i="6"/>
  <c r="S31" i="6"/>
  <c r="AJ30" i="6"/>
  <c r="AI30" i="6"/>
  <c r="AH30" i="6"/>
  <c r="AG30" i="6"/>
  <c r="AF30" i="6"/>
  <c r="AE30"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C38" i="25"/>
  <c r="C37" i="25"/>
  <c r="C36" i="25"/>
  <c r="C35" i="25"/>
  <c r="C34" i="25"/>
  <c r="C33" i="25"/>
  <c r="C32" i="25"/>
  <c r="C31" i="25"/>
  <c r="C30" i="25"/>
  <c r="I25" i="25"/>
  <c r="G25" i="25"/>
  <c r="F25" i="25"/>
  <c r="E25" i="25"/>
  <c r="D25" i="25"/>
  <c r="I24" i="25"/>
  <c r="G24" i="25"/>
  <c r="F24" i="25"/>
  <c r="E24" i="25"/>
  <c r="D24" i="25"/>
  <c r="I23" i="25"/>
  <c r="G23" i="25"/>
  <c r="F23" i="25"/>
  <c r="E23" i="25"/>
  <c r="D23" i="25"/>
  <c r="I22" i="25"/>
  <c r="G22" i="25"/>
  <c r="F22" i="25"/>
  <c r="E22" i="25"/>
  <c r="D22" i="25"/>
  <c r="I21" i="25"/>
  <c r="G21" i="25"/>
  <c r="F21" i="25"/>
  <c r="E21" i="25"/>
  <c r="D21" i="25"/>
  <c r="I20" i="25"/>
  <c r="G20" i="25"/>
  <c r="F20" i="25"/>
  <c r="E20" i="25"/>
  <c r="D20" i="25"/>
  <c r="I19" i="25"/>
  <c r="G19" i="25"/>
  <c r="F19" i="25"/>
  <c r="E19" i="25"/>
  <c r="D19" i="25"/>
  <c r="I18" i="25"/>
  <c r="G18" i="25"/>
  <c r="F18" i="25"/>
  <c r="E18" i="25"/>
  <c r="D18" i="25"/>
  <c r="I17" i="25"/>
  <c r="G17" i="25"/>
  <c r="F17" i="25"/>
  <c r="E17" i="25"/>
  <c r="D17" i="25"/>
  <c r="Z18" i="25"/>
  <c r="Z22" i="25"/>
  <c r="C37" i="22"/>
  <c r="C39" i="22"/>
  <c r="E101" i="9"/>
  <c r="E102" i="9"/>
  <c r="R22" i="22"/>
  <c r="E97" i="9"/>
  <c r="D11" i="14"/>
  <c r="E55" i="9"/>
  <c r="C11" i="24"/>
  <c r="B3" i="20"/>
  <c r="M18" i="24"/>
  <c r="M20" i="24"/>
  <c r="S20" i="24"/>
  <c r="S17" i="24"/>
  <c r="S18" i="24"/>
  <c r="S21" i="24"/>
  <c r="M21" i="24"/>
  <c r="M17" i="24"/>
  <c r="I25" i="24"/>
  <c r="F25" i="24"/>
  <c r="I23" i="24"/>
  <c r="C19" i="24"/>
  <c r="C16" i="24"/>
  <c r="S15" i="24"/>
  <c r="M15" i="24"/>
  <c r="S14" i="24"/>
  <c r="M14" i="24"/>
  <c r="S13" i="24"/>
  <c r="M13" i="24"/>
  <c r="S12" i="24"/>
  <c r="M12" i="24"/>
  <c r="I11" i="24"/>
  <c r="E11" i="24"/>
  <c r="D11" i="24"/>
  <c r="V9" i="24"/>
  <c r="J7" i="24"/>
  <c r="H5" i="24"/>
  <c r="H4" i="24"/>
  <c r="H3" i="24"/>
  <c r="H2" i="24"/>
  <c r="E41" i="9"/>
  <c r="R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R13" i="22"/>
  <c r="E44" i="9"/>
  <c r="R11" i="22"/>
  <c r="E43" i="9"/>
  <c r="R9" i="22"/>
  <c r="E42" i="9"/>
  <c r="R7" i="22"/>
  <c r="E45" i="9"/>
  <c r="T5" i="22"/>
  <c r="R5" i="22"/>
  <c r="E31" i="9"/>
  <c r="L5" i="22"/>
  <c r="I5" i="22"/>
  <c r="E17" i="9"/>
  <c r="H5" i="22"/>
  <c r="G5" i="22"/>
  <c r="F5" i="22"/>
  <c r="E5" i="22"/>
  <c r="C5" i="22"/>
  <c r="P4" i="22"/>
  <c r="E4" i="22"/>
  <c r="C4" i="22"/>
  <c r="E30" i="9"/>
  <c r="E2" i="22"/>
  <c r="F54" i="21"/>
  <c r="J7" i="21"/>
  <c r="F5" i="21"/>
  <c r="F4" i="21"/>
  <c r="F3" i="21"/>
  <c r="F2" i="21"/>
  <c r="F34" i="20"/>
  <c r="E34" i="20"/>
  <c r="D34" i="20"/>
  <c r="C34" i="20"/>
  <c r="F25" i="20"/>
  <c r="E25" i="20"/>
  <c r="D25" i="20"/>
  <c r="C25" i="20"/>
  <c r="F16" i="20"/>
  <c r="E16" i="20"/>
  <c r="D16" i="20"/>
  <c r="C16" i="20"/>
  <c r="F7" i="20"/>
  <c r="E7" i="20"/>
  <c r="D7" i="20"/>
  <c r="C7" i="20"/>
  <c r="B4" i="20"/>
  <c r="B2" i="20"/>
  <c r="E11" i="6"/>
  <c r="E18" i="9"/>
  <c r="I7" i="6"/>
  <c r="AA23" i="6"/>
  <c r="AA24" i="6"/>
  <c r="AA25" i="6"/>
  <c r="AA26" i="6"/>
  <c r="AA27" i="6"/>
  <c r="Q20" i="6"/>
  <c r="AA22" i="6"/>
  <c r="AD21" i="6"/>
  <c r="V21" i="6"/>
  <c r="U21" i="6"/>
  <c r="T21" i="6"/>
  <c r="S21" i="6"/>
  <c r="Q10" i="6"/>
  <c r="V135" i="3"/>
  <c r="W135" i="3"/>
  <c r="X135" i="3"/>
  <c r="Y135" i="3"/>
  <c r="AB135" i="3"/>
  <c r="Z135" i="3"/>
  <c r="V134" i="3"/>
  <c r="W134" i="3"/>
  <c r="X134" i="3"/>
  <c r="Y134" i="3"/>
  <c r="AB134" i="3"/>
  <c r="Z134" i="3"/>
  <c r="V133" i="3"/>
  <c r="W133" i="3"/>
  <c r="X133" i="3"/>
  <c r="Y133" i="3"/>
  <c r="AB133" i="3"/>
  <c r="Z133" i="3"/>
  <c r="V132" i="3"/>
  <c r="W132" i="3"/>
  <c r="X132" i="3"/>
  <c r="Y132" i="3"/>
  <c r="AB132" i="3"/>
  <c r="Z132" i="3"/>
  <c r="V131" i="3"/>
  <c r="W131" i="3"/>
  <c r="X131" i="3"/>
  <c r="Y131" i="3"/>
  <c r="AB131" i="3"/>
  <c r="Z131" i="3"/>
  <c r="V130" i="3"/>
  <c r="W130" i="3"/>
  <c r="X130" i="3"/>
  <c r="Y130" i="3"/>
  <c r="AB130" i="3"/>
  <c r="Z130" i="3"/>
  <c r="V129" i="3"/>
  <c r="W129" i="3"/>
  <c r="X129" i="3"/>
  <c r="Y129" i="3"/>
  <c r="AB129" i="3"/>
  <c r="Z129" i="3"/>
  <c r="V128" i="3"/>
  <c r="W128" i="3"/>
  <c r="X128" i="3"/>
  <c r="Y128" i="3"/>
  <c r="AB128" i="3"/>
  <c r="Z128" i="3"/>
  <c r="V127" i="3"/>
  <c r="W127" i="3"/>
  <c r="X127" i="3"/>
  <c r="Y127" i="3"/>
  <c r="AB127" i="3"/>
  <c r="Z127" i="3"/>
  <c r="V126" i="3"/>
  <c r="W126" i="3"/>
  <c r="X126" i="3"/>
  <c r="Y126" i="3"/>
  <c r="AB126" i="3"/>
  <c r="Z126" i="3"/>
  <c r="V125" i="3"/>
  <c r="W125" i="3"/>
  <c r="X125" i="3"/>
  <c r="Y125" i="3"/>
  <c r="AB125" i="3"/>
  <c r="Z125" i="3"/>
  <c r="Q72" i="17"/>
  <c r="Q71" i="17"/>
  <c r="Q70" i="17"/>
  <c r="F12" i="17"/>
  <c r="F11" i="17"/>
  <c r="F10" i="17"/>
  <c r="Q72" i="3"/>
  <c r="Q71" i="3"/>
  <c r="Q70" i="3"/>
  <c r="F10" i="3"/>
  <c r="F11" i="3"/>
  <c r="F12" i="3"/>
  <c r="E96" i="9"/>
  <c r="B11" i="14"/>
  <c r="E13" i="9"/>
  <c r="E84" i="9"/>
  <c r="E85" i="9"/>
  <c r="E12" i="9"/>
  <c r="E11" i="9"/>
  <c r="E8" i="9"/>
  <c r="E38" i="9"/>
  <c r="E87" i="9"/>
  <c r="E83" i="9"/>
  <c r="E89" i="9"/>
  <c r="E92" i="9"/>
  <c r="E91" i="9"/>
  <c r="E93" i="9"/>
  <c r="B5" i="14"/>
  <c r="E120" i="9"/>
  <c r="E52" i="9"/>
  <c r="E51" i="9"/>
  <c r="B1" i="14"/>
  <c r="E50" i="9"/>
  <c r="A1" i="13"/>
  <c r="D11" i="6"/>
  <c r="C11" i="6"/>
  <c r="E47" i="9"/>
  <c r="E46" i="9"/>
  <c r="E86" i="9"/>
  <c r="L1" i="9"/>
  <c r="E35" i="9"/>
  <c r="E36" i="9"/>
  <c r="E37" i="9"/>
  <c r="F81" i="9"/>
  <c r="C5" i="9"/>
  <c r="F1" i="9"/>
  <c r="F5" i="9"/>
  <c r="AA13" i="6"/>
  <c r="AA14" i="6"/>
  <c r="AA15" i="6"/>
  <c r="AA16" i="6"/>
  <c r="AA17" i="6"/>
  <c r="AA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AD11" i="6"/>
  <c r="V11" i="6"/>
  <c r="U11" i="6"/>
  <c r="T11" i="6"/>
  <c r="S11" i="6"/>
  <c r="F11" i="6"/>
  <c r="B11" i="6"/>
  <c r="B10" i="6"/>
  <c r="K1" i="9"/>
  <c r="Z23" i="25"/>
  <c r="Z24" i="25"/>
  <c r="Z25" i="25"/>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S24" i="22" a="1"/>
  <c r="S24" i="22"/>
  <c r="F9" i="34"/>
  <c r="E4" i="34"/>
  <c r="T24" i="22" a="1"/>
  <c r="T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R25" i="22"/>
  <c r="R26" i="22"/>
  <c r="C12" i="39" a="1"/>
  <c r="C12" i="39"/>
  <c r="C13" i="39"/>
  <c r="C15" i="39"/>
  <c r="C16" i="39"/>
  <c r="C12" i="40"/>
  <c r="D12" i="24"/>
  <c r="AD50" i="6"/>
  <c r="D12" i="39"/>
  <c r="D13" i="39"/>
  <c r="D15" i="39"/>
  <c r="D16" i="39"/>
  <c r="K18" i="39"/>
  <c r="S17" i="22"/>
  <c r="BV40" i="26"/>
  <c r="BR44" i="26"/>
  <c r="AE40" i="6"/>
  <c r="AF40" i="6"/>
  <c r="AG40" i="6"/>
  <c r="AH40" i="6"/>
  <c r="AI40" i="6"/>
  <c r="AJ40" i="6"/>
  <c r="AK42" i="6"/>
  <c r="AK43" i="6"/>
  <c r="AK44" i="6"/>
  <c r="AK45" i="6"/>
  <c r="AK46" i="6"/>
  <c r="AK47" i="6"/>
  <c r="Q43" i="6"/>
  <c r="Q44" i="6"/>
  <c r="Q45" i="6"/>
  <c r="Q46" i="6"/>
  <c r="Q47" i="6"/>
  <c r="S42" i="6"/>
  <c r="T42" i="6"/>
  <c r="U42" i="6"/>
  <c r="V42" i="6"/>
  <c r="Z42" i="6"/>
  <c r="AB42" i="6"/>
  <c r="AB47" i="6"/>
  <c r="Z47" i="6"/>
  <c r="V47" i="6"/>
  <c r="U47" i="6"/>
  <c r="T47" i="6"/>
  <c r="S47" i="6"/>
  <c r="AB46" i="6"/>
  <c r="Z46" i="6"/>
  <c r="V46" i="6"/>
  <c r="U46" i="6"/>
  <c r="T46" i="6"/>
  <c r="S46" i="6"/>
  <c r="AB45" i="6"/>
  <c r="Z45" i="6"/>
  <c r="V45" i="6"/>
  <c r="U45" i="6"/>
  <c r="T45" i="6"/>
  <c r="S45" i="6"/>
  <c r="AB44" i="6"/>
  <c r="Z44" i="6"/>
  <c r="V44" i="6"/>
  <c r="U44" i="6"/>
  <c r="T44" i="6"/>
  <c r="S44" i="6"/>
  <c r="AB43" i="6"/>
  <c r="Z43" i="6"/>
  <c r="V43" i="6"/>
  <c r="U43" i="6"/>
  <c r="T43" i="6"/>
  <c r="S43" i="6"/>
  <c r="G7" i="38"/>
  <c r="G6" i="38"/>
  <c r="H7" i="38"/>
  <c r="H6" i="38"/>
  <c r="I7" i="38"/>
  <c r="I6" i="38"/>
  <c r="J7" i="38"/>
  <c r="J6" i="38"/>
  <c r="K7" i="38"/>
  <c r="K6" i="38"/>
  <c r="L7" i="38"/>
  <c r="L6" i="38"/>
  <c r="M8" i="38"/>
  <c r="M9" i="38"/>
  <c r="M10" i="38"/>
  <c r="M11" i="38"/>
  <c r="M12" i="38"/>
  <c r="M13" i="38"/>
  <c r="G16" i="38"/>
  <c r="G15" i="38"/>
  <c r="H16" i="38"/>
  <c r="H15" i="38"/>
  <c r="I16" i="38"/>
  <c r="I15" i="38"/>
  <c r="J16" i="38"/>
  <c r="J15" i="38"/>
  <c r="K16" i="38"/>
  <c r="K15" i="38"/>
  <c r="L16" i="38"/>
  <c r="L15" i="38"/>
  <c r="M17" i="38"/>
  <c r="M18" i="38"/>
  <c r="M19" i="38"/>
  <c r="M20" i="38"/>
  <c r="M21" i="38"/>
  <c r="M22" i="38"/>
  <c r="G25" i="38"/>
  <c r="G24" i="38"/>
  <c r="H25" i="38"/>
  <c r="H24" i="38"/>
  <c r="I25" i="38"/>
  <c r="I24" i="38"/>
  <c r="J25" i="38"/>
  <c r="J24" i="38"/>
  <c r="K25" i="38"/>
  <c r="K24" i="38"/>
  <c r="L25" i="38"/>
  <c r="L24" i="38"/>
  <c r="M26" i="38"/>
  <c r="M27" i="38"/>
  <c r="M28" i="38"/>
  <c r="M29" i="38"/>
  <c r="M30" i="38"/>
  <c r="M31" i="38"/>
  <c r="G34" i="38"/>
  <c r="G33" i="38"/>
  <c r="H34" i="38"/>
  <c r="H33" i="38"/>
  <c r="I34" i="38"/>
  <c r="I33" i="38"/>
  <c r="J34" i="38"/>
  <c r="J33" i="38"/>
  <c r="K34" i="38"/>
  <c r="K33" i="38"/>
  <c r="L34" i="38"/>
  <c r="L33" i="38"/>
  <c r="M35" i="38"/>
  <c r="M36" i="38"/>
  <c r="M37" i="38"/>
  <c r="M38" i="38"/>
  <c r="M39" i="38"/>
  <c r="M40" i="38"/>
  <c r="B8" i="38"/>
  <c r="D8" i="38"/>
  <c r="E8" i="38"/>
  <c r="H8" i="38"/>
  <c r="I8" i="38"/>
  <c r="J8" i="38"/>
  <c r="K8" i="38"/>
  <c r="L8" i="38"/>
  <c r="B9" i="38"/>
  <c r="D9" i="38"/>
  <c r="E9" i="38"/>
  <c r="G9" i="38"/>
  <c r="I9" i="38"/>
  <c r="J9" i="38"/>
  <c r="K9" i="38"/>
  <c r="L9" i="38"/>
  <c r="B10" i="38"/>
  <c r="D10" i="38"/>
  <c r="E10" i="38"/>
  <c r="G10" i="38"/>
  <c r="H10" i="38"/>
  <c r="J10" i="38"/>
  <c r="K10" i="38"/>
  <c r="L10" i="38"/>
  <c r="B11" i="38"/>
  <c r="D11" i="38"/>
  <c r="E11" i="38"/>
  <c r="G11" i="38"/>
  <c r="H11" i="38"/>
  <c r="I11" i="38"/>
  <c r="K11" i="38"/>
  <c r="L11" i="38"/>
  <c r="B12" i="38"/>
  <c r="D12" i="38"/>
  <c r="E12" i="38"/>
  <c r="G12" i="38"/>
  <c r="H12" i="38"/>
  <c r="I12" i="38"/>
  <c r="J12" i="38"/>
  <c r="L12" i="38"/>
  <c r="B13" i="38"/>
  <c r="D13" i="38"/>
  <c r="E13" i="38"/>
  <c r="G13" i="38"/>
  <c r="H13" i="38"/>
  <c r="I13" i="38"/>
  <c r="J13" i="38"/>
  <c r="K13" i="38"/>
  <c r="B17" i="38"/>
  <c r="D17" i="38"/>
  <c r="E17" i="38"/>
  <c r="H17" i="38"/>
  <c r="I17" i="38"/>
  <c r="J17" i="38"/>
  <c r="K17" i="38"/>
  <c r="L17" i="38"/>
  <c r="B18" i="38"/>
  <c r="D18" i="38"/>
  <c r="E18" i="38"/>
  <c r="G18" i="38"/>
  <c r="I18" i="38"/>
  <c r="J18" i="38"/>
  <c r="K18" i="38"/>
  <c r="L18" i="38"/>
  <c r="B19" i="38"/>
  <c r="D19" i="38"/>
  <c r="E19" i="38"/>
  <c r="G19" i="38"/>
  <c r="H19" i="38"/>
  <c r="J19" i="38"/>
  <c r="K19" i="38"/>
  <c r="L19" i="38"/>
  <c r="B20" i="38"/>
  <c r="D20" i="38"/>
  <c r="E20" i="38"/>
  <c r="G20" i="38"/>
  <c r="H20" i="38"/>
  <c r="I20" i="38"/>
  <c r="K20" i="38"/>
  <c r="L20" i="38"/>
  <c r="B21" i="38"/>
  <c r="D21" i="38"/>
  <c r="E21" i="38"/>
  <c r="G21" i="38"/>
  <c r="H21" i="38"/>
  <c r="I21" i="38"/>
  <c r="J21" i="38"/>
  <c r="L21" i="38"/>
  <c r="B22" i="38"/>
  <c r="D22" i="38"/>
  <c r="E22" i="38"/>
  <c r="G22" i="38"/>
  <c r="H22" i="38"/>
  <c r="I22" i="38"/>
  <c r="J22" i="38"/>
  <c r="K22" i="38"/>
  <c r="B26" i="38"/>
  <c r="D26" i="38"/>
  <c r="E26" i="38"/>
  <c r="H26" i="38"/>
  <c r="I26" i="38"/>
  <c r="J26" i="38"/>
  <c r="K26" i="38"/>
  <c r="L26" i="38"/>
  <c r="B27" i="38"/>
  <c r="D27" i="38"/>
  <c r="E27" i="38"/>
  <c r="G27" i="38"/>
  <c r="I27" i="38"/>
  <c r="J27" i="38"/>
  <c r="K27" i="38"/>
  <c r="L27" i="38"/>
  <c r="B28" i="38"/>
  <c r="D28" i="38"/>
  <c r="E28" i="38"/>
  <c r="G28" i="38"/>
  <c r="H28" i="38"/>
  <c r="J28" i="38"/>
  <c r="K28" i="38"/>
  <c r="L28" i="38"/>
  <c r="B29" i="38"/>
  <c r="D29" i="38"/>
  <c r="E29" i="38"/>
  <c r="G29" i="38"/>
  <c r="H29" i="38"/>
  <c r="I29" i="38"/>
  <c r="K29" i="38"/>
  <c r="L29" i="38"/>
  <c r="B30" i="38"/>
  <c r="D30" i="38"/>
  <c r="E30" i="38"/>
  <c r="G30" i="38"/>
  <c r="H30" i="38"/>
  <c r="I30" i="38"/>
  <c r="J30" i="38"/>
  <c r="L30" i="38"/>
  <c r="B31" i="38"/>
  <c r="D31" i="38"/>
  <c r="E31" i="38"/>
  <c r="G31" i="38"/>
  <c r="H31" i="38"/>
  <c r="I31" i="38"/>
  <c r="J31" i="38"/>
  <c r="K31" i="38"/>
  <c r="B35" i="38"/>
  <c r="D35" i="38"/>
  <c r="E35" i="38"/>
  <c r="H35" i="38"/>
  <c r="I35" i="38"/>
  <c r="J35" i="38"/>
  <c r="K35" i="38"/>
  <c r="L35" i="38"/>
  <c r="B36" i="38"/>
  <c r="D36" i="38"/>
  <c r="E36" i="38"/>
  <c r="G36" i="38"/>
  <c r="I36" i="38"/>
  <c r="J36" i="38"/>
  <c r="K36" i="38"/>
  <c r="L36" i="38"/>
  <c r="B37" i="38"/>
  <c r="D37" i="38"/>
  <c r="E37" i="38"/>
  <c r="G37" i="38"/>
  <c r="H37" i="38"/>
  <c r="J37" i="38"/>
  <c r="K37" i="38"/>
  <c r="L37" i="38"/>
  <c r="B38" i="38"/>
  <c r="D38" i="38"/>
  <c r="E38" i="38"/>
  <c r="G38" i="38"/>
  <c r="H38" i="38"/>
  <c r="I38" i="38"/>
  <c r="K38" i="38"/>
  <c r="L38" i="38"/>
  <c r="B39" i="38"/>
  <c r="D39" i="38"/>
  <c r="E39" i="38"/>
  <c r="G39" i="38"/>
  <c r="H39" i="38"/>
  <c r="I39" i="38"/>
  <c r="J39" i="38"/>
  <c r="L39" i="38"/>
  <c r="B40" i="38"/>
  <c r="D40" i="38"/>
  <c r="E40" i="38"/>
  <c r="G40" i="38"/>
  <c r="H40" i="38"/>
  <c r="I40" i="38"/>
  <c r="J40" i="38"/>
  <c r="K40" i="38"/>
  <c r="Z17" i="35"/>
  <c r="Z19" i="35"/>
  <c r="Z22" i="35"/>
  <c r="Z23" i="35"/>
  <c r="Z24" i="35"/>
  <c r="Z25" i="35"/>
  <c r="BT40" i="26"/>
  <c r="BR42" i="26"/>
  <c r="AE20" i="6"/>
  <c r="AF20" i="6"/>
  <c r="AG20" i="6"/>
  <c r="AH20" i="6"/>
  <c r="AI20" i="6"/>
  <c r="AJ20" i="6"/>
  <c r="AK22" i="6"/>
  <c r="AK23" i="6"/>
  <c r="AK24" i="6"/>
  <c r="AK25" i="6"/>
  <c r="AK26" i="6"/>
  <c r="AK27" i="6"/>
  <c r="S22" i="6"/>
  <c r="T22" i="6"/>
  <c r="U22" i="6"/>
  <c r="V22" i="6"/>
  <c r="Z22" i="6"/>
  <c r="AB22" i="6"/>
  <c r="S23" i="6"/>
  <c r="T23" i="6"/>
  <c r="U23" i="6"/>
  <c r="V23" i="6"/>
  <c r="Z23" i="6"/>
  <c r="AB23" i="6"/>
  <c r="S24" i="6"/>
  <c r="T24" i="6"/>
  <c r="U24" i="6"/>
  <c r="V24" i="6"/>
  <c r="Z24" i="6"/>
  <c r="AB24" i="6"/>
  <c r="S25" i="6"/>
  <c r="T25" i="6"/>
  <c r="U25" i="6"/>
  <c r="V25" i="6"/>
  <c r="Z25" i="6"/>
  <c r="AB25" i="6"/>
  <c r="S26" i="6"/>
  <c r="T26" i="6"/>
  <c r="U26" i="6"/>
  <c r="V26" i="6"/>
  <c r="Z26" i="6"/>
  <c r="AB26" i="6"/>
  <c r="S27" i="6"/>
  <c r="T27" i="6"/>
  <c r="U27" i="6"/>
  <c r="V27" i="6"/>
  <c r="Z27" i="6"/>
  <c r="AB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Q23" i="6"/>
  <c r="Q24" i="6"/>
  <c r="Q25" i="6"/>
  <c r="Q26" i="6"/>
  <c r="Q27" i="6"/>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Z17" i="17"/>
  <c r="Z18" i="17"/>
  <c r="Z19" i="17"/>
  <c r="Z20" i="17"/>
  <c r="Z21" i="17"/>
  <c r="Z22" i="17"/>
  <c r="Z23" i="17"/>
  <c r="Z24" i="17"/>
  <c r="Z25" i="17"/>
  <c r="BR41" i="26"/>
  <c r="BS40" i="26"/>
  <c r="BW41" i="26"/>
  <c r="BX41" i="26"/>
  <c r="BY41" i="26"/>
  <c r="BZ41" i="26"/>
  <c r="CA41" i="26"/>
  <c r="BW42" i="26"/>
  <c r="BX42" i="26"/>
  <c r="BY42" i="26"/>
  <c r="BZ42" i="26"/>
  <c r="CA42" i="26"/>
  <c r="BW43" i="26"/>
  <c r="BX43" i="26"/>
  <c r="BY43" i="26"/>
  <c r="BZ43" i="26"/>
  <c r="CA43" i="26"/>
  <c r="BW44" i="26"/>
  <c r="BX44" i="26"/>
  <c r="BY44" i="26"/>
  <c r="BZ44" i="26"/>
  <c r="CA44" i="26"/>
  <c r="BS45" i="26"/>
  <c r="BT45" i="26"/>
  <c r="BU45" i="26"/>
  <c r="BV45" i="26"/>
  <c r="BX45" i="26"/>
  <c r="BY45" i="26"/>
  <c r="BZ45" i="26"/>
  <c r="CA45" i="26"/>
  <c r="BS46" i="26"/>
  <c r="BT46" i="26"/>
  <c r="BU46" i="26"/>
  <c r="BV46" i="26"/>
  <c r="BW46" i="26"/>
  <c r="BY46" i="26"/>
  <c r="BZ46" i="26"/>
  <c r="CA46" i="26"/>
  <c r="BS47" i="26"/>
  <c r="BT47" i="26"/>
  <c r="BU47" i="26"/>
  <c r="BV47" i="26"/>
  <c r="BW47" i="26"/>
  <c r="BX47" i="26"/>
  <c r="BZ47" i="26"/>
  <c r="CA47" i="26"/>
  <c r="BS48" i="26"/>
  <c r="BT48" i="26"/>
  <c r="BU48" i="26"/>
  <c r="BV48" i="26"/>
  <c r="BW48" i="26"/>
  <c r="BX48" i="26"/>
  <c r="BY48" i="26"/>
  <c r="CA48" i="26"/>
  <c r="BS49" i="26"/>
  <c r="BT49" i="26"/>
  <c r="BU49" i="26"/>
  <c r="BV49" i="26"/>
  <c r="BW49" i="26"/>
  <c r="BX49" i="26"/>
  <c r="BY49" i="26"/>
  <c r="BZ49" i="26"/>
  <c r="I24" i="39"/>
  <c r="I23" i="39"/>
  <c r="I22" i="39"/>
  <c r="I21" i="39"/>
  <c r="I29" i="24"/>
  <c r="I28" i="24"/>
  <c r="I27" i="24"/>
  <c r="I26" i="24"/>
  <c r="C40" i="36"/>
  <c r="F40" i="36"/>
  <c r="C39" i="36"/>
  <c r="F39" i="36"/>
  <c r="C38" i="36"/>
  <c r="F38" i="36"/>
  <c r="C37" i="36"/>
  <c r="F37" i="36"/>
  <c r="C36" i="36"/>
  <c r="F36" i="36"/>
  <c r="C35" i="36"/>
  <c r="F35" i="36"/>
  <c r="C31" i="36"/>
  <c r="F31" i="36"/>
  <c r="C30" i="36"/>
  <c r="F30" i="36"/>
  <c r="C29" i="36"/>
  <c r="F29" i="36"/>
  <c r="C28" i="36"/>
  <c r="F28" i="36"/>
  <c r="C27" i="36"/>
  <c r="F27" i="36"/>
  <c r="C26" i="36"/>
  <c r="F26" i="36"/>
  <c r="C22" i="36"/>
  <c r="F22" i="36"/>
  <c r="C21" i="36"/>
  <c r="F21" i="36"/>
  <c r="C20" i="36"/>
  <c r="F20" i="36"/>
  <c r="C19" i="36"/>
  <c r="F19" i="36"/>
  <c r="C18" i="36"/>
  <c r="F18" i="36"/>
  <c r="C17" i="36"/>
  <c r="F17" i="36"/>
  <c r="Z19" i="3"/>
  <c r="Z21" i="3"/>
  <c r="C13" i="36"/>
  <c r="F13" i="36"/>
  <c r="C12" i="36"/>
  <c r="F12" i="36"/>
  <c r="C11" i="36"/>
  <c r="F11" i="36"/>
  <c r="C10" i="36"/>
  <c r="F10" i="36"/>
  <c r="C9" i="36"/>
  <c r="F9" i="36"/>
  <c r="C8" i="36"/>
  <c r="F8" i="36"/>
  <c r="G25" i="3"/>
  <c r="F25" i="3"/>
  <c r="E25" i="3"/>
  <c r="D25" i="3"/>
  <c r="G24" i="3"/>
  <c r="F24" i="3"/>
  <c r="E24" i="3"/>
  <c r="D24" i="3"/>
  <c r="G23" i="3"/>
  <c r="F23" i="3"/>
  <c r="E23" i="3"/>
  <c r="D23" i="3"/>
  <c r="G22" i="3"/>
  <c r="F22" i="3"/>
  <c r="E22" i="3"/>
  <c r="D22" i="3"/>
  <c r="H21" i="3"/>
  <c r="G21" i="3"/>
  <c r="F21" i="3"/>
  <c r="E21" i="3"/>
  <c r="D21" i="3"/>
  <c r="G20" i="3"/>
  <c r="F20" i="3"/>
  <c r="E20" i="3"/>
  <c r="D20" i="3"/>
  <c r="G19" i="3"/>
  <c r="F19" i="3"/>
  <c r="E19" i="3"/>
  <c r="D19" i="3"/>
  <c r="I18" i="3"/>
  <c r="G18" i="3"/>
  <c r="F18" i="3"/>
  <c r="E18" i="3"/>
  <c r="D18" i="3"/>
  <c r="G17" i="3"/>
  <c r="F17" i="3"/>
  <c r="E17" i="3"/>
  <c r="D17" i="3"/>
  <c r="B18" i="40" a="1"/>
  <c r="B18" i="40"/>
  <c r="D18" i="40"/>
  <c r="B17" i="40" a="1"/>
  <c r="B17" i="40"/>
  <c r="D17" i="40"/>
  <c r="B16" i="40" a="1"/>
  <c r="B16" i="40"/>
  <c r="D16" i="40"/>
  <c r="B15" i="40" a="1"/>
  <c r="B15" i="40"/>
  <c r="D15" i="40"/>
  <c r="B14" i="40" a="1"/>
  <c r="B14" i="40"/>
  <c r="D14" i="40"/>
  <c r="B13" i="40" a="1"/>
  <c r="B13" i="40"/>
  <c r="D13" i="40"/>
  <c r="C13" i="40" a="1"/>
  <c r="C13" i="40"/>
  <c r="C14" i="40" a="1"/>
  <c r="C14" i="40"/>
  <c r="C15" i="40" a="1"/>
  <c r="C15" i="40"/>
  <c r="C16" i="40" a="1"/>
  <c r="C16" i="40"/>
  <c r="C17" i="40" a="1"/>
  <c r="C17" i="40"/>
  <c r="C18" i="40" a="1"/>
  <c r="C18" i="40"/>
  <c r="B47" i="40" a="1"/>
  <c r="B47" i="40"/>
  <c r="C47" i="40" a="1"/>
  <c r="C47" i="40"/>
  <c r="I50" i="40"/>
  <c r="S18" i="22"/>
  <c r="B24" i="40" a="1"/>
  <c r="B24" i="40"/>
  <c r="C24" i="40" a="1"/>
  <c r="C24" i="40"/>
  <c r="B25" i="40" a="1"/>
  <c r="B25" i="40"/>
  <c r="C25" i="40" a="1"/>
  <c r="C25" i="40"/>
  <c r="B26" i="40" a="1"/>
  <c r="B26" i="40"/>
  <c r="C26" i="40" a="1"/>
  <c r="C26" i="40"/>
  <c r="B27" i="40" a="1"/>
  <c r="B27" i="40"/>
  <c r="C27" i="40" a="1"/>
  <c r="C27" i="40"/>
  <c r="B28" i="40" a="1"/>
  <c r="B28" i="40"/>
  <c r="C28" i="40" a="1"/>
  <c r="C28" i="40"/>
  <c r="B29" i="40" a="1"/>
  <c r="B29" i="40"/>
  <c r="C29" i="40" a="1"/>
  <c r="C29" i="40"/>
  <c r="B30" i="40" a="1"/>
  <c r="B30" i="40"/>
  <c r="C30" i="40" a="1"/>
  <c r="C30" i="40"/>
  <c r="B31" i="40" a="1"/>
  <c r="B31" i="40"/>
  <c r="C31" i="40" a="1"/>
  <c r="C31" i="40"/>
  <c r="B32" i="40" a="1"/>
  <c r="B32" i="40"/>
  <c r="C32" i="40" a="1"/>
  <c r="C32" i="40"/>
  <c r="B33" i="40" a="1"/>
  <c r="B33" i="40"/>
  <c r="C33" i="40" a="1"/>
  <c r="C33" i="40"/>
  <c r="B34" i="40" a="1"/>
  <c r="B34" i="40"/>
  <c r="C34" i="40" a="1"/>
  <c r="C34" i="40"/>
  <c r="B35" i="40" a="1"/>
  <c r="B35" i="40"/>
  <c r="C35" i="40" a="1"/>
  <c r="C35" i="40"/>
  <c r="B36" i="40" a="1"/>
  <c r="B36" i="40"/>
  <c r="C36" i="40" a="1"/>
  <c r="C36" i="40"/>
  <c r="B37" i="40" a="1"/>
  <c r="B37" i="40"/>
  <c r="C37" i="40" a="1"/>
  <c r="C37" i="40"/>
  <c r="B38" i="40" a="1"/>
  <c r="B38" i="40"/>
  <c r="C38" i="40" a="1"/>
  <c r="C38" i="40"/>
  <c r="B39" i="40" a="1"/>
  <c r="B39" i="40"/>
  <c r="C39" i="40" a="1"/>
  <c r="C39" i="40"/>
  <c r="B40" i="40" a="1"/>
  <c r="B40" i="40"/>
  <c r="C40" i="40" a="1"/>
  <c r="C40" i="40"/>
  <c r="B41" i="40" a="1"/>
  <c r="B41" i="40"/>
  <c r="C41" i="40" a="1"/>
  <c r="C41" i="40"/>
  <c r="B42" i="40" a="1"/>
  <c r="B42" i="40"/>
  <c r="C42" i="40" a="1"/>
  <c r="C42" i="40"/>
  <c r="B43" i="40" a="1"/>
  <c r="B43" i="40"/>
  <c r="C43" i="40" a="1"/>
  <c r="C43" i="40"/>
  <c r="B44" i="40" a="1"/>
  <c r="B44" i="40"/>
  <c r="C44" i="40" a="1"/>
  <c r="C44" i="40"/>
  <c r="B45" i="40" a="1"/>
  <c r="B45" i="40"/>
  <c r="C45" i="40" a="1"/>
  <c r="C45" i="40"/>
  <c r="B46" i="40" a="1"/>
  <c r="B46" i="40"/>
  <c r="C46" i="40" a="1"/>
  <c r="C46" i="40"/>
  <c r="B22" i="40" a="1"/>
  <c r="B22" i="40"/>
  <c r="C22" i="40" a="1"/>
  <c r="C22" i="40"/>
  <c r="B21" i="40" a="1"/>
  <c r="B21" i="40"/>
  <c r="C21" i="40" a="1"/>
  <c r="C21" i="40"/>
  <c r="B20" i="40" a="1"/>
  <c r="B20" i="40"/>
  <c r="C20" i="40" a="1"/>
  <c r="C20" i="40"/>
  <c r="B19" i="40" a="1"/>
  <c r="B19" i="40"/>
  <c r="C19" i="40" a="1"/>
  <c r="C19" i="40"/>
  <c r="C44" i="21" a="1"/>
  <c r="C44" i="21"/>
  <c r="D44" i="21" a="1"/>
  <c r="D44" i="21"/>
  <c r="D47" i="21"/>
  <c r="D50" i="21"/>
  <c r="J52" i="21"/>
  <c r="S15" i="22"/>
  <c r="D14" i="21"/>
  <c r="D15" i="21"/>
  <c r="D16" i="21"/>
  <c r="D17" i="21"/>
  <c r="D18" i="21"/>
  <c r="D19" i="21"/>
  <c r="D20" i="21"/>
  <c r="D21" i="21"/>
  <c r="D22" i="21"/>
  <c r="D23" i="21"/>
  <c r="C27" i="21" a="1"/>
  <c r="C27" i="21"/>
  <c r="D27" i="21" a="1"/>
  <c r="D27" i="21"/>
  <c r="C28" i="21" a="1"/>
  <c r="C28" i="21"/>
  <c r="D28" i="21" a="1"/>
  <c r="D28" i="21"/>
  <c r="C31" i="21" a="1"/>
  <c r="C31" i="21"/>
  <c r="D31" i="21" a="1"/>
  <c r="D31" i="21"/>
  <c r="C32" i="21" a="1"/>
  <c r="C32" i="21"/>
  <c r="D32" i="21" a="1"/>
  <c r="D32" i="21"/>
  <c r="C35" i="21" a="1"/>
  <c r="C35" i="21"/>
  <c r="D35" i="21" a="1"/>
  <c r="D35" i="21"/>
  <c r="C36" i="21" a="1"/>
  <c r="C36" i="21"/>
  <c r="D36" i="21" a="1"/>
  <c r="D36" i="21"/>
  <c r="C39" i="21" a="1"/>
  <c r="C39" i="21"/>
  <c r="D39" i="21" a="1"/>
  <c r="D39" i="21"/>
  <c r="C40" i="21" a="1"/>
  <c r="C40" i="21"/>
  <c r="D40" i="21" a="1"/>
  <c r="D40" i="21"/>
  <c r="C43" i="21" a="1"/>
  <c r="C43" i="21"/>
  <c r="D43" i="21" a="1"/>
  <c r="D43" i="21"/>
  <c r="C14" i="24" a="1"/>
  <c r="C14" i="24"/>
  <c r="D14" i="24" a="1"/>
  <c r="D14" i="24"/>
  <c r="C15" i="24" a="1"/>
  <c r="C15" i="24"/>
  <c r="D15" i="24" a="1"/>
  <c r="D15" i="24"/>
  <c r="D17" i="24"/>
  <c r="D18" i="24"/>
  <c r="D20" i="24"/>
  <c r="D21" i="24"/>
  <c r="K23" i="24"/>
  <c r="S16" i="22"/>
  <c r="B23" i="40" a="1"/>
  <c r="B23" i="40"/>
  <c r="C23" i="40" a="1"/>
  <c r="C23" i="40"/>
  <c r="Y52" i="21"/>
  <c r="Y45" i="21"/>
  <c r="Y38" i="21"/>
  <c r="Y31" i="21"/>
  <c r="Y24" i="21"/>
  <c r="D23" i="40"/>
  <c r="C17" i="24" a="1"/>
  <c r="C17" i="24"/>
  <c r="C20" i="24"/>
  <c r="C18" i="24"/>
  <c r="C21" i="24"/>
  <c r="E15" i="24"/>
  <c r="E14" i="24"/>
  <c r="C47" i="21" a="1"/>
  <c r="C47" i="21"/>
  <c r="C50" i="21"/>
  <c r="E44" i="21"/>
  <c r="E43" i="21"/>
  <c r="E40" i="21"/>
  <c r="E39" i="21"/>
  <c r="E36" i="21"/>
  <c r="E35" i="21"/>
  <c r="E32" i="21"/>
  <c r="E31" i="21"/>
  <c r="E28" i="21"/>
  <c r="E27" i="21"/>
  <c r="D19" i="40"/>
  <c r="D20" i="40"/>
  <c r="D21" i="40"/>
  <c r="D22" i="40"/>
  <c r="D47" i="40"/>
  <c r="D46" i="40"/>
  <c r="D45" i="40"/>
  <c r="D44" i="40"/>
  <c r="D43" i="40"/>
  <c r="D42" i="40"/>
  <c r="D41" i="40"/>
  <c r="D40" i="40"/>
  <c r="D39" i="40"/>
  <c r="D38" i="40"/>
  <c r="D37" i="40"/>
  <c r="D36" i="40"/>
  <c r="D35" i="40"/>
  <c r="D34" i="40"/>
  <c r="D33" i="40"/>
  <c r="D32" i="40"/>
  <c r="D31" i="40"/>
  <c r="D30" i="40"/>
  <c r="D29" i="40"/>
  <c r="D28" i="40"/>
  <c r="D27" i="40"/>
  <c r="D26" i="40"/>
  <c r="D25" i="40"/>
  <c r="D24" i="40"/>
  <c r="I55" i="21"/>
  <c r="I56" i="21"/>
  <c r="I57" i="21"/>
  <c r="I58" i="21"/>
  <c r="I60" i="21"/>
  <c r="I62" i="21"/>
  <c r="I64" i="21"/>
  <c r="I66" i="21"/>
  <c r="I68" i="21"/>
  <c r="I70" i="21"/>
  <c r="I72" i="21"/>
  <c r="I74" i="21"/>
  <c r="I76" i="21"/>
  <c r="I78" i="21"/>
  <c r="I59" i="21"/>
  <c r="I61" i="21"/>
  <c r="I63" i="21"/>
  <c r="I65" i="21"/>
  <c r="I67" i="21"/>
  <c r="I69" i="21"/>
  <c r="I71" i="21"/>
  <c r="I73" i="21"/>
  <c r="I75" i="21"/>
  <c r="I77" i="21"/>
  <c r="D13" i="21"/>
  <c r="C13" i="24" a="1"/>
  <c r="C13" i="24"/>
  <c r="D13" i="24" a="1"/>
  <c r="D13" i="24"/>
  <c r="E13" i="24"/>
  <c r="S12" i="6"/>
  <c r="T12" i="6"/>
  <c r="U12" i="6"/>
  <c r="Z12" i="6"/>
  <c r="AB12" i="6"/>
  <c r="S13" i="6"/>
  <c r="T13" i="6"/>
  <c r="U13" i="6"/>
  <c r="V13" i="6"/>
  <c r="Z13" i="6"/>
  <c r="AB13" i="6"/>
  <c r="S14" i="6"/>
  <c r="T14" i="6"/>
  <c r="U14" i="6"/>
  <c r="V14" i="6"/>
  <c r="Z14" i="6"/>
  <c r="AB14" i="6"/>
  <c r="S15" i="6"/>
  <c r="T15" i="6"/>
  <c r="U15" i="6"/>
  <c r="V15" i="6"/>
  <c r="Z15" i="6"/>
  <c r="AB15" i="6"/>
  <c r="S16" i="6"/>
  <c r="T16" i="6"/>
  <c r="U16" i="6"/>
  <c r="Z16" i="6"/>
  <c r="AB16" i="6"/>
  <c r="S17" i="6"/>
  <c r="T17" i="6"/>
  <c r="U17" i="6"/>
  <c r="V17" i="6"/>
  <c r="Z17" i="6"/>
  <c r="AB17" i="6"/>
  <c r="AE10" i="6"/>
  <c r="AJ10" i="6"/>
  <c r="AI10" i="6"/>
  <c r="AH10" i="6"/>
  <c r="AG10" i="6"/>
  <c r="AF10" i="6"/>
  <c r="AK12" i="6"/>
  <c r="AK17" i="6"/>
  <c r="AK16" i="6"/>
  <c r="AK15" i="6"/>
  <c r="AK14" i="6"/>
  <c r="AK13" i="6"/>
  <c r="Q12" i="6"/>
  <c r="Q13" i="6"/>
  <c r="Q14" i="6"/>
  <c r="Q15" i="6"/>
  <c r="Q16" i="6"/>
  <c r="Q17" i="6"/>
  <c r="V12" i="6"/>
  <c r="V16" i="6"/>
  <c r="G7" i="36"/>
  <c r="G6" i="36"/>
  <c r="H7" i="36"/>
  <c r="H6" i="36"/>
  <c r="I7" i="36"/>
  <c r="I6" i="36"/>
  <c r="J7" i="36"/>
  <c r="J6" i="36"/>
  <c r="K7" i="36"/>
  <c r="K6" i="36"/>
  <c r="L7" i="36"/>
  <c r="L6" i="36"/>
  <c r="M8" i="36"/>
  <c r="M9" i="36"/>
  <c r="M10" i="36"/>
  <c r="M11" i="36"/>
  <c r="M12" i="36"/>
  <c r="M13" i="36"/>
  <c r="G16" i="36"/>
  <c r="G15" i="36"/>
  <c r="H16" i="36"/>
  <c r="H15" i="36"/>
  <c r="I16" i="36"/>
  <c r="I15" i="36"/>
  <c r="J16" i="36"/>
  <c r="J15" i="36"/>
  <c r="K16" i="36"/>
  <c r="K15" i="36"/>
  <c r="L16" i="36"/>
  <c r="L15" i="36"/>
  <c r="M17" i="36"/>
  <c r="M18" i="36"/>
  <c r="M19" i="36"/>
  <c r="M20" i="36"/>
  <c r="M21" i="36"/>
  <c r="M22" i="36"/>
  <c r="G25" i="36"/>
  <c r="G24" i="36"/>
  <c r="H25" i="36"/>
  <c r="H24" i="36"/>
  <c r="I25" i="36"/>
  <c r="I24" i="36"/>
  <c r="J25" i="36"/>
  <c r="J24" i="36"/>
  <c r="K25" i="36"/>
  <c r="K24" i="36"/>
  <c r="L25" i="36"/>
  <c r="L24" i="36"/>
  <c r="M26" i="36"/>
  <c r="M27" i="36"/>
  <c r="M28" i="36"/>
  <c r="M29" i="36"/>
  <c r="M30" i="36"/>
  <c r="M31" i="36"/>
  <c r="G34" i="36"/>
  <c r="G33" i="36"/>
  <c r="H34" i="36"/>
  <c r="H33" i="36"/>
  <c r="I34" i="36"/>
  <c r="I33" i="36"/>
  <c r="J34" i="36"/>
  <c r="J33" i="36"/>
  <c r="K34" i="36"/>
  <c r="K33" i="36"/>
  <c r="L34" i="36"/>
  <c r="L33" i="36"/>
  <c r="M35" i="36"/>
  <c r="M36" i="36"/>
  <c r="M37" i="36"/>
  <c r="M38" i="36"/>
  <c r="M39" i="36"/>
  <c r="M40" i="36"/>
  <c r="B8" i="36"/>
  <c r="D8" i="36"/>
  <c r="E8" i="36"/>
  <c r="H8" i="36"/>
  <c r="I8" i="36"/>
  <c r="J8" i="36"/>
  <c r="K8" i="36"/>
  <c r="L8" i="36"/>
  <c r="B9" i="36"/>
  <c r="D9" i="36"/>
  <c r="E9" i="36"/>
  <c r="G9" i="36"/>
  <c r="I9" i="36"/>
  <c r="J9" i="36"/>
  <c r="K9" i="36"/>
  <c r="L9" i="36"/>
  <c r="B10" i="36"/>
  <c r="D10" i="36"/>
  <c r="E10" i="36"/>
  <c r="G10" i="36"/>
  <c r="H10" i="36"/>
  <c r="J10" i="36"/>
  <c r="K10" i="36"/>
  <c r="L10" i="36"/>
  <c r="B11" i="36"/>
  <c r="D11" i="36"/>
  <c r="E11" i="36"/>
  <c r="G11" i="36"/>
  <c r="H11" i="36"/>
  <c r="I11" i="36"/>
  <c r="K11" i="36"/>
  <c r="L11" i="36"/>
  <c r="B12" i="36"/>
  <c r="D12" i="36"/>
  <c r="E12" i="36"/>
  <c r="G12" i="36"/>
  <c r="H12" i="36"/>
  <c r="I12" i="36"/>
  <c r="J12" i="36"/>
  <c r="L12" i="36"/>
  <c r="B13" i="36"/>
  <c r="D13" i="36"/>
  <c r="E13" i="36"/>
  <c r="G13" i="36"/>
  <c r="H13" i="36"/>
  <c r="I13" i="36"/>
  <c r="J13" i="36"/>
  <c r="K13" i="36"/>
  <c r="B17" i="36"/>
  <c r="D17" i="36"/>
  <c r="E17" i="36"/>
  <c r="H17" i="36"/>
  <c r="I17" i="36"/>
  <c r="J17" i="36"/>
  <c r="K17" i="36"/>
  <c r="L17" i="36"/>
  <c r="B18" i="36"/>
  <c r="D18" i="36"/>
  <c r="E18" i="36"/>
  <c r="G18" i="36"/>
  <c r="I18" i="36"/>
  <c r="J18" i="36"/>
  <c r="K18" i="36"/>
  <c r="L18" i="36"/>
  <c r="B19" i="36"/>
  <c r="D19" i="36"/>
  <c r="E19" i="36"/>
  <c r="G19" i="36"/>
  <c r="H19" i="36"/>
  <c r="J19" i="36"/>
  <c r="K19" i="36"/>
  <c r="L19" i="36"/>
  <c r="B20" i="36"/>
  <c r="D20" i="36"/>
  <c r="E20" i="36"/>
  <c r="G20" i="36"/>
  <c r="H20" i="36"/>
  <c r="I20" i="36"/>
  <c r="K20" i="36"/>
  <c r="L20" i="36"/>
  <c r="B21" i="36"/>
  <c r="D21" i="36"/>
  <c r="E21" i="36"/>
  <c r="G21" i="36"/>
  <c r="H21" i="36"/>
  <c r="I21" i="36"/>
  <c r="J21" i="36"/>
  <c r="L21" i="36"/>
  <c r="B22" i="36"/>
  <c r="D22" i="36"/>
  <c r="E22" i="36"/>
  <c r="G22" i="36"/>
  <c r="H22" i="36"/>
  <c r="I22" i="36"/>
  <c r="J22" i="36"/>
  <c r="K22" i="36"/>
  <c r="B26" i="36"/>
  <c r="D26" i="36"/>
  <c r="E26" i="36"/>
  <c r="H26" i="36"/>
  <c r="I26" i="36"/>
  <c r="J26" i="36"/>
  <c r="K26" i="36"/>
  <c r="L26" i="36"/>
  <c r="B27" i="36"/>
  <c r="D27" i="36"/>
  <c r="E27" i="36"/>
  <c r="G27" i="36"/>
  <c r="I27" i="36"/>
  <c r="J27" i="36"/>
  <c r="K27" i="36"/>
  <c r="L27" i="36"/>
  <c r="B28" i="36"/>
  <c r="D28" i="36"/>
  <c r="E28" i="36"/>
  <c r="G28" i="36"/>
  <c r="H28" i="36"/>
  <c r="J28" i="36"/>
  <c r="K28" i="36"/>
  <c r="L28" i="36"/>
  <c r="B29" i="36"/>
  <c r="D29" i="36"/>
  <c r="E29" i="36"/>
  <c r="G29" i="36"/>
  <c r="H29" i="36"/>
  <c r="I29" i="36"/>
  <c r="K29" i="36"/>
  <c r="L29" i="36"/>
  <c r="B30" i="36"/>
  <c r="D30" i="36"/>
  <c r="E30" i="36"/>
  <c r="G30" i="36"/>
  <c r="H30" i="36"/>
  <c r="I30" i="36"/>
  <c r="J30" i="36"/>
  <c r="L30" i="36"/>
  <c r="B31" i="36"/>
  <c r="D31" i="36"/>
  <c r="E31" i="36"/>
  <c r="G31" i="36"/>
  <c r="H31" i="36"/>
  <c r="I31" i="36"/>
  <c r="J31" i="36"/>
  <c r="K31" i="36"/>
  <c r="B35" i="36"/>
  <c r="D35" i="36"/>
  <c r="E35" i="36"/>
  <c r="H35" i="36"/>
  <c r="I35" i="36"/>
  <c r="J35" i="36"/>
  <c r="K35" i="36"/>
  <c r="L35" i="36"/>
  <c r="B36" i="36"/>
  <c r="D36" i="36"/>
  <c r="E36" i="36"/>
  <c r="G36" i="36"/>
  <c r="I36" i="36"/>
  <c r="J36" i="36"/>
  <c r="K36" i="36"/>
  <c r="L36" i="36"/>
  <c r="B37" i="36"/>
  <c r="D37" i="36"/>
  <c r="E37" i="36"/>
  <c r="G37" i="36"/>
  <c r="H37" i="36"/>
  <c r="J37" i="36"/>
  <c r="K37" i="36"/>
  <c r="L37" i="36"/>
  <c r="B38" i="36"/>
  <c r="D38" i="36"/>
  <c r="E38" i="36"/>
  <c r="G38" i="36"/>
  <c r="H38" i="36"/>
  <c r="I38" i="36"/>
  <c r="K38" i="36"/>
  <c r="L38" i="36"/>
  <c r="B39" i="36"/>
  <c r="D39" i="36"/>
  <c r="E39" i="36"/>
  <c r="G39" i="36"/>
  <c r="H39" i="36"/>
  <c r="I39" i="36"/>
  <c r="J39" i="36"/>
  <c r="L39" i="36"/>
  <c r="B40" i="36"/>
  <c r="D40" i="36"/>
  <c r="E40" i="36"/>
  <c r="G40" i="36"/>
  <c r="H40" i="36"/>
  <c r="I40" i="36"/>
  <c r="J40" i="36"/>
  <c r="K40" i="36"/>
  <c r="Z17" i="3"/>
  <c r="Z18" i="3"/>
  <c r="Z20" i="3"/>
  <c r="Z22" i="3"/>
  <c r="Z23" i="3"/>
  <c r="Z24" i="3"/>
  <c r="Z25" i="3"/>
  <c r="AG16" i="40" a="1"/>
  <c r="AG16" i="40"/>
  <c r="AG23" i="40" a="1"/>
  <c r="AG23" i="40"/>
  <c r="AG37" i="40" a="1"/>
  <c r="AG37" i="40"/>
  <c r="AG30" i="40" a="1"/>
  <c r="AG30" i="40"/>
  <c r="AG44" i="40" a="1"/>
  <c r="AG44" i="40"/>
  <c r="BT30" i="26"/>
  <c r="BS31" i="26"/>
  <c r="BT41" i="26"/>
  <c r="BU30" i="26"/>
  <c r="BS32" i="26"/>
  <c r="BU41" i="26"/>
  <c r="BV30" i="26"/>
  <c r="BS33" i="26"/>
  <c r="BV41" i="26"/>
  <c r="BS42" i="26"/>
  <c r="BU31" i="26"/>
  <c r="BT32" i="26"/>
  <c r="BU42" i="26"/>
  <c r="BV31" i="26"/>
  <c r="BT33" i="26"/>
  <c r="BV42" i="26"/>
  <c r="BS43" i="26"/>
  <c r="BT43" i="26"/>
  <c r="BV32" i="26"/>
  <c r="BU33" i="26"/>
  <c r="BV43" i="26"/>
  <c r="BS44" i="26"/>
  <c r="BT44" i="26"/>
  <c r="BU44" i="26"/>
  <c r="BT52" i="26"/>
  <c r="BU52" i="26"/>
  <c r="BV52" i="26"/>
  <c r="BS53" i="26"/>
  <c r="BU53" i="26"/>
  <c r="BV53" i="26"/>
  <c r="BS54" i="26"/>
  <c r="BT54" i="26"/>
  <c r="BV54" i="26"/>
  <c r="BS55" i="26"/>
  <c r="BT55" i="26"/>
  <c r="BU55" i="26"/>
  <c r="BT30" i="27"/>
  <c r="BS31" i="27"/>
  <c r="BT41" i="27"/>
  <c r="BU30" i="27"/>
  <c r="BS32" i="27"/>
  <c r="BU41" i="27"/>
  <c r="BV30" i="27"/>
  <c r="BS33" i="27"/>
  <c r="BV41" i="27"/>
  <c r="BS42" i="27"/>
  <c r="BU31" i="27"/>
  <c r="BT32" i="27"/>
  <c r="BU42" i="27"/>
  <c r="BV31" i="27"/>
  <c r="BT33" i="27"/>
  <c r="BV42" i="27"/>
  <c r="BS43" i="27"/>
  <c r="BT43" i="27"/>
  <c r="BV32" i="27"/>
  <c r="BU33" i="27"/>
  <c r="BV43" i="27"/>
  <c r="BS44" i="27"/>
  <c r="BT44" i="27"/>
  <c r="BU44" i="27"/>
  <c r="BT52" i="27"/>
  <c r="BU52" i="27"/>
  <c r="BV52" i="27"/>
  <c r="BS53" i="27"/>
  <c r="BU53" i="27"/>
  <c r="BV53" i="27"/>
  <c r="BS54" i="27"/>
  <c r="BT54" i="27"/>
  <c r="BV54" i="27"/>
  <c r="BS55" i="27"/>
  <c r="BT55" i="27"/>
  <c r="BU55" i="27"/>
  <c r="BT52" i="29"/>
  <c r="BU52" i="29"/>
  <c r="BV52" i="29"/>
  <c r="BS53" i="29"/>
  <c r="BU53" i="29"/>
  <c r="BV53" i="29"/>
  <c r="BS54" i="29"/>
  <c r="BT54" i="29"/>
  <c r="BV54" i="29"/>
  <c r="BS55" i="29"/>
  <c r="BT55" i="29"/>
  <c r="BU55" i="29"/>
  <c r="BT30" i="29"/>
  <c r="BS31" i="29"/>
  <c r="BT41" i="29"/>
  <c r="BU30" i="29"/>
  <c r="BS32" i="29"/>
  <c r="BU41" i="29"/>
  <c r="BV30" i="29"/>
  <c r="BS33" i="29"/>
  <c r="BV41" i="29"/>
  <c r="BS42" i="29"/>
  <c r="BU31" i="29"/>
  <c r="BT32" i="29"/>
  <c r="BU42" i="29"/>
  <c r="BV31" i="29"/>
  <c r="BT33" i="29"/>
  <c r="BV42" i="29"/>
  <c r="BS43" i="29"/>
  <c r="BT43" i="29"/>
  <c r="BV32" i="29"/>
  <c r="BU33" i="29"/>
  <c r="BV43" i="29"/>
  <c r="BS44" i="29"/>
  <c r="BT44" i="29"/>
  <c r="BU44" i="29"/>
  <c r="AF25" i="29"/>
  <c r="AF24" i="29"/>
  <c r="AF23" i="29"/>
  <c r="AF22" i="29"/>
  <c r="AF21" i="29"/>
  <c r="AF20" i="29"/>
  <c r="AF19" i="29"/>
  <c r="AF18" i="29"/>
  <c r="AF17" i="29"/>
  <c r="BT30" i="28"/>
  <c r="BS31" i="28"/>
  <c r="BT41" i="28"/>
  <c r="BU30" i="28"/>
  <c r="BS32" i="28"/>
  <c r="BU41" i="28"/>
  <c r="BV30" i="28"/>
  <c r="BS33" i="28"/>
  <c r="BV41" i="28"/>
  <c r="BS42" i="28"/>
  <c r="BU31" i="28"/>
  <c r="BT32" i="28"/>
  <c r="BU42" i="28"/>
  <c r="BV31" i="28"/>
  <c r="BT33" i="28"/>
  <c r="BV42" i="28"/>
  <c r="BS43" i="28"/>
  <c r="BT43" i="28"/>
  <c r="BV32" i="28"/>
  <c r="BU33" i="28"/>
  <c r="BV43" i="28"/>
  <c r="BS44" i="28"/>
  <c r="BT44" i="28"/>
  <c r="BU44" i="28"/>
  <c r="BT52" i="28"/>
  <c r="BU52" i="28"/>
  <c r="BV52" i="28"/>
  <c r="BS53" i="28"/>
  <c r="BU53" i="28"/>
  <c r="BV53" i="28"/>
  <c r="BS54" i="28"/>
  <c r="BT54" i="28"/>
  <c r="BV54" i="28"/>
  <c r="BS55" i="28"/>
  <c r="BT55" i="28"/>
  <c r="BU55" i="28"/>
  <c r="BT52" i="30"/>
  <c r="BU52" i="30"/>
  <c r="BV52" i="30"/>
  <c r="BS53" i="30"/>
  <c r="BU53" i="30"/>
  <c r="BV53" i="30"/>
  <c r="BS54" i="30"/>
  <c r="BT54" i="30"/>
  <c r="BV54" i="30"/>
  <c r="BS55" i="30"/>
  <c r="BT55" i="30"/>
  <c r="BU55" i="30"/>
  <c r="BT30" i="30"/>
  <c r="BS31" i="30"/>
  <c r="BT41" i="30"/>
  <c r="BU30" i="30"/>
  <c r="BS32" i="30"/>
  <c r="BU41" i="30"/>
  <c r="BV30" i="30"/>
  <c r="BS33" i="30"/>
  <c r="BV41" i="30"/>
  <c r="BS42" i="30"/>
  <c r="BU31" i="30"/>
  <c r="BT32" i="30"/>
  <c r="BU42" i="30"/>
  <c r="BV31" i="30"/>
  <c r="BT33" i="30"/>
  <c r="BV42" i="30"/>
  <c r="BS43" i="30"/>
  <c r="BT43" i="30"/>
  <c r="BV32" i="30"/>
  <c r="BU33" i="30"/>
  <c r="BV43" i="30"/>
  <c r="BS44" i="30"/>
  <c r="BT44" i="30"/>
  <c r="BU44" i="30"/>
  <c r="BU30" i="31"/>
  <c r="BS32" i="31"/>
  <c r="BU41" i="31"/>
  <c r="BV30" i="31"/>
  <c r="BS33" i="31"/>
  <c r="BV41" i="31"/>
  <c r="BU31" i="31"/>
  <c r="BT32" i="31"/>
  <c r="BU42" i="31"/>
  <c r="BV31" i="31"/>
  <c r="BT33" i="31"/>
  <c r="BV42" i="31"/>
  <c r="BS43" i="31"/>
  <c r="BT43" i="31"/>
  <c r="BV32" i="31"/>
  <c r="BU33" i="31"/>
  <c r="BV43" i="31"/>
  <c r="BS44" i="31"/>
  <c r="BT44" i="31"/>
  <c r="BU44" i="31"/>
  <c r="BU52" i="31"/>
  <c r="BV52" i="31"/>
  <c r="BU53" i="31"/>
  <c r="BV53" i="31"/>
  <c r="BS54" i="31"/>
  <c r="BT54" i="31"/>
  <c r="BV54" i="31"/>
  <c r="BS55" i="31"/>
  <c r="BT55" i="31"/>
  <c r="BU55" i="31"/>
  <c r="BP49" i="31" a="1"/>
  <c r="BP49" i="31"/>
  <c r="BO49" i="31" a="1"/>
  <c r="BO49" i="31"/>
  <c r="BN49" i="31" a="1"/>
  <c r="BN49" i="31"/>
  <c r="BM49" i="31" a="1"/>
  <c r="BM49" i="31"/>
  <c r="BL49" i="31" a="1"/>
  <c r="BL49" i="31"/>
  <c r="BH49" i="31" a="1"/>
  <c r="BH49" i="31"/>
  <c r="BG49" i="31" a="1"/>
  <c r="BG49" i="31"/>
  <c r="BF49" i="31" a="1"/>
  <c r="BF49" i="31"/>
  <c r="BE49" i="31" a="1"/>
  <c r="BE49" i="31"/>
  <c r="AZ49" i="31" a="1"/>
  <c r="AZ49" i="31"/>
  <c r="AY49" i="31" a="1"/>
  <c r="AY49" i="31"/>
  <c r="AX49" i="31" a="1"/>
  <c r="AX49" i="31"/>
  <c r="AW49" i="31" a="1"/>
  <c r="AW49" i="31"/>
  <c r="AR49" i="31" a="1"/>
  <c r="AR49" i="31"/>
  <c r="AQ49" i="31" a="1"/>
  <c r="AQ49" i="31"/>
  <c r="AP49" i="31" a="1"/>
  <c r="AP49" i="31"/>
  <c r="AO49" i="31" a="1"/>
  <c r="AO49" i="31"/>
  <c r="AJ49" i="31" a="1"/>
  <c r="AJ49" i="31"/>
  <c r="AI49" i="31" a="1"/>
  <c r="AI49" i="31"/>
  <c r="AH49" i="31" a="1"/>
  <c r="AH49" i="31"/>
  <c r="AG49" i="31" a="1"/>
  <c r="AG49" i="31"/>
  <c r="AB49" i="31" a="1"/>
  <c r="AB49" i="31"/>
  <c r="AA49" i="31" a="1"/>
  <c r="AA49" i="31"/>
  <c r="Z49" i="31" a="1"/>
  <c r="Z49" i="31"/>
  <c r="Y49" i="31" a="1"/>
  <c r="Y49" i="31"/>
  <c r="T49" i="31" a="1"/>
  <c r="T49" i="31"/>
  <c r="S49" i="31" a="1"/>
  <c r="S49" i="31"/>
  <c r="R49" i="31" a="1"/>
  <c r="R49" i="31"/>
  <c r="Q49" i="31" a="1"/>
  <c r="Q49" i="31"/>
  <c r="L49" i="31" a="1"/>
  <c r="L49" i="31"/>
  <c r="K49" i="31" a="1"/>
  <c r="K49" i="31"/>
  <c r="J49" i="31" a="1"/>
  <c r="J49" i="31"/>
  <c r="I49" i="31" a="1"/>
  <c r="I49" i="31"/>
  <c r="BP48" i="31" a="1"/>
  <c r="BP48" i="31"/>
  <c r="BO48" i="31" a="1"/>
  <c r="BO48" i="31"/>
  <c r="BN48" i="31" a="1"/>
  <c r="BN48" i="31"/>
  <c r="BM48" i="31" a="1"/>
  <c r="BM48" i="31"/>
  <c r="BL48" i="31" a="1"/>
  <c r="BL48" i="31"/>
  <c r="BH48" i="31" a="1"/>
  <c r="BH48" i="31"/>
  <c r="BG48" i="31" a="1"/>
  <c r="BG48" i="31"/>
  <c r="BF48" i="31" a="1"/>
  <c r="BF48" i="31"/>
  <c r="BE48" i="31" a="1"/>
  <c r="BE48" i="31"/>
  <c r="AZ48" i="31" a="1"/>
  <c r="AZ48" i="31"/>
  <c r="AY48" i="31" a="1"/>
  <c r="AY48" i="31"/>
  <c r="AX48" i="31" a="1"/>
  <c r="AX48" i="31"/>
  <c r="AW48" i="31" a="1"/>
  <c r="AW48" i="31"/>
  <c r="AR48" i="31" a="1"/>
  <c r="AR48" i="31"/>
  <c r="AQ48" i="31" a="1"/>
  <c r="AQ48" i="31"/>
  <c r="AP48" i="31" a="1"/>
  <c r="AP48" i="31"/>
  <c r="AO48" i="31" a="1"/>
  <c r="AO48" i="31"/>
  <c r="AJ48" i="31" a="1"/>
  <c r="AJ48" i="31"/>
  <c r="AI48" i="31" a="1"/>
  <c r="AI48" i="31"/>
  <c r="AH48" i="31" a="1"/>
  <c r="AH48" i="31"/>
  <c r="AG48" i="31" a="1"/>
  <c r="AG48" i="31"/>
  <c r="AB48" i="31" a="1"/>
  <c r="AB48" i="31"/>
  <c r="AA48" i="31" a="1"/>
  <c r="AA48" i="31"/>
  <c r="Z48" i="31" a="1"/>
  <c r="Z48" i="31"/>
  <c r="Y48" i="31" a="1"/>
  <c r="Y48" i="31"/>
  <c r="T48" i="31" a="1"/>
  <c r="T48" i="31"/>
  <c r="S48" i="31" a="1"/>
  <c r="S48" i="31"/>
  <c r="R48" i="31" a="1"/>
  <c r="R48" i="31"/>
  <c r="Q48" i="31" a="1"/>
  <c r="Q48" i="31"/>
  <c r="L48" i="31" a="1"/>
  <c r="L48" i="31"/>
  <c r="K48" i="31" a="1"/>
  <c r="K48" i="31"/>
  <c r="J48" i="31" a="1"/>
  <c r="J48" i="31"/>
  <c r="I48" i="31" a="1"/>
  <c r="I48" i="31"/>
  <c r="BP47" i="31" a="1"/>
  <c r="BP47" i="31"/>
  <c r="BO47" i="31" a="1"/>
  <c r="BO47" i="31"/>
  <c r="BN47" i="31" a="1"/>
  <c r="BN47" i="31"/>
  <c r="BM47" i="31" a="1"/>
  <c r="BM47" i="31"/>
  <c r="BL47" i="31" a="1"/>
  <c r="BL47" i="31"/>
  <c r="BH47" i="31" a="1"/>
  <c r="BH47" i="31"/>
  <c r="BG47" i="31" a="1"/>
  <c r="BG47" i="31"/>
  <c r="BF47" i="31" a="1"/>
  <c r="BF47" i="31"/>
  <c r="BE47" i="31" a="1"/>
  <c r="BE47" i="31"/>
  <c r="AZ47" i="31" a="1"/>
  <c r="AZ47" i="31"/>
  <c r="AY47" i="31" a="1"/>
  <c r="AY47" i="31"/>
  <c r="AX47" i="31" a="1"/>
  <c r="AX47" i="31"/>
  <c r="AW47" i="31" a="1"/>
  <c r="AW47" i="31"/>
  <c r="AR47" i="31" a="1"/>
  <c r="AR47" i="31"/>
  <c r="AQ47" i="31" a="1"/>
  <c r="AQ47" i="31"/>
  <c r="AP47" i="31" a="1"/>
  <c r="AP47" i="31"/>
  <c r="AO47" i="31" a="1"/>
  <c r="AO47" i="31"/>
  <c r="AJ47" i="31" a="1"/>
  <c r="AJ47" i="31"/>
  <c r="AI47" i="31" a="1"/>
  <c r="AI47" i="31"/>
  <c r="AH47" i="31" a="1"/>
  <c r="AH47" i="31"/>
  <c r="AG47" i="31" a="1"/>
  <c r="AG47" i="31"/>
  <c r="AB47" i="31" a="1"/>
  <c r="AB47" i="31"/>
  <c r="AA47" i="31" a="1"/>
  <c r="AA47" i="31"/>
  <c r="Z47" i="31" a="1"/>
  <c r="Z47" i="31"/>
  <c r="Y47" i="31" a="1"/>
  <c r="Y47" i="31"/>
  <c r="T47" i="31" a="1"/>
  <c r="T47" i="31"/>
  <c r="S47" i="31" a="1"/>
  <c r="S47" i="31"/>
  <c r="R47" i="31" a="1"/>
  <c r="R47" i="31"/>
  <c r="Q47" i="31" a="1"/>
  <c r="Q47" i="31"/>
  <c r="L47" i="31" a="1"/>
  <c r="L47" i="31"/>
  <c r="K47" i="31" a="1"/>
  <c r="K47" i="31"/>
  <c r="J47" i="31" a="1"/>
  <c r="J47" i="31"/>
  <c r="I47" i="31" a="1"/>
  <c r="I47" i="31"/>
  <c r="BP46" i="31" a="1"/>
  <c r="BP46" i="31"/>
  <c r="BO46" i="31" a="1"/>
  <c r="BO46" i="31"/>
  <c r="BN46" i="31" a="1"/>
  <c r="BN46" i="31"/>
  <c r="BM46" i="31" a="1"/>
  <c r="BM46" i="31"/>
  <c r="BL46" i="31" a="1"/>
  <c r="BL46" i="31"/>
  <c r="BH46" i="31" a="1"/>
  <c r="BH46" i="31"/>
  <c r="BG46" i="31" a="1"/>
  <c r="BG46" i="31"/>
  <c r="BF46" i="31" a="1"/>
  <c r="BF46" i="31"/>
  <c r="BE46" i="31" a="1"/>
  <c r="BE46" i="31"/>
  <c r="AZ46" i="31" a="1"/>
  <c r="AZ46" i="31"/>
  <c r="AY46" i="31" a="1"/>
  <c r="AY46" i="31"/>
  <c r="AX46" i="31" a="1"/>
  <c r="AX46" i="31"/>
  <c r="AW46" i="31" a="1"/>
  <c r="AW46" i="31"/>
  <c r="AR46" i="31" a="1"/>
  <c r="AR46" i="31"/>
  <c r="AQ46" i="31" a="1"/>
  <c r="AQ46" i="31"/>
  <c r="AP46" i="31" a="1"/>
  <c r="AP46" i="31"/>
  <c r="AO46" i="31" a="1"/>
  <c r="AO46" i="31"/>
  <c r="AJ46" i="31" a="1"/>
  <c r="AJ46" i="31"/>
  <c r="AI46" i="31" a="1"/>
  <c r="AI46" i="31"/>
  <c r="AH46" i="31" a="1"/>
  <c r="AH46" i="31"/>
  <c r="AG46" i="31" a="1"/>
  <c r="AG46" i="31"/>
  <c r="AB46" i="31" a="1"/>
  <c r="AB46" i="31"/>
  <c r="AA46" i="31" a="1"/>
  <c r="AA46" i="31"/>
  <c r="Z46" i="31" a="1"/>
  <c r="Z46" i="31"/>
  <c r="Y46" i="31" a="1"/>
  <c r="Y46" i="31"/>
  <c r="T46" i="31" a="1"/>
  <c r="T46" i="31"/>
  <c r="S46" i="31" a="1"/>
  <c r="S46" i="31"/>
  <c r="R46" i="31" a="1"/>
  <c r="R46" i="31"/>
  <c r="Q46" i="31" a="1"/>
  <c r="Q46" i="31"/>
  <c r="L46" i="31" a="1"/>
  <c r="L46" i="31"/>
  <c r="K46" i="31" a="1"/>
  <c r="K46" i="31"/>
  <c r="J46" i="31" a="1"/>
  <c r="J46" i="31"/>
  <c r="I46" i="31" a="1"/>
  <c r="I46" i="31"/>
  <c r="BP45" i="31" a="1"/>
  <c r="BP45" i="31"/>
  <c r="BO45" i="31" a="1"/>
  <c r="BO45" i="31"/>
  <c r="BN45" i="31" a="1"/>
  <c r="BN45" i="31"/>
  <c r="BM45" i="31" a="1"/>
  <c r="BM45" i="31"/>
  <c r="BL45" i="31" a="1"/>
  <c r="BL45" i="31"/>
  <c r="BH45" i="31" a="1"/>
  <c r="BH45" i="31"/>
  <c r="BG45" i="31" a="1"/>
  <c r="BG45" i="31"/>
  <c r="BF45" i="31" a="1"/>
  <c r="BF45" i="31"/>
  <c r="BE45" i="31" a="1"/>
  <c r="BE45" i="31"/>
  <c r="AZ45" i="31" a="1"/>
  <c r="AZ45" i="31"/>
  <c r="AY45" i="31" a="1"/>
  <c r="AY45" i="31"/>
  <c r="AX45" i="31" a="1"/>
  <c r="AX45" i="31"/>
  <c r="AW45" i="31" a="1"/>
  <c r="AW45" i="31"/>
  <c r="AR45" i="31" a="1"/>
  <c r="AR45" i="31"/>
  <c r="AQ45" i="31" a="1"/>
  <c r="AQ45" i="31"/>
  <c r="AP45" i="31" a="1"/>
  <c r="AP45" i="31"/>
  <c r="AO45" i="31" a="1"/>
  <c r="AO45" i="31"/>
  <c r="AJ45" i="31" a="1"/>
  <c r="AJ45" i="31"/>
  <c r="AI45" i="31" a="1"/>
  <c r="AI45" i="31"/>
  <c r="AH45" i="31" a="1"/>
  <c r="AH45" i="31"/>
  <c r="AG45" i="31" a="1"/>
  <c r="AG45" i="31"/>
  <c r="AB45" i="31" a="1"/>
  <c r="AB45" i="31"/>
  <c r="AA45" i="31" a="1"/>
  <c r="AA45" i="31"/>
  <c r="Z45" i="31" a="1"/>
  <c r="Z45" i="31"/>
  <c r="Y45" i="31" a="1"/>
  <c r="Y45" i="31"/>
  <c r="T45" i="31" a="1"/>
  <c r="T45" i="31"/>
  <c r="S45" i="31" a="1"/>
  <c r="S45" i="31"/>
  <c r="R45" i="31" a="1"/>
  <c r="R45" i="31"/>
  <c r="Q45" i="31" a="1"/>
  <c r="Q45" i="31"/>
  <c r="L45" i="31" a="1"/>
  <c r="L45" i="31"/>
  <c r="K45" i="31" a="1"/>
  <c r="K45" i="31"/>
  <c r="J45" i="31" a="1"/>
  <c r="J45" i="31"/>
  <c r="I45" i="31" a="1"/>
  <c r="I45" i="31"/>
  <c r="BP49" i="30" a="1"/>
  <c r="BP49" i="30"/>
  <c r="BO49" i="30" a="1"/>
  <c r="BO49" i="30"/>
  <c r="BN49" i="30" a="1"/>
  <c r="BN49" i="30"/>
  <c r="BM49" i="30" a="1"/>
  <c r="BM49" i="30"/>
  <c r="BL49" i="30" a="1"/>
  <c r="BL49" i="30"/>
  <c r="BH49" i="30" a="1"/>
  <c r="BH49" i="30"/>
  <c r="BG49" i="30" a="1"/>
  <c r="BG49" i="30"/>
  <c r="BF49" i="30" a="1"/>
  <c r="BF49" i="30"/>
  <c r="BE49" i="30" a="1"/>
  <c r="BE49" i="30"/>
  <c r="AZ49" i="30" a="1"/>
  <c r="AZ49" i="30"/>
  <c r="AY49" i="30" a="1"/>
  <c r="AY49" i="30"/>
  <c r="AX49" i="30" a="1"/>
  <c r="AX49" i="30"/>
  <c r="AW49" i="30" a="1"/>
  <c r="AW49" i="30"/>
  <c r="AR49" i="30" a="1"/>
  <c r="AR49" i="30"/>
  <c r="AQ49" i="30" a="1"/>
  <c r="AQ49" i="30"/>
  <c r="AP49" i="30" a="1"/>
  <c r="AP49" i="30"/>
  <c r="AO49" i="30" a="1"/>
  <c r="AO49" i="30"/>
  <c r="AJ49" i="30" a="1"/>
  <c r="AJ49" i="30"/>
  <c r="AI49" i="30" a="1"/>
  <c r="AI49" i="30"/>
  <c r="AH49" i="30" a="1"/>
  <c r="AH49" i="30"/>
  <c r="AG49" i="30" a="1"/>
  <c r="AG49" i="30"/>
  <c r="AB49" i="30" a="1"/>
  <c r="AB49" i="30"/>
  <c r="AA49" i="30" a="1"/>
  <c r="AA49" i="30"/>
  <c r="Z49" i="30" a="1"/>
  <c r="Z49" i="30"/>
  <c r="Y49" i="30" a="1"/>
  <c r="Y49" i="30"/>
  <c r="T49" i="30" a="1"/>
  <c r="T49" i="30"/>
  <c r="S49" i="30" a="1"/>
  <c r="S49" i="30"/>
  <c r="R49" i="30" a="1"/>
  <c r="R49" i="30"/>
  <c r="Q49" i="30" a="1"/>
  <c r="Q49" i="30"/>
  <c r="L49" i="30" a="1"/>
  <c r="L49" i="30"/>
  <c r="K49" i="30" a="1"/>
  <c r="K49" i="30"/>
  <c r="J49" i="30" a="1"/>
  <c r="J49" i="30"/>
  <c r="I49" i="30" a="1"/>
  <c r="I49" i="30"/>
  <c r="BP48" i="30" a="1"/>
  <c r="BP48" i="30"/>
  <c r="BO48" i="30" a="1"/>
  <c r="BO48" i="30"/>
  <c r="BN48" i="30" a="1"/>
  <c r="BN48" i="30"/>
  <c r="BM48" i="30" a="1"/>
  <c r="BM48" i="30"/>
  <c r="BL48" i="30" a="1"/>
  <c r="BL48" i="30"/>
  <c r="BH48" i="30" a="1"/>
  <c r="BH48" i="30"/>
  <c r="BG48" i="30" a="1"/>
  <c r="BG48" i="30"/>
  <c r="BF48" i="30" a="1"/>
  <c r="BF48" i="30"/>
  <c r="BE48" i="30" a="1"/>
  <c r="BE48" i="30"/>
  <c r="AZ48" i="30" a="1"/>
  <c r="AZ48" i="30"/>
  <c r="AY48" i="30" a="1"/>
  <c r="AY48" i="30"/>
  <c r="AX48" i="30" a="1"/>
  <c r="AX48" i="30"/>
  <c r="AW48" i="30" a="1"/>
  <c r="AW48" i="30"/>
  <c r="AR48" i="30" a="1"/>
  <c r="AR48" i="30"/>
  <c r="AQ48" i="30" a="1"/>
  <c r="AQ48" i="30"/>
  <c r="AP48" i="30" a="1"/>
  <c r="AP48" i="30"/>
  <c r="AO48" i="30" a="1"/>
  <c r="AO48" i="30"/>
  <c r="AJ48" i="30" a="1"/>
  <c r="AJ48" i="30"/>
  <c r="AI48" i="30" a="1"/>
  <c r="AI48" i="30"/>
  <c r="AH48" i="30" a="1"/>
  <c r="AH48" i="30"/>
  <c r="AG48" i="30" a="1"/>
  <c r="AG48" i="30"/>
  <c r="AB48" i="30" a="1"/>
  <c r="AB48" i="30"/>
  <c r="AA48" i="30" a="1"/>
  <c r="AA48" i="30"/>
  <c r="Z48" i="30" a="1"/>
  <c r="Z48" i="30"/>
  <c r="Y48" i="30" a="1"/>
  <c r="Y48" i="30"/>
  <c r="T48" i="30" a="1"/>
  <c r="T48" i="30"/>
  <c r="S48" i="30" a="1"/>
  <c r="S48" i="30"/>
  <c r="R48" i="30" a="1"/>
  <c r="R48" i="30"/>
  <c r="Q48" i="30" a="1"/>
  <c r="Q48" i="30"/>
  <c r="L48" i="30" a="1"/>
  <c r="L48" i="30"/>
  <c r="K48" i="30" a="1"/>
  <c r="K48" i="30"/>
  <c r="J48" i="30" a="1"/>
  <c r="J48" i="30"/>
  <c r="I48" i="30" a="1"/>
  <c r="I48" i="30"/>
  <c r="BP47" i="30" a="1"/>
  <c r="BP47" i="30"/>
  <c r="BO47" i="30" a="1"/>
  <c r="BO47" i="30"/>
  <c r="BN47" i="30" a="1"/>
  <c r="BN47" i="30"/>
  <c r="BM47" i="30" a="1"/>
  <c r="BM47" i="30"/>
  <c r="BL47" i="30" a="1"/>
  <c r="BL47" i="30"/>
  <c r="BH47" i="30" a="1"/>
  <c r="BH47" i="30"/>
  <c r="BG47" i="30" a="1"/>
  <c r="BG47" i="30"/>
  <c r="BF47" i="30" a="1"/>
  <c r="BF47" i="30"/>
  <c r="BE47" i="30" a="1"/>
  <c r="BE47" i="30"/>
  <c r="AZ47" i="30" a="1"/>
  <c r="AZ47" i="30"/>
  <c r="AY47" i="30" a="1"/>
  <c r="AY47" i="30"/>
  <c r="AX47" i="30" a="1"/>
  <c r="AX47" i="30"/>
  <c r="AW47" i="30" a="1"/>
  <c r="AW47" i="30"/>
  <c r="AR47" i="30" a="1"/>
  <c r="AR47" i="30"/>
  <c r="AQ47" i="30" a="1"/>
  <c r="AQ47" i="30"/>
  <c r="AP47" i="30" a="1"/>
  <c r="AP47" i="30"/>
  <c r="AO47" i="30" a="1"/>
  <c r="AO47" i="30"/>
  <c r="AJ47" i="30" a="1"/>
  <c r="AJ47" i="30"/>
  <c r="AI47" i="30" a="1"/>
  <c r="AI47" i="30"/>
  <c r="AH47" i="30" a="1"/>
  <c r="AH47" i="30"/>
  <c r="AG47" i="30" a="1"/>
  <c r="AG47" i="30"/>
  <c r="AB47" i="30" a="1"/>
  <c r="AB47" i="30"/>
  <c r="AA47" i="30" a="1"/>
  <c r="AA47" i="30"/>
  <c r="Z47" i="30" a="1"/>
  <c r="Z47" i="30"/>
  <c r="Y47" i="30" a="1"/>
  <c r="Y47" i="30"/>
  <c r="T47" i="30" a="1"/>
  <c r="T47" i="30"/>
  <c r="S47" i="30" a="1"/>
  <c r="S47" i="30"/>
  <c r="R47" i="30" a="1"/>
  <c r="R47" i="30"/>
  <c r="Q47" i="30" a="1"/>
  <c r="Q47" i="30"/>
  <c r="L47" i="30" a="1"/>
  <c r="L47" i="30"/>
  <c r="K47" i="30" a="1"/>
  <c r="K47" i="30"/>
  <c r="J47" i="30" a="1"/>
  <c r="J47" i="30"/>
  <c r="I47" i="30" a="1"/>
  <c r="I47" i="30"/>
  <c r="BP46" i="30" a="1"/>
  <c r="BP46" i="30"/>
  <c r="BO46" i="30" a="1"/>
  <c r="BO46" i="30"/>
  <c r="BN46" i="30" a="1"/>
  <c r="BN46" i="30"/>
  <c r="BM46" i="30" a="1"/>
  <c r="BM46" i="30"/>
  <c r="BL46" i="30" a="1"/>
  <c r="BL46" i="30"/>
  <c r="BH46" i="30" a="1"/>
  <c r="BH46" i="30"/>
  <c r="BG46" i="30" a="1"/>
  <c r="BG46" i="30"/>
  <c r="BF46" i="30" a="1"/>
  <c r="BF46" i="30"/>
  <c r="BE46" i="30" a="1"/>
  <c r="BE46" i="30"/>
  <c r="AZ46" i="30" a="1"/>
  <c r="AZ46" i="30"/>
  <c r="AY46" i="30" a="1"/>
  <c r="AY46" i="30"/>
  <c r="AX46" i="30" a="1"/>
  <c r="AX46" i="30"/>
  <c r="AW46" i="30" a="1"/>
  <c r="AW46" i="30"/>
  <c r="AR46" i="30" a="1"/>
  <c r="AR46" i="30"/>
  <c r="AQ46" i="30" a="1"/>
  <c r="AQ46" i="30"/>
  <c r="AP46" i="30" a="1"/>
  <c r="AP46" i="30"/>
  <c r="AO46" i="30" a="1"/>
  <c r="AO46" i="30"/>
  <c r="AJ46" i="30" a="1"/>
  <c r="AJ46" i="30"/>
  <c r="AI46" i="30" a="1"/>
  <c r="AI46" i="30"/>
  <c r="AH46" i="30" a="1"/>
  <c r="AH46" i="30"/>
  <c r="AG46" i="30" a="1"/>
  <c r="AG46" i="30"/>
  <c r="AB46" i="30" a="1"/>
  <c r="AB46" i="30"/>
  <c r="AA46" i="30" a="1"/>
  <c r="AA46" i="30"/>
  <c r="Z46" i="30" a="1"/>
  <c r="Z46" i="30"/>
  <c r="Y46" i="30" a="1"/>
  <c r="Y46" i="30"/>
  <c r="T46" i="30" a="1"/>
  <c r="T46" i="30"/>
  <c r="S46" i="30" a="1"/>
  <c r="S46" i="30"/>
  <c r="R46" i="30" a="1"/>
  <c r="R46" i="30"/>
  <c r="Q46" i="30" a="1"/>
  <c r="Q46" i="30"/>
  <c r="L46" i="30" a="1"/>
  <c r="L46" i="30"/>
  <c r="K46" i="30" a="1"/>
  <c r="K46" i="30"/>
  <c r="J46" i="30" a="1"/>
  <c r="J46" i="30"/>
  <c r="I46" i="30" a="1"/>
  <c r="I46" i="30"/>
  <c r="BP45" i="30" a="1"/>
  <c r="BP45" i="30"/>
  <c r="BO45" i="30" a="1"/>
  <c r="BO45" i="30"/>
  <c r="BN45" i="30" a="1"/>
  <c r="BN45" i="30"/>
  <c r="BM45" i="30" a="1"/>
  <c r="BM45" i="30"/>
  <c r="BL45" i="30" a="1"/>
  <c r="BL45" i="30"/>
  <c r="BH45" i="30" a="1"/>
  <c r="BH45" i="30"/>
  <c r="BG45" i="30" a="1"/>
  <c r="BG45" i="30"/>
  <c r="BF45" i="30" a="1"/>
  <c r="BF45" i="30"/>
  <c r="BE45" i="30" a="1"/>
  <c r="BE45" i="30"/>
  <c r="AZ45" i="30" a="1"/>
  <c r="AZ45" i="30"/>
  <c r="AY45" i="30" a="1"/>
  <c r="AY45" i="30"/>
  <c r="AX45" i="30" a="1"/>
  <c r="AX45" i="30"/>
  <c r="AW45" i="30" a="1"/>
  <c r="AW45" i="30"/>
  <c r="AR45" i="30" a="1"/>
  <c r="AR45" i="30"/>
  <c r="AQ45" i="30" a="1"/>
  <c r="AQ45" i="30"/>
  <c r="AP45" i="30" a="1"/>
  <c r="AP45" i="30"/>
  <c r="AO45" i="30" a="1"/>
  <c r="AO45" i="30"/>
  <c r="AJ45" i="30" a="1"/>
  <c r="AJ45" i="30"/>
  <c r="AI45" i="30" a="1"/>
  <c r="AI45" i="30"/>
  <c r="AH45" i="30" a="1"/>
  <c r="AH45" i="30"/>
  <c r="AG45" i="30" a="1"/>
  <c r="AG45" i="30"/>
  <c r="AB45" i="30" a="1"/>
  <c r="AB45" i="30"/>
  <c r="AA45" i="30" a="1"/>
  <c r="AA45" i="30"/>
  <c r="Z45" i="30" a="1"/>
  <c r="Z45" i="30"/>
  <c r="Y45" i="30" a="1"/>
  <c r="Y45" i="30"/>
  <c r="T45" i="30" a="1"/>
  <c r="T45" i="30"/>
  <c r="S45" i="30" a="1"/>
  <c r="S45" i="30"/>
  <c r="R45" i="30" a="1"/>
  <c r="R45" i="30"/>
  <c r="Q45" i="30" a="1"/>
  <c r="Q45" i="30"/>
  <c r="L45" i="30" a="1"/>
  <c r="L45" i="30"/>
  <c r="K45" i="30" a="1"/>
  <c r="K45" i="30"/>
  <c r="J45" i="30" a="1"/>
  <c r="J45" i="30"/>
  <c r="I45" i="30" a="1"/>
  <c r="I45" i="30"/>
  <c r="BP49" i="29" a="1"/>
  <c r="BP49" i="29"/>
  <c r="BO49" i="29" a="1"/>
  <c r="BO49" i="29"/>
  <c r="BN49" i="29" a="1"/>
  <c r="BN49" i="29"/>
  <c r="BM49" i="29" a="1"/>
  <c r="BM49" i="29"/>
  <c r="BL49" i="29" a="1"/>
  <c r="BL49" i="29"/>
  <c r="BH49" i="29" a="1"/>
  <c r="BH49" i="29"/>
  <c r="BG49" i="29" a="1"/>
  <c r="BG49" i="29"/>
  <c r="BF49" i="29" a="1"/>
  <c r="BF49" i="29"/>
  <c r="BE49" i="29" a="1"/>
  <c r="BE49" i="29"/>
  <c r="AZ49" i="29" a="1"/>
  <c r="AZ49" i="29"/>
  <c r="AY49" i="29" a="1"/>
  <c r="AY49" i="29"/>
  <c r="AX49" i="29" a="1"/>
  <c r="AX49" i="29"/>
  <c r="AW49" i="29" a="1"/>
  <c r="AW49" i="29"/>
  <c r="AR49" i="29" a="1"/>
  <c r="AR49" i="29"/>
  <c r="AQ49" i="29" a="1"/>
  <c r="AQ49" i="29"/>
  <c r="AP49" i="29" a="1"/>
  <c r="AP49" i="29"/>
  <c r="AO49" i="29" a="1"/>
  <c r="AO49" i="29"/>
  <c r="AJ49" i="29" a="1"/>
  <c r="AJ49" i="29"/>
  <c r="AI49" i="29" a="1"/>
  <c r="AI49" i="29"/>
  <c r="AH49" i="29" a="1"/>
  <c r="AH49" i="29"/>
  <c r="AG49" i="29" a="1"/>
  <c r="AG49" i="29"/>
  <c r="AB49" i="29" a="1"/>
  <c r="AB49" i="29"/>
  <c r="AA49" i="29" a="1"/>
  <c r="AA49" i="29"/>
  <c r="Z49" i="29" a="1"/>
  <c r="Z49" i="29"/>
  <c r="Y49" i="29" a="1"/>
  <c r="Y49" i="29"/>
  <c r="T49" i="29" a="1"/>
  <c r="T49" i="29"/>
  <c r="S49" i="29" a="1"/>
  <c r="S49" i="29"/>
  <c r="R49" i="29" a="1"/>
  <c r="R49" i="29"/>
  <c r="Q49" i="29" a="1"/>
  <c r="Q49" i="29"/>
  <c r="L49" i="29" a="1"/>
  <c r="L49" i="29"/>
  <c r="K49" i="29" a="1"/>
  <c r="K49" i="29"/>
  <c r="J49" i="29" a="1"/>
  <c r="J49" i="29"/>
  <c r="I49" i="29" a="1"/>
  <c r="I49" i="29"/>
  <c r="BP48" i="29" a="1"/>
  <c r="BP48" i="29"/>
  <c r="BO48" i="29" a="1"/>
  <c r="BO48" i="29"/>
  <c r="BN48" i="29" a="1"/>
  <c r="BN48" i="29"/>
  <c r="BM48" i="29" a="1"/>
  <c r="BM48" i="29"/>
  <c r="BL48" i="29" a="1"/>
  <c r="BL48" i="29"/>
  <c r="BH48" i="29" a="1"/>
  <c r="BH48" i="29"/>
  <c r="BG48" i="29" a="1"/>
  <c r="BG48" i="29"/>
  <c r="BF48" i="29" a="1"/>
  <c r="BF48" i="29"/>
  <c r="BE48" i="29" a="1"/>
  <c r="BE48" i="29"/>
  <c r="AZ48" i="29" a="1"/>
  <c r="AZ48" i="29"/>
  <c r="AY48" i="29" a="1"/>
  <c r="AY48" i="29"/>
  <c r="AX48" i="29" a="1"/>
  <c r="AX48" i="29"/>
  <c r="AW48" i="29" a="1"/>
  <c r="AW48" i="29"/>
  <c r="AR48" i="29" a="1"/>
  <c r="AR48" i="29"/>
  <c r="AQ48" i="29" a="1"/>
  <c r="AQ48" i="29"/>
  <c r="AP48" i="29" a="1"/>
  <c r="AP48" i="29"/>
  <c r="AO48" i="29" a="1"/>
  <c r="AO48" i="29"/>
  <c r="AJ48" i="29" a="1"/>
  <c r="AJ48" i="29"/>
  <c r="AI48" i="29" a="1"/>
  <c r="AI48" i="29"/>
  <c r="AH48" i="29" a="1"/>
  <c r="AH48" i="29"/>
  <c r="AG48" i="29" a="1"/>
  <c r="AG48" i="29"/>
  <c r="AB48" i="29" a="1"/>
  <c r="AB48" i="29"/>
  <c r="AA48" i="29" a="1"/>
  <c r="AA48" i="29"/>
  <c r="Z48" i="29" a="1"/>
  <c r="Z48" i="29"/>
  <c r="Y48" i="29" a="1"/>
  <c r="Y48" i="29"/>
  <c r="T48" i="29" a="1"/>
  <c r="T48" i="29"/>
  <c r="S48" i="29" a="1"/>
  <c r="S48" i="29"/>
  <c r="R48" i="29" a="1"/>
  <c r="R48" i="29"/>
  <c r="Q48" i="29" a="1"/>
  <c r="Q48" i="29"/>
  <c r="L48" i="29" a="1"/>
  <c r="L48" i="29"/>
  <c r="K48" i="29" a="1"/>
  <c r="K48" i="29"/>
  <c r="J48" i="29" a="1"/>
  <c r="J48" i="29"/>
  <c r="I48" i="29" a="1"/>
  <c r="I48" i="29"/>
  <c r="BP47" i="29" a="1"/>
  <c r="BP47" i="29"/>
  <c r="BO47" i="29" a="1"/>
  <c r="BO47" i="29"/>
  <c r="BN47" i="29" a="1"/>
  <c r="BN47" i="29"/>
  <c r="BM47" i="29" a="1"/>
  <c r="BM47" i="29"/>
  <c r="BL47" i="29" a="1"/>
  <c r="BL47" i="29"/>
  <c r="BH47" i="29" a="1"/>
  <c r="BH47" i="29"/>
  <c r="BG47" i="29" a="1"/>
  <c r="BG47" i="29"/>
  <c r="BF47" i="29" a="1"/>
  <c r="BF47" i="29"/>
  <c r="BE47" i="29" a="1"/>
  <c r="BE47" i="29"/>
  <c r="AZ47" i="29" a="1"/>
  <c r="AZ47" i="29"/>
  <c r="AY47" i="29" a="1"/>
  <c r="AY47" i="29"/>
  <c r="AX47" i="29" a="1"/>
  <c r="AX47" i="29"/>
  <c r="AW47" i="29" a="1"/>
  <c r="AW47" i="29"/>
  <c r="AR47" i="29" a="1"/>
  <c r="AR47" i="29"/>
  <c r="AQ47" i="29" a="1"/>
  <c r="AQ47" i="29"/>
  <c r="AP47" i="29" a="1"/>
  <c r="AP47" i="29"/>
  <c r="AO47" i="29" a="1"/>
  <c r="AO47" i="29"/>
  <c r="AJ47" i="29" a="1"/>
  <c r="AJ47" i="29"/>
  <c r="AI47" i="29" a="1"/>
  <c r="AI47" i="29"/>
  <c r="AH47" i="29" a="1"/>
  <c r="AH47" i="29"/>
  <c r="AG47" i="29" a="1"/>
  <c r="AG47" i="29"/>
  <c r="AB47" i="29" a="1"/>
  <c r="AB47" i="29"/>
  <c r="AA47" i="29" a="1"/>
  <c r="AA47" i="29"/>
  <c r="Z47" i="29" a="1"/>
  <c r="Z47" i="29"/>
  <c r="Y47" i="29" a="1"/>
  <c r="Y47" i="29"/>
  <c r="T47" i="29" a="1"/>
  <c r="T47" i="29"/>
  <c r="S47" i="29" a="1"/>
  <c r="S47" i="29"/>
  <c r="R47" i="29" a="1"/>
  <c r="R47" i="29"/>
  <c r="Q47" i="29" a="1"/>
  <c r="Q47" i="29"/>
  <c r="L47" i="29" a="1"/>
  <c r="L47" i="29"/>
  <c r="K47" i="29" a="1"/>
  <c r="K47" i="29"/>
  <c r="J47" i="29" a="1"/>
  <c r="J47" i="29"/>
  <c r="I47" i="29" a="1"/>
  <c r="I47" i="29"/>
  <c r="BP46" i="29" a="1"/>
  <c r="BP46" i="29"/>
  <c r="BO46" i="29" a="1"/>
  <c r="BO46" i="29"/>
  <c r="BN46" i="29" a="1"/>
  <c r="BN46" i="29"/>
  <c r="BM46" i="29" a="1"/>
  <c r="BM46" i="29"/>
  <c r="BL46" i="29" a="1"/>
  <c r="BL46" i="29"/>
  <c r="BH46" i="29" a="1"/>
  <c r="BH46" i="29"/>
  <c r="BG46" i="29" a="1"/>
  <c r="BG46" i="29"/>
  <c r="BF46" i="29" a="1"/>
  <c r="BF46" i="29"/>
  <c r="BE46" i="29" a="1"/>
  <c r="BE46" i="29"/>
  <c r="AZ46" i="29" a="1"/>
  <c r="AZ46" i="29"/>
  <c r="AY46" i="29" a="1"/>
  <c r="AY46" i="29"/>
  <c r="AX46" i="29" a="1"/>
  <c r="AX46" i="29"/>
  <c r="AW46" i="29" a="1"/>
  <c r="AW46" i="29"/>
  <c r="AR46" i="29" a="1"/>
  <c r="AR46" i="29"/>
  <c r="AQ46" i="29" a="1"/>
  <c r="AQ46" i="29"/>
  <c r="AP46" i="29" a="1"/>
  <c r="AP46" i="29"/>
  <c r="AO46" i="29" a="1"/>
  <c r="AO46" i="29"/>
  <c r="AJ46" i="29" a="1"/>
  <c r="AJ46" i="29"/>
  <c r="AI46" i="29" a="1"/>
  <c r="AI46" i="29"/>
  <c r="AH46" i="29" a="1"/>
  <c r="AH46" i="29"/>
  <c r="AG46" i="29" a="1"/>
  <c r="AG46" i="29"/>
  <c r="AB46" i="29" a="1"/>
  <c r="AB46" i="29"/>
  <c r="AA46" i="29" a="1"/>
  <c r="AA46" i="29"/>
  <c r="Z46" i="29" a="1"/>
  <c r="Z46" i="29"/>
  <c r="Y46" i="29" a="1"/>
  <c r="Y46" i="29"/>
  <c r="T46" i="29" a="1"/>
  <c r="T46" i="29"/>
  <c r="S46" i="29" a="1"/>
  <c r="S46" i="29"/>
  <c r="R46" i="29" a="1"/>
  <c r="R46" i="29"/>
  <c r="Q46" i="29" a="1"/>
  <c r="Q46" i="29"/>
  <c r="L46" i="29" a="1"/>
  <c r="L46" i="29"/>
  <c r="K46" i="29" a="1"/>
  <c r="K46" i="29"/>
  <c r="J46" i="29" a="1"/>
  <c r="J46" i="29"/>
  <c r="I46" i="29" a="1"/>
  <c r="I46" i="29"/>
  <c r="BP45" i="29" a="1"/>
  <c r="BP45" i="29"/>
  <c r="BO45" i="29" a="1"/>
  <c r="BO45" i="29"/>
  <c r="BN45" i="29" a="1"/>
  <c r="BN45" i="29"/>
  <c r="BM45" i="29" a="1"/>
  <c r="BM45" i="29"/>
  <c r="BL45" i="29" a="1"/>
  <c r="BL45" i="29"/>
  <c r="BH45" i="29" a="1"/>
  <c r="BH45" i="29"/>
  <c r="BG45" i="29" a="1"/>
  <c r="BG45" i="29"/>
  <c r="BF45" i="29" a="1"/>
  <c r="BF45" i="29"/>
  <c r="BE45" i="29" a="1"/>
  <c r="BE45" i="29"/>
  <c r="AZ45" i="29" a="1"/>
  <c r="AZ45" i="29"/>
  <c r="AY45" i="29" a="1"/>
  <c r="AY45" i="29"/>
  <c r="AX45" i="29" a="1"/>
  <c r="AX45" i="29"/>
  <c r="AW45" i="29" a="1"/>
  <c r="AW45" i="29"/>
  <c r="AR45" i="29" a="1"/>
  <c r="AR45" i="29"/>
  <c r="AQ45" i="29" a="1"/>
  <c r="AQ45" i="29"/>
  <c r="AP45" i="29" a="1"/>
  <c r="AP45" i="29"/>
  <c r="AO45" i="29" a="1"/>
  <c r="AO45" i="29"/>
  <c r="AJ45" i="29" a="1"/>
  <c r="AJ45" i="29"/>
  <c r="AI45" i="29" a="1"/>
  <c r="AI45" i="29"/>
  <c r="AH45" i="29" a="1"/>
  <c r="AH45" i="29"/>
  <c r="AG45" i="29" a="1"/>
  <c r="AG45" i="29"/>
  <c r="AB45" i="29" a="1"/>
  <c r="AB45" i="29"/>
  <c r="AA45" i="29" a="1"/>
  <c r="AA45" i="29"/>
  <c r="Z45" i="29" a="1"/>
  <c r="Z45" i="29"/>
  <c r="Y45" i="29" a="1"/>
  <c r="Y45" i="29"/>
  <c r="T45" i="29" a="1"/>
  <c r="T45" i="29"/>
  <c r="S45" i="29" a="1"/>
  <c r="S45" i="29"/>
  <c r="R45" i="29" a="1"/>
  <c r="R45" i="29"/>
  <c r="Q45" i="29" a="1"/>
  <c r="Q45" i="29"/>
  <c r="L45" i="29" a="1"/>
  <c r="L45" i="29"/>
  <c r="K45" i="29" a="1"/>
  <c r="K45" i="29"/>
  <c r="J45" i="29" a="1"/>
  <c r="J45" i="29"/>
  <c r="I45" i="29" a="1"/>
  <c r="I45" i="29"/>
  <c r="BP49" i="28" a="1"/>
  <c r="BP49" i="28"/>
  <c r="BO49" i="28" a="1"/>
  <c r="BO49" i="28"/>
  <c r="BN49" i="28" a="1"/>
  <c r="BN49" i="28"/>
  <c r="BM49" i="28" a="1"/>
  <c r="BM49" i="28"/>
  <c r="BL49" i="28" a="1"/>
  <c r="BL49" i="28"/>
  <c r="BH49" i="28" a="1"/>
  <c r="BH49" i="28"/>
  <c r="BG49" i="28" a="1"/>
  <c r="BG49" i="28"/>
  <c r="BF49" i="28" a="1"/>
  <c r="BF49" i="28"/>
  <c r="BE49" i="28" a="1"/>
  <c r="BE49" i="28"/>
  <c r="AZ49" i="28" a="1"/>
  <c r="AZ49" i="28"/>
  <c r="AY49" i="28" a="1"/>
  <c r="AY49" i="28"/>
  <c r="AX49" i="28" a="1"/>
  <c r="AX49" i="28"/>
  <c r="AW49" i="28" a="1"/>
  <c r="AW49" i="28"/>
  <c r="AR49" i="28" a="1"/>
  <c r="AR49" i="28"/>
  <c r="AQ49" i="28" a="1"/>
  <c r="AQ49" i="28"/>
  <c r="AP49" i="28" a="1"/>
  <c r="AP49" i="28"/>
  <c r="AO49" i="28" a="1"/>
  <c r="AO49" i="28"/>
  <c r="AJ49" i="28" a="1"/>
  <c r="AJ49" i="28"/>
  <c r="AI49" i="28" a="1"/>
  <c r="AI49" i="28"/>
  <c r="AH49" i="28" a="1"/>
  <c r="AH49" i="28"/>
  <c r="AG49" i="28" a="1"/>
  <c r="AG49" i="28"/>
  <c r="AB49" i="28" a="1"/>
  <c r="AB49" i="28"/>
  <c r="AA49" i="28" a="1"/>
  <c r="AA49" i="28"/>
  <c r="Z49" i="28" a="1"/>
  <c r="Z49" i="28"/>
  <c r="Y49" i="28" a="1"/>
  <c r="Y49" i="28"/>
  <c r="T49" i="28" a="1"/>
  <c r="T49" i="28"/>
  <c r="S49" i="28" a="1"/>
  <c r="S49" i="28"/>
  <c r="R49" i="28" a="1"/>
  <c r="R49" i="28"/>
  <c r="Q49" i="28" a="1"/>
  <c r="Q49" i="28"/>
  <c r="L49" i="28" a="1"/>
  <c r="L49" i="28"/>
  <c r="K49" i="28" a="1"/>
  <c r="K49" i="28"/>
  <c r="J49" i="28" a="1"/>
  <c r="J49" i="28"/>
  <c r="I49" i="28" a="1"/>
  <c r="I49" i="28"/>
  <c r="BP48" i="28" a="1"/>
  <c r="BP48" i="28"/>
  <c r="BO48" i="28" a="1"/>
  <c r="BO48" i="28"/>
  <c r="BN48" i="28" a="1"/>
  <c r="BN48" i="28"/>
  <c r="BM48" i="28" a="1"/>
  <c r="BM48" i="28"/>
  <c r="BL48" i="28" a="1"/>
  <c r="BL48" i="28"/>
  <c r="BH48" i="28" a="1"/>
  <c r="BH48" i="28"/>
  <c r="BG48" i="28" a="1"/>
  <c r="BG48" i="28"/>
  <c r="BF48" i="28" a="1"/>
  <c r="BF48" i="28"/>
  <c r="BE48" i="28" a="1"/>
  <c r="BE48" i="28"/>
  <c r="AZ48" i="28" a="1"/>
  <c r="AZ48" i="28"/>
  <c r="AY48" i="28" a="1"/>
  <c r="AY48" i="28"/>
  <c r="AX48" i="28" a="1"/>
  <c r="AX48" i="28"/>
  <c r="AW48" i="28" a="1"/>
  <c r="AW48" i="28"/>
  <c r="AR48" i="28" a="1"/>
  <c r="AR48" i="28"/>
  <c r="AQ48" i="28" a="1"/>
  <c r="AQ48" i="28"/>
  <c r="AP48" i="28" a="1"/>
  <c r="AP48" i="28"/>
  <c r="AO48" i="28" a="1"/>
  <c r="AO48" i="28"/>
  <c r="AJ48" i="28" a="1"/>
  <c r="AJ48" i="28"/>
  <c r="AI48" i="28" a="1"/>
  <c r="AI48" i="28"/>
  <c r="AH48" i="28" a="1"/>
  <c r="AH48" i="28"/>
  <c r="AG48" i="28" a="1"/>
  <c r="AG48" i="28"/>
  <c r="AB48" i="28" a="1"/>
  <c r="AB48" i="28"/>
  <c r="AA48" i="28" a="1"/>
  <c r="AA48" i="28"/>
  <c r="Z48" i="28" a="1"/>
  <c r="Z48" i="28"/>
  <c r="Y48" i="28" a="1"/>
  <c r="Y48" i="28"/>
  <c r="T48" i="28" a="1"/>
  <c r="T48" i="28"/>
  <c r="S48" i="28" a="1"/>
  <c r="S48" i="28"/>
  <c r="R48" i="28" a="1"/>
  <c r="R48" i="28"/>
  <c r="Q48" i="28" a="1"/>
  <c r="Q48" i="28"/>
  <c r="L48" i="28" a="1"/>
  <c r="L48" i="28"/>
  <c r="K48" i="28" a="1"/>
  <c r="K48" i="28"/>
  <c r="J48" i="28" a="1"/>
  <c r="J48" i="28"/>
  <c r="I48" i="28" a="1"/>
  <c r="I48" i="28"/>
  <c r="BP47" i="28" a="1"/>
  <c r="BP47" i="28"/>
  <c r="BO47" i="28" a="1"/>
  <c r="BO47" i="28"/>
  <c r="BN47" i="28" a="1"/>
  <c r="BN47" i="28"/>
  <c r="BM47" i="28" a="1"/>
  <c r="BM47" i="28"/>
  <c r="BL47" i="28" a="1"/>
  <c r="BL47" i="28"/>
  <c r="BH47" i="28" a="1"/>
  <c r="BH47" i="28"/>
  <c r="BG47" i="28" a="1"/>
  <c r="BG47" i="28"/>
  <c r="BF47" i="28" a="1"/>
  <c r="BF47" i="28"/>
  <c r="BE47" i="28" a="1"/>
  <c r="BE47" i="28"/>
  <c r="AZ47" i="28" a="1"/>
  <c r="AZ47" i="28"/>
  <c r="AY47" i="28" a="1"/>
  <c r="AY47" i="28"/>
  <c r="AX47" i="28" a="1"/>
  <c r="AX47" i="28"/>
  <c r="AW47" i="28" a="1"/>
  <c r="AW47" i="28"/>
  <c r="AR47" i="28" a="1"/>
  <c r="AR47" i="28"/>
  <c r="AQ47" i="28" a="1"/>
  <c r="AQ47" i="28"/>
  <c r="AP47" i="28" a="1"/>
  <c r="AP47" i="28"/>
  <c r="AO47" i="28" a="1"/>
  <c r="AO47" i="28"/>
  <c r="AJ47" i="28" a="1"/>
  <c r="AJ47" i="28"/>
  <c r="AI47" i="28" a="1"/>
  <c r="AI47" i="28"/>
  <c r="AH47" i="28" a="1"/>
  <c r="AH47" i="28"/>
  <c r="AG47" i="28" a="1"/>
  <c r="AG47" i="28"/>
  <c r="AB47" i="28" a="1"/>
  <c r="AB47" i="28"/>
  <c r="AA47" i="28" a="1"/>
  <c r="AA47" i="28"/>
  <c r="Z47" i="28" a="1"/>
  <c r="Z47" i="28"/>
  <c r="Y47" i="28" a="1"/>
  <c r="Y47" i="28"/>
  <c r="T47" i="28" a="1"/>
  <c r="T47" i="28"/>
  <c r="S47" i="28" a="1"/>
  <c r="S47" i="28"/>
  <c r="R47" i="28" a="1"/>
  <c r="R47" i="28"/>
  <c r="Q47" i="28" a="1"/>
  <c r="Q47" i="28"/>
  <c r="L47" i="28" a="1"/>
  <c r="L47" i="28"/>
  <c r="K47" i="28" a="1"/>
  <c r="K47" i="28"/>
  <c r="J47" i="28" a="1"/>
  <c r="J47" i="28"/>
  <c r="I47" i="28" a="1"/>
  <c r="I47" i="28"/>
  <c r="BP46" i="28" a="1"/>
  <c r="BP46" i="28"/>
  <c r="BO46" i="28" a="1"/>
  <c r="BO46" i="28"/>
  <c r="BN46" i="28" a="1"/>
  <c r="BN46" i="28"/>
  <c r="BM46" i="28" a="1"/>
  <c r="BM46" i="28"/>
  <c r="BL46" i="28" a="1"/>
  <c r="BL46" i="28"/>
  <c r="BH46" i="28" a="1"/>
  <c r="BH46" i="28"/>
  <c r="BG46" i="28" a="1"/>
  <c r="BG46" i="28"/>
  <c r="BF46" i="28" a="1"/>
  <c r="BF46" i="28"/>
  <c r="BE46" i="28" a="1"/>
  <c r="BE46" i="28"/>
  <c r="AZ46" i="28" a="1"/>
  <c r="AZ46" i="28"/>
  <c r="AY46" i="28" a="1"/>
  <c r="AY46" i="28"/>
  <c r="AX46" i="28" a="1"/>
  <c r="AX46" i="28"/>
  <c r="AW46" i="28" a="1"/>
  <c r="AW46" i="28"/>
  <c r="AR46" i="28" a="1"/>
  <c r="AR46" i="28"/>
  <c r="AQ46" i="28" a="1"/>
  <c r="AQ46" i="28"/>
  <c r="AP46" i="28" a="1"/>
  <c r="AP46" i="28"/>
  <c r="AO46" i="28" a="1"/>
  <c r="AO46" i="28"/>
  <c r="AJ46" i="28" a="1"/>
  <c r="AJ46" i="28"/>
  <c r="AI46" i="28" a="1"/>
  <c r="AI46" i="28"/>
  <c r="AH46" i="28" a="1"/>
  <c r="AH46" i="28"/>
  <c r="AG46" i="28" a="1"/>
  <c r="AG46" i="28"/>
  <c r="AB46" i="28" a="1"/>
  <c r="AB46" i="28"/>
  <c r="AA46" i="28" a="1"/>
  <c r="AA46" i="28"/>
  <c r="Z46" i="28" a="1"/>
  <c r="Z46" i="28"/>
  <c r="Y46" i="28" a="1"/>
  <c r="Y46" i="28"/>
  <c r="T46" i="28" a="1"/>
  <c r="T46" i="28"/>
  <c r="S46" i="28" a="1"/>
  <c r="S46" i="28"/>
  <c r="R46" i="28" a="1"/>
  <c r="R46" i="28"/>
  <c r="Q46" i="28" a="1"/>
  <c r="Q46" i="28"/>
  <c r="L46" i="28" a="1"/>
  <c r="L46" i="28"/>
  <c r="K46" i="28" a="1"/>
  <c r="K46" i="28"/>
  <c r="J46" i="28" a="1"/>
  <c r="J46" i="28"/>
  <c r="I46" i="28" a="1"/>
  <c r="I46" i="28"/>
  <c r="BP45" i="28" a="1"/>
  <c r="BP45" i="28"/>
  <c r="BO45" i="28" a="1"/>
  <c r="BO45" i="28"/>
  <c r="BN45" i="28" a="1"/>
  <c r="BN45" i="28"/>
  <c r="BM45" i="28" a="1"/>
  <c r="BM45" i="28"/>
  <c r="BL45" i="28" a="1"/>
  <c r="BL45" i="28"/>
  <c r="BH45" i="28" a="1"/>
  <c r="BH45" i="28"/>
  <c r="BG45" i="28" a="1"/>
  <c r="BG45" i="28"/>
  <c r="BF45" i="28" a="1"/>
  <c r="BF45" i="28"/>
  <c r="BE45" i="28" a="1"/>
  <c r="BE45" i="28"/>
  <c r="AZ45" i="28" a="1"/>
  <c r="AZ45" i="28"/>
  <c r="AY45" i="28" a="1"/>
  <c r="AY45" i="28"/>
  <c r="AX45" i="28" a="1"/>
  <c r="AX45" i="28"/>
  <c r="AW45" i="28" a="1"/>
  <c r="AW45" i="28"/>
  <c r="AR45" i="28" a="1"/>
  <c r="AR45" i="28"/>
  <c r="AQ45" i="28" a="1"/>
  <c r="AQ45" i="28"/>
  <c r="AP45" i="28" a="1"/>
  <c r="AP45" i="28"/>
  <c r="AO45" i="28" a="1"/>
  <c r="AO45" i="28"/>
  <c r="AJ45" i="28" a="1"/>
  <c r="AJ45" i="28"/>
  <c r="AI45" i="28" a="1"/>
  <c r="AI45" i="28"/>
  <c r="AH45" i="28" a="1"/>
  <c r="AH45" i="28"/>
  <c r="AG45" i="28" a="1"/>
  <c r="AG45" i="28"/>
  <c r="AB45" i="28" a="1"/>
  <c r="AB45" i="28"/>
  <c r="AA45" i="28" a="1"/>
  <c r="AA45" i="28"/>
  <c r="Z45" i="28" a="1"/>
  <c r="Z45" i="28"/>
  <c r="Y45" i="28" a="1"/>
  <c r="Y45" i="28"/>
  <c r="T45" i="28" a="1"/>
  <c r="T45" i="28"/>
  <c r="S45" i="28" a="1"/>
  <c r="S45" i="28"/>
  <c r="R45" i="28" a="1"/>
  <c r="R45" i="28"/>
  <c r="Q45" i="28" a="1"/>
  <c r="Q45" i="28"/>
  <c r="L45" i="28" a="1"/>
  <c r="L45" i="28"/>
  <c r="K45" i="28" a="1"/>
  <c r="K45" i="28"/>
  <c r="J45" i="28" a="1"/>
  <c r="J45" i="28"/>
  <c r="I45" i="28" a="1"/>
  <c r="I45" i="28"/>
  <c r="BP49" i="27" a="1"/>
  <c r="BP49" i="27"/>
  <c r="BO49" i="27" a="1"/>
  <c r="BO49" i="27"/>
  <c r="BN49" i="27" a="1"/>
  <c r="BN49" i="27"/>
  <c r="BM49" i="27" a="1"/>
  <c r="BM49" i="27"/>
  <c r="BL49" i="27" a="1"/>
  <c r="BL49" i="27"/>
  <c r="BH49" i="27" a="1"/>
  <c r="BH49" i="27"/>
  <c r="BG49" i="27" a="1"/>
  <c r="BG49" i="27"/>
  <c r="BF49" i="27" a="1"/>
  <c r="BF49" i="27"/>
  <c r="BE49" i="27" a="1"/>
  <c r="BE49" i="27"/>
  <c r="AZ49" i="27" a="1"/>
  <c r="AZ49" i="27"/>
  <c r="AY49" i="27" a="1"/>
  <c r="AY49" i="27"/>
  <c r="AX49" i="27" a="1"/>
  <c r="AX49" i="27"/>
  <c r="AW49" i="27" a="1"/>
  <c r="AW49" i="27"/>
  <c r="AR49" i="27" a="1"/>
  <c r="AR49" i="27"/>
  <c r="AQ49" i="27" a="1"/>
  <c r="AQ49" i="27"/>
  <c r="AP49" i="27" a="1"/>
  <c r="AP49" i="27"/>
  <c r="AO49" i="27" a="1"/>
  <c r="AO49" i="27"/>
  <c r="AJ49" i="27" a="1"/>
  <c r="AJ49" i="27"/>
  <c r="AI49" i="27" a="1"/>
  <c r="AI49" i="27"/>
  <c r="AH49" i="27" a="1"/>
  <c r="AH49" i="27"/>
  <c r="AG49" i="27" a="1"/>
  <c r="AG49" i="27"/>
  <c r="AB49" i="27" a="1"/>
  <c r="AB49" i="27"/>
  <c r="AA49" i="27" a="1"/>
  <c r="AA49" i="27"/>
  <c r="Z49" i="27" a="1"/>
  <c r="Z49" i="27"/>
  <c r="Y49" i="27" a="1"/>
  <c r="Y49" i="27"/>
  <c r="T49" i="27" a="1"/>
  <c r="T49" i="27"/>
  <c r="S49" i="27" a="1"/>
  <c r="S49" i="27"/>
  <c r="R49" i="27" a="1"/>
  <c r="R49" i="27"/>
  <c r="Q49" i="27" a="1"/>
  <c r="Q49" i="27"/>
  <c r="L49" i="27" a="1"/>
  <c r="L49" i="27"/>
  <c r="K49" i="27" a="1"/>
  <c r="K49" i="27"/>
  <c r="J49" i="27" a="1"/>
  <c r="J49" i="27"/>
  <c r="I49" i="27" a="1"/>
  <c r="I49" i="27"/>
  <c r="BP48" i="27" a="1"/>
  <c r="BP48" i="27"/>
  <c r="BO48" i="27" a="1"/>
  <c r="BO48" i="27"/>
  <c r="BN48" i="27" a="1"/>
  <c r="BN48" i="27"/>
  <c r="BM48" i="27" a="1"/>
  <c r="BM48" i="27"/>
  <c r="BL48" i="27" a="1"/>
  <c r="BL48" i="27"/>
  <c r="BH48" i="27" a="1"/>
  <c r="BH48" i="27"/>
  <c r="BG48" i="27" a="1"/>
  <c r="BG48" i="27"/>
  <c r="BF48" i="27" a="1"/>
  <c r="BF48" i="27"/>
  <c r="BE48" i="27" a="1"/>
  <c r="BE48" i="27"/>
  <c r="AZ48" i="27" a="1"/>
  <c r="AZ48" i="27"/>
  <c r="AY48" i="27" a="1"/>
  <c r="AY48" i="27"/>
  <c r="AX48" i="27" a="1"/>
  <c r="AX48" i="27"/>
  <c r="AW48" i="27" a="1"/>
  <c r="AW48" i="27"/>
  <c r="AR48" i="27" a="1"/>
  <c r="AR48" i="27"/>
  <c r="AQ48" i="27" a="1"/>
  <c r="AQ48" i="27"/>
  <c r="AP48" i="27" a="1"/>
  <c r="AP48" i="27"/>
  <c r="AO48" i="27" a="1"/>
  <c r="AO48" i="27"/>
  <c r="AJ48" i="27" a="1"/>
  <c r="AJ48" i="27"/>
  <c r="AI48" i="27" a="1"/>
  <c r="AI48" i="27"/>
  <c r="AH48" i="27" a="1"/>
  <c r="AH48" i="27"/>
  <c r="AG48" i="27" a="1"/>
  <c r="AG48" i="27"/>
  <c r="AB48" i="27" a="1"/>
  <c r="AB48" i="27"/>
  <c r="AA48" i="27" a="1"/>
  <c r="AA48" i="27"/>
  <c r="Z48" i="27" a="1"/>
  <c r="Z48" i="27"/>
  <c r="Y48" i="27" a="1"/>
  <c r="Y48" i="27"/>
  <c r="T48" i="27" a="1"/>
  <c r="T48" i="27"/>
  <c r="S48" i="27" a="1"/>
  <c r="S48" i="27"/>
  <c r="R48" i="27" a="1"/>
  <c r="R48" i="27"/>
  <c r="Q48" i="27" a="1"/>
  <c r="Q48" i="27"/>
  <c r="L48" i="27" a="1"/>
  <c r="L48" i="27"/>
  <c r="K48" i="27" a="1"/>
  <c r="K48" i="27"/>
  <c r="J48" i="27" a="1"/>
  <c r="J48" i="27"/>
  <c r="I48" i="27" a="1"/>
  <c r="I48" i="27"/>
  <c r="BP47" i="27" a="1"/>
  <c r="BP47" i="27"/>
  <c r="BO47" i="27" a="1"/>
  <c r="BO47" i="27"/>
  <c r="BN47" i="27" a="1"/>
  <c r="BN47" i="27"/>
  <c r="BM47" i="27" a="1"/>
  <c r="BM47" i="27"/>
  <c r="BL47" i="27" a="1"/>
  <c r="BL47" i="27"/>
  <c r="BH47" i="27" a="1"/>
  <c r="BH47" i="27"/>
  <c r="BG47" i="27" a="1"/>
  <c r="BG47" i="27"/>
  <c r="BF47" i="27" a="1"/>
  <c r="BF47" i="27"/>
  <c r="BE47" i="27" a="1"/>
  <c r="BE47" i="27"/>
  <c r="AZ47" i="27" a="1"/>
  <c r="AZ47" i="27"/>
  <c r="AY47" i="27" a="1"/>
  <c r="AY47" i="27"/>
  <c r="AX47" i="27" a="1"/>
  <c r="AX47" i="27"/>
  <c r="AW47" i="27" a="1"/>
  <c r="AW47" i="27"/>
  <c r="AR47" i="27" a="1"/>
  <c r="AR47" i="27"/>
  <c r="AQ47" i="27" a="1"/>
  <c r="AQ47" i="27"/>
  <c r="AP47" i="27" a="1"/>
  <c r="AP47" i="27"/>
  <c r="AO47" i="27" a="1"/>
  <c r="AO47" i="27"/>
  <c r="AJ47" i="27" a="1"/>
  <c r="AJ47" i="27"/>
  <c r="AI47" i="27" a="1"/>
  <c r="AI47" i="27"/>
  <c r="AH47" i="27" a="1"/>
  <c r="AH47" i="27"/>
  <c r="AG47" i="27" a="1"/>
  <c r="AG47" i="27"/>
  <c r="AB47" i="27" a="1"/>
  <c r="AB47" i="27"/>
  <c r="AA47" i="27" a="1"/>
  <c r="AA47" i="27"/>
  <c r="Z47" i="27" a="1"/>
  <c r="Z47" i="27"/>
  <c r="Y47" i="27" a="1"/>
  <c r="Y47" i="27"/>
  <c r="T47" i="27" a="1"/>
  <c r="T47" i="27"/>
  <c r="S47" i="27" a="1"/>
  <c r="S47" i="27"/>
  <c r="R47" i="27" a="1"/>
  <c r="R47" i="27"/>
  <c r="Q47" i="27" a="1"/>
  <c r="Q47" i="27"/>
  <c r="L47" i="27" a="1"/>
  <c r="L47" i="27"/>
  <c r="K47" i="27" a="1"/>
  <c r="K47" i="27"/>
  <c r="J47" i="27" a="1"/>
  <c r="J47" i="27"/>
  <c r="I47" i="27" a="1"/>
  <c r="I47" i="27"/>
  <c r="BP46" i="27" a="1"/>
  <c r="BP46" i="27"/>
  <c r="BO46" i="27" a="1"/>
  <c r="BO46" i="27"/>
  <c r="BN46" i="27" a="1"/>
  <c r="BN46" i="27"/>
  <c r="BM46" i="27" a="1"/>
  <c r="BM46" i="27"/>
  <c r="BL46" i="27" a="1"/>
  <c r="BL46" i="27"/>
  <c r="BH46" i="27" a="1"/>
  <c r="BH46" i="27"/>
  <c r="BG46" i="27" a="1"/>
  <c r="BG46" i="27"/>
  <c r="BF46" i="27" a="1"/>
  <c r="BF46" i="27"/>
  <c r="BE46" i="27" a="1"/>
  <c r="BE46" i="27"/>
  <c r="AZ46" i="27" a="1"/>
  <c r="AZ46" i="27"/>
  <c r="AY46" i="27" a="1"/>
  <c r="AY46" i="27"/>
  <c r="AX46" i="27" a="1"/>
  <c r="AX46" i="27"/>
  <c r="AW46" i="27" a="1"/>
  <c r="AW46" i="27"/>
  <c r="AR46" i="27" a="1"/>
  <c r="AR46" i="27"/>
  <c r="AQ46" i="27" a="1"/>
  <c r="AQ46" i="27"/>
  <c r="AP46" i="27" a="1"/>
  <c r="AP46" i="27"/>
  <c r="AO46" i="27" a="1"/>
  <c r="AO46" i="27"/>
  <c r="AJ46" i="27" a="1"/>
  <c r="AJ46" i="27"/>
  <c r="AI46" i="27" a="1"/>
  <c r="AI46" i="27"/>
  <c r="AH46" i="27" a="1"/>
  <c r="AH46" i="27"/>
  <c r="AG46" i="27" a="1"/>
  <c r="AG46" i="27"/>
  <c r="AB46" i="27" a="1"/>
  <c r="AB46" i="27"/>
  <c r="AA46" i="27" a="1"/>
  <c r="AA46" i="27"/>
  <c r="Z46" i="27" a="1"/>
  <c r="Z46" i="27"/>
  <c r="Y46" i="27" a="1"/>
  <c r="Y46" i="27"/>
  <c r="T46" i="27" a="1"/>
  <c r="T46" i="27"/>
  <c r="S46" i="27" a="1"/>
  <c r="S46" i="27"/>
  <c r="R46" i="27" a="1"/>
  <c r="R46" i="27"/>
  <c r="Q46" i="27" a="1"/>
  <c r="Q46" i="27"/>
  <c r="L46" i="27" a="1"/>
  <c r="L46" i="27"/>
  <c r="K46" i="27" a="1"/>
  <c r="K46" i="27"/>
  <c r="J46" i="27" a="1"/>
  <c r="J46" i="27"/>
  <c r="I46" i="27" a="1"/>
  <c r="I46" i="27"/>
  <c r="BP45" i="27" a="1"/>
  <c r="BP45" i="27"/>
  <c r="BO45" i="27" a="1"/>
  <c r="BO45" i="27"/>
  <c r="BN45" i="27" a="1"/>
  <c r="BN45" i="27"/>
  <c r="BM45" i="27" a="1"/>
  <c r="BM45" i="27"/>
  <c r="BL45" i="27" a="1"/>
  <c r="BL45" i="27"/>
  <c r="BH45" i="27" a="1"/>
  <c r="BH45" i="27"/>
  <c r="BG45" i="27" a="1"/>
  <c r="BG45" i="27"/>
  <c r="BF45" i="27" a="1"/>
  <c r="BF45" i="27"/>
  <c r="BE45" i="27" a="1"/>
  <c r="BE45" i="27"/>
  <c r="AZ45" i="27" a="1"/>
  <c r="AZ45" i="27"/>
  <c r="AY45" i="27" a="1"/>
  <c r="AY45" i="27"/>
  <c r="AX45" i="27" a="1"/>
  <c r="AX45" i="27"/>
  <c r="AW45" i="27" a="1"/>
  <c r="AW45" i="27"/>
  <c r="AR45" i="27" a="1"/>
  <c r="AR45" i="27"/>
  <c r="AQ45" i="27" a="1"/>
  <c r="AQ45" i="27"/>
  <c r="AP45" i="27" a="1"/>
  <c r="AP45" i="27"/>
  <c r="AO45" i="27" a="1"/>
  <c r="AO45" i="27"/>
  <c r="AJ45" i="27" a="1"/>
  <c r="AJ45" i="27"/>
  <c r="AI45" i="27" a="1"/>
  <c r="AI45" i="27"/>
  <c r="AH45" i="27" a="1"/>
  <c r="AH45" i="27"/>
  <c r="AG45" i="27" a="1"/>
  <c r="AG45" i="27"/>
  <c r="AB45" i="27" a="1"/>
  <c r="AB45" i="27"/>
  <c r="AA45" i="27" a="1"/>
  <c r="AA45" i="27"/>
  <c r="Z45" i="27" a="1"/>
  <c r="Z45" i="27"/>
  <c r="Y45" i="27" a="1"/>
  <c r="Y45" i="27"/>
  <c r="T45" i="27" a="1"/>
  <c r="T45" i="27"/>
  <c r="S45" i="27" a="1"/>
  <c r="S45" i="27"/>
  <c r="R45" i="27" a="1"/>
  <c r="R45" i="27"/>
  <c r="Q45" i="27" a="1"/>
  <c r="Q45" i="27"/>
  <c r="L45" i="27" a="1"/>
  <c r="L45" i="27"/>
  <c r="K45" i="27" a="1"/>
  <c r="K45" i="27"/>
  <c r="J45" i="27" a="1"/>
  <c r="J45" i="27"/>
  <c r="I45" i="27" a="1"/>
  <c r="I45" i="27"/>
  <c r="BP49" i="26" a="1"/>
  <c r="BP49" i="26"/>
  <c r="BO49" i="26" a="1"/>
  <c r="BO49" i="26"/>
  <c r="BN49" i="26" a="1"/>
  <c r="BN49" i="26"/>
  <c r="BM49" i="26" a="1"/>
  <c r="BM49" i="26"/>
  <c r="BL49" i="26" a="1"/>
  <c r="BL49" i="26"/>
  <c r="BH49" i="26" a="1"/>
  <c r="BH49" i="26"/>
  <c r="BG49" i="26" a="1"/>
  <c r="BG49" i="26"/>
  <c r="BF49" i="26" a="1"/>
  <c r="BF49" i="26"/>
  <c r="BE49" i="26" a="1"/>
  <c r="BE49" i="26"/>
  <c r="AZ49" i="26" a="1"/>
  <c r="AZ49" i="26"/>
  <c r="AY49" i="26" a="1"/>
  <c r="AY49" i="26"/>
  <c r="AX49" i="26" a="1"/>
  <c r="AX49" i="26"/>
  <c r="AW49" i="26" a="1"/>
  <c r="AW49" i="26"/>
  <c r="AR49" i="26" a="1"/>
  <c r="AR49" i="26"/>
  <c r="AQ49" i="26" a="1"/>
  <c r="AQ49" i="26"/>
  <c r="AP49" i="26" a="1"/>
  <c r="AP49" i="26"/>
  <c r="AO49" i="26" a="1"/>
  <c r="AO49" i="26"/>
  <c r="AJ49" i="26" a="1"/>
  <c r="AJ49" i="26"/>
  <c r="AI49" i="26" a="1"/>
  <c r="AI49" i="26"/>
  <c r="AH49" i="26" a="1"/>
  <c r="AH49" i="26"/>
  <c r="AG49" i="26" a="1"/>
  <c r="AG49" i="26"/>
  <c r="AB49" i="26" a="1"/>
  <c r="AB49" i="26"/>
  <c r="AA49" i="26" a="1"/>
  <c r="AA49" i="26"/>
  <c r="Z49" i="26" a="1"/>
  <c r="Z49" i="26"/>
  <c r="Y49" i="26" a="1"/>
  <c r="Y49" i="26"/>
  <c r="T49" i="26" a="1"/>
  <c r="T49" i="26"/>
  <c r="S49" i="26" a="1"/>
  <c r="S49" i="26"/>
  <c r="R49" i="26" a="1"/>
  <c r="R49" i="26"/>
  <c r="Q49" i="26" a="1"/>
  <c r="Q49" i="26"/>
  <c r="L49" i="26" a="1"/>
  <c r="L49" i="26"/>
  <c r="K49" i="26" a="1"/>
  <c r="K49" i="26"/>
  <c r="J49" i="26" a="1"/>
  <c r="J49" i="26"/>
  <c r="I49" i="26" a="1"/>
  <c r="I49" i="26"/>
  <c r="BP38" i="26" a="1"/>
  <c r="BP38" i="26"/>
  <c r="BO38" i="26" a="1"/>
  <c r="BO38" i="26"/>
  <c r="BN38" i="26" a="1"/>
  <c r="BN38" i="26"/>
  <c r="BM38" i="26" a="1"/>
  <c r="BM38" i="26"/>
  <c r="BH38" i="26" a="1"/>
  <c r="BH38" i="26"/>
  <c r="BG38" i="26" a="1"/>
  <c r="BG38" i="26"/>
  <c r="BF38" i="26" a="1"/>
  <c r="BF38" i="26"/>
  <c r="BE38" i="26" a="1"/>
  <c r="BE38" i="26"/>
  <c r="AZ38" i="26" a="1"/>
  <c r="AZ38" i="26"/>
  <c r="AY38" i="26" a="1"/>
  <c r="AY38" i="26"/>
  <c r="AX38" i="26" a="1"/>
  <c r="AX38" i="26"/>
  <c r="AW38" i="26" a="1"/>
  <c r="AW38" i="26"/>
  <c r="AR38" i="26" a="1"/>
  <c r="AR38" i="26"/>
  <c r="AQ38" i="26" a="1"/>
  <c r="AQ38" i="26"/>
  <c r="AP38" i="26" a="1"/>
  <c r="AP38" i="26"/>
  <c r="AO38" i="26" a="1"/>
  <c r="AO38" i="26"/>
  <c r="AJ38" i="26" a="1"/>
  <c r="AJ38" i="26"/>
  <c r="AI38" i="26" a="1"/>
  <c r="AI38" i="26"/>
  <c r="AH38" i="26" a="1"/>
  <c r="AH38" i="26"/>
  <c r="AG38" i="26" a="1"/>
  <c r="AG38" i="26"/>
  <c r="AB38" i="26" a="1"/>
  <c r="AB38" i="26"/>
  <c r="AA38" i="26" a="1"/>
  <c r="AA38" i="26"/>
  <c r="Z38" i="26" a="1"/>
  <c r="Z38" i="26"/>
  <c r="Y38" i="26" a="1"/>
  <c r="Y38" i="26"/>
  <c r="T38" i="26" a="1"/>
  <c r="T38" i="26"/>
  <c r="S38" i="26" a="1"/>
  <c r="S38" i="26"/>
  <c r="R38" i="26" a="1"/>
  <c r="R38" i="26"/>
  <c r="Q38" i="26" a="1"/>
  <c r="Q38" i="26"/>
  <c r="L38" i="26" a="1"/>
  <c r="L38" i="26"/>
  <c r="K38" i="26" a="1"/>
  <c r="K38" i="26"/>
  <c r="J38" i="26" a="1"/>
  <c r="J38" i="26"/>
  <c r="I38" i="26" a="1"/>
  <c r="I38" i="26"/>
  <c r="BP48" i="26" a="1"/>
  <c r="BP48" i="26"/>
  <c r="BO48" i="26" a="1"/>
  <c r="BO48" i="26"/>
  <c r="BN48" i="26" a="1"/>
  <c r="BN48" i="26"/>
  <c r="BM48" i="26" a="1"/>
  <c r="BM48" i="26"/>
  <c r="BL48" i="26" a="1"/>
  <c r="BL48" i="26"/>
  <c r="BH48" i="26" a="1"/>
  <c r="BH48" i="26"/>
  <c r="BG48" i="26" a="1"/>
  <c r="BG48" i="26"/>
  <c r="BF48" i="26" a="1"/>
  <c r="BF48" i="26"/>
  <c r="BE48" i="26" a="1"/>
  <c r="BE48" i="26"/>
  <c r="AZ48" i="26" a="1"/>
  <c r="AZ48" i="26"/>
  <c r="AY48" i="26" a="1"/>
  <c r="AY48" i="26"/>
  <c r="AX48" i="26" a="1"/>
  <c r="AX48" i="26"/>
  <c r="AW48" i="26" a="1"/>
  <c r="AW48" i="26"/>
  <c r="AR48" i="26" a="1"/>
  <c r="AR48" i="26"/>
  <c r="AQ48" i="26" a="1"/>
  <c r="AQ48" i="26"/>
  <c r="AP48" i="26" a="1"/>
  <c r="AP48" i="26"/>
  <c r="AO48" i="26" a="1"/>
  <c r="AO48" i="26"/>
  <c r="AJ48" i="26" a="1"/>
  <c r="AJ48" i="26"/>
  <c r="AI48" i="26" a="1"/>
  <c r="AI48" i="26"/>
  <c r="AH48" i="26" a="1"/>
  <c r="AH48" i="26"/>
  <c r="AG48" i="26" a="1"/>
  <c r="AG48" i="26"/>
  <c r="AB48" i="26" a="1"/>
  <c r="AB48" i="26"/>
  <c r="AA48" i="26" a="1"/>
  <c r="AA48" i="26"/>
  <c r="Z48" i="26" a="1"/>
  <c r="Z48" i="26"/>
  <c r="Y48" i="26" a="1"/>
  <c r="Y48" i="26"/>
  <c r="T48" i="26" a="1"/>
  <c r="T48" i="26"/>
  <c r="S48" i="26" a="1"/>
  <c r="S48" i="26"/>
  <c r="R48" i="26" a="1"/>
  <c r="R48" i="26"/>
  <c r="Q48" i="26" a="1"/>
  <c r="Q48" i="26"/>
  <c r="L48" i="26" a="1"/>
  <c r="L48" i="26"/>
  <c r="K48" i="26" a="1"/>
  <c r="K48" i="26"/>
  <c r="J48" i="26" a="1"/>
  <c r="J48" i="26"/>
  <c r="I48" i="26" a="1"/>
  <c r="I48" i="26"/>
  <c r="BP37" i="26" a="1"/>
  <c r="BP37" i="26"/>
  <c r="BO37" i="26" a="1"/>
  <c r="BO37" i="26"/>
  <c r="BN37" i="26" a="1"/>
  <c r="BN37" i="26"/>
  <c r="BM37" i="26" a="1"/>
  <c r="BM37" i="26"/>
  <c r="BH37" i="26" a="1"/>
  <c r="BH37" i="26"/>
  <c r="BG37" i="26" a="1"/>
  <c r="BG37" i="26"/>
  <c r="BF37" i="26" a="1"/>
  <c r="BF37" i="26"/>
  <c r="BE37" i="26" a="1"/>
  <c r="BE37" i="26"/>
  <c r="AZ37" i="26" a="1"/>
  <c r="AZ37" i="26"/>
  <c r="AY37" i="26" a="1"/>
  <c r="AY37" i="26"/>
  <c r="AX37" i="26" a="1"/>
  <c r="AX37" i="26"/>
  <c r="AW37" i="26" a="1"/>
  <c r="AW37" i="26"/>
  <c r="AR37" i="26" a="1"/>
  <c r="AR37" i="26"/>
  <c r="AQ37" i="26" a="1"/>
  <c r="AQ37" i="26"/>
  <c r="AP37" i="26" a="1"/>
  <c r="AP37" i="26"/>
  <c r="AO37" i="26" a="1"/>
  <c r="AO37" i="26"/>
  <c r="AJ37" i="26" a="1"/>
  <c r="AJ37" i="26"/>
  <c r="AI37" i="26" a="1"/>
  <c r="AI37" i="26"/>
  <c r="AH37" i="26" a="1"/>
  <c r="AH37" i="26"/>
  <c r="AG37" i="26" a="1"/>
  <c r="AG37" i="26"/>
  <c r="AB37" i="26" a="1"/>
  <c r="AB37" i="26"/>
  <c r="AA37" i="26" a="1"/>
  <c r="AA37" i="26"/>
  <c r="Z37" i="26" a="1"/>
  <c r="Z37" i="26"/>
  <c r="Y37" i="26" a="1"/>
  <c r="Y37" i="26"/>
  <c r="T37" i="26" a="1"/>
  <c r="T37" i="26"/>
  <c r="S37" i="26" a="1"/>
  <c r="S37" i="26"/>
  <c r="R37" i="26" a="1"/>
  <c r="R37" i="26"/>
  <c r="Q37" i="26" a="1"/>
  <c r="Q37" i="26"/>
  <c r="L37" i="26" a="1"/>
  <c r="L37" i="26"/>
  <c r="K37" i="26" a="1"/>
  <c r="K37" i="26"/>
  <c r="J37" i="26" a="1"/>
  <c r="J37" i="26"/>
  <c r="I37" i="26" a="1"/>
  <c r="I37" i="26"/>
  <c r="BP47" i="26" a="1"/>
  <c r="BP47" i="26"/>
  <c r="BO47" i="26" a="1"/>
  <c r="BO47" i="26"/>
  <c r="BN47" i="26" a="1"/>
  <c r="BN47" i="26"/>
  <c r="BM47" i="26" a="1"/>
  <c r="BM47" i="26"/>
  <c r="BL47" i="26" a="1"/>
  <c r="BL47" i="26"/>
  <c r="BH47" i="26" a="1"/>
  <c r="BH47" i="26"/>
  <c r="BG47" i="26" a="1"/>
  <c r="BG47" i="26"/>
  <c r="BF47" i="26" a="1"/>
  <c r="BF47" i="26"/>
  <c r="BE47" i="26" a="1"/>
  <c r="BE47" i="26"/>
  <c r="AZ47" i="26" a="1"/>
  <c r="AZ47" i="26"/>
  <c r="AY47" i="26" a="1"/>
  <c r="AY47" i="26"/>
  <c r="AX47" i="26" a="1"/>
  <c r="AX47" i="26"/>
  <c r="AW47" i="26" a="1"/>
  <c r="AW47" i="26"/>
  <c r="AR47" i="26" a="1"/>
  <c r="AR47" i="26"/>
  <c r="AQ47" i="26" a="1"/>
  <c r="AQ47" i="26"/>
  <c r="AP47" i="26" a="1"/>
  <c r="AP47" i="26"/>
  <c r="AO47" i="26" a="1"/>
  <c r="AO47" i="26"/>
  <c r="AJ47" i="26" a="1"/>
  <c r="AJ47" i="26"/>
  <c r="AI47" i="26" a="1"/>
  <c r="AI47" i="26"/>
  <c r="AH47" i="26" a="1"/>
  <c r="AH47" i="26"/>
  <c r="AG47" i="26" a="1"/>
  <c r="AG47" i="26"/>
  <c r="AB47" i="26" a="1"/>
  <c r="AB47" i="26"/>
  <c r="AA47" i="26" a="1"/>
  <c r="AA47" i="26"/>
  <c r="Z47" i="26" a="1"/>
  <c r="Z47" i="26"/>
  <c r="Y47" i="26" a="1"/>
  <c r="Y47" i="26"/>
  <c r="T47" i="26" a="1"/>
  <c r="T47" i="26"/>
  <c r="S47" i="26" a="1"/>
  <c r="S47" i="26"/>
  <c r="R47" i="26" a="1"/>
  <c r="R47" i="26"/>
  <c r="Q47" i="26" a="1"/>
  <c r="Q47" i="26"/>
  <c r="L47" i="26" a="1"/>
  <c r="L47" i="26"/>
  <c r="K47" i="26" a="1"/>
  <c r="K47" i="26"/>
  <c r="J47" i="26" a="1"/>
  <c r="J47" i="26"/>
  <c r="I47" i="26" a="1"/>
  <c r="I47" i="26"/>
  <c r="BP36" i="26" a="1"/>
  <c r="BP36" i="26"/>
  <c r="BO36" i="26" a="1"/>
  <c r="BO36" i="26"/>
  <c r="BN36" i="26" a="1"/>
  <c r="BN36" i="26"/>
  <c r="BM36" i="26" a="1"/>
  <c r="BM36" i="26"/>
  <c r="BH36" i="26" a="1"/>
  <c r="BH36" i="26"/>
  <c r="BG36" i="26" a="1"/>
  <c r="BG36" i="26"/>
  <c r="BF36" i="26" a="1"/>
  <c r="BF36" i="26"/>
  <c r="BE36" i="26" a="1"/>
  <c r="BE36" i="26"/>
  <c r="AZ36" i="26" a="1"/>
  <c r="AZ36" i="26"/>
  <c r="AY36" i="26" a="1"/>
  <c r="AY36" i="26"/>
  <c r="AX36" i="26" a="1"/>
  <c r="AX36" i="26"/>
  <c r="AW36" i="26" a="1"/>
  <c r="AW36" i="26"/>
  <c r="AR36" i="26" a="1"/>
  <c r="AR36" i="26"/>
  <c r="AQ36" i="26" a="1"/>
  <c r="AQ36" i="26"/>
  <c r="AP36" i="26" a="1"/>
  <c r="AP36" i="26"/>
  <c r="AO36" i="26" a="1"/>
  <c r="AO36" i="26"/>
  <c r="AJ36" i="26" a="1"/>
  <c r="AJ36" i="26"/>
  <c r="AI36" i="26" a="1"/>
  <c r="AI36" i="26"/>
  <c r="AH36" i="26" a="1"/>
  <c r="AH36" i="26"/>
  <c r="AG36" i="26" a="1"/>
  <c r="AG36" i="26"/>
  <c r="AB36" i="26" a="1"/>
  <c r="AB36" i="26"/>
  <c r="AA36" i="26" a="1"/>
  <c r="AA36" i="26"/>
  <c r="Z36" i="26" a="1"/>
  <c r="Z36" i="26"/>
  <c r="Y36" i="26" a="1"/>
  <c r="Y36" i="26"/>
  <c r="T36" i="26" a="1"/>
  <c r="T36" i="26"/>
  <c r="S36" i="26" a="1"/>
  <c r="S36" i="26"/>
  <c r="R36" i="26" a="1"/>
  <c r="R36" i="26"/>
  <c r="Q36" i="26" a="1"/>
  <c r="Q36" i="26"/>
  <c r="L36" i="26" a="1"/>
  <c r="L36" i="26"/>
  <c r="K36" i="26" a="1"/>
  <c r="K36" i="26"/>
  <c r="J36" i="26" a="1"/>
  <c r="J36" i="26"/>
  <c r="I36" i="26" a="1"/>
  <c r="I36" i="26"/>
  <c r="BP46" i="26" a="1"/>
  <c r="BP46" i="26"/>
  <c r="BO46" i="26" a="1"/>
  <c r="BO46" i="26"/>
  <c r="BN46" i="26" a="1"/>
  <c r="BN46" i="26"/>
  <c r="BM46" i="26" a="1"/>
  <c r="BM46" i="26"/>
  <c r="BL46" i="26" a="1"/>
  <c r="BL46" i="26"/>
  <c r="BH46" i="26" a="1"/>
  <c r="BH46" i="26"/>
  <c r="BG46" i="26" a="1"/>
  <c r="BG46" i="26"/>
  <c r="BF46" i="26" a="1"/>
  <c r="BF46" i="26"/>
  <c r="BE46" i="26" a="1"/>
  <c r="BE46" i="26"/>
  <c r="AZ46" i="26" a="1"/>
  <c r="AZ46" i="26"/>
  <c r="AY46" i="26" a="1"/>
  <c r="AY46" i="26"/>
  <c r="AX46" i="26" a="1"/>
  <c r="AX46" i="26"/>
  <c r="AW46" i="26" a="1"/>
  <c r="AW46" i="26"/>
  <c r="AR46" i="26" a="1"/>
  <c r="AR46" i="26"/>
  <c r="AQ46" i="26" a="1"/>
  <c r="AQ46" i="26"/>
  <c r="AP46" i="26" a="1"/>
  <c r="AP46" i="26"/>
  <c r="AO46" i="26" a="1"/>
  <c r="AO46" i="26"/>
  <c r="AJ46" i="26" a="1"/>
  <c r="AJ46" i="26"/>
  <c r="AI46" i="26" a="1"/>
  <c r="AI46" i="26"/>
  <c r="AH46" i="26" a="1"/>
  <c r="AH46" i="26"/>
  <c r="AG46" i="26" a="1"/>
  <c r="AG46" i="26"/>
  <c r="AB46" i="26" a="1"/>
  <c r="AB46" i="26"/>
  <c r="AA46" i="26" a="1"/>
  <c r="AA46" i="26"/>
  <c r="Z46" i="26" a="1"/>
  <c r="Z46" i="26"/>
  <c r="Y46" i="26" a="1"/>
  <c r="Y46" i="26"/>
  <c r="T46" i="26" a="1"/>
  <c r="T46" i="26"/>
  <c r="S46" i="26" a="1"/>
  <c r="S46" i="26"/>
  <c r="R46" i="26" a="1"/>
  <c r="R46" i="26"/>
  <c r="Q46" i="26" a="1"/>
  <c r="Q46" i="26"/>
  <c r="L46" i="26" a="1"/>
  <c r="L46" i="26"/>
  <c r="K46" i="26" a="1"/>
  <c r="K46" i="26"/>
  <c r="J46" i="26" a="1"/>
  <c r="J46" i="26"/>
  <c r="I46" i="26" a="1"/>
  <c r="I46" i="26"/>
  <c r="BP35" i="26" a="1"/>
  <c r="BP35" i="26"/>
  <c r="BO35" i="26" a="1"/>
  <c r="BO35" i="26"/>
  <c r="BN35" i="26" a="1"/>
  <c r="BN35" i="26"/>
  <c r="BM35" i="26" a="1"/>
  <c r="BM35" i="26"/>
  <c r="BH35" i="26" a="1"/>
  <c r="BH35" i="26"/>
  <c r="BG35" i="26" a="1"/>
  <c r="BG35" i="26"/>
  <c r="BF35" i="26" a="1"/>
  <c r="BF35" i="26"/>
  <c r="BE35" i="26" a="1"/>
  <c r="BE35" i="26"/>
  <c r="AZ35" i="26" a="1"/>
  <c r="AZ35" i="26"/>
  <c r="AY35" i="26" a="1"/>
  <c r="AY35" i="26"/>
  <c r="AX35" i="26" a="1"/>
  <c r="AX35" i="26"/>
  <c r="AW35" i="26" a="1"/>
  <c r="AW35" i="26"/>
  <c r="AR35" i="26" a="1"/>
  <c r="AR35" i="26"/>
  <c r="AQ35" i="26" a="1"/>
  <c r="AQ35" i="26"/>
  <c r="AP35" i="26" a="1"/>
  <c r="AP35" i="26"/>
  <c r="AO35" i="26" a="1"/>
  <c r="AO35" i="26"/>
  <c r="AJ35" i="26" a="1"/>
  <c r="AJ35" i="26"/>
  <c r="AI35" i="26" a="1"/>
  <c r="AI35" i="26"/>
  <c r="AH35" i="26" a="1"/>
  <c r="AH35" i="26"/>
  <c r="AG35" i="26" a="1"/>
  <c r="AG35" i="26"/>
  <c r="AB35" i="26" a="1"/>
  <c r="AB35" i="26"/>
  <c r="AA35" i="26" a="1"/>
  <c r="AA35" i="26"/>
  <c r="Z35" i="26" a="1"/>
  <c r="Z35" i="26"/>
  <c r="Y35" i="26" a="1"/>
  <c r="Y35" i="26"/>
  <c r="T35" i="26" a="1"/>
  <c r="T35" i="26"/>
  <c r="S35" i="26" a="1"/>
  <c r="S35" i="26"/>
  <c r="R35" i="26" a="1"/>
  <c r="R35" i="26"/>
  <c r="Q35" i="26" a="1"/>
  <c r="Q35" i="26"/>
  <c r="L35" i="26" a="1"/>
  <c r="L35" i="26"/>
  <c r="K35" i="26" a="1"/>
  <c r="K35" i="26"/>
  <c r="J35" i="26" a="1"/>
  <c r="J35" i="26"/>
  <c r="I35" i="26" a="1"/>
  <c r="I35" i="26"/>
  <c r="BP45" i="26" a="1"/>
  <c r="BP45" i="26"/>
  <c r="BO45" i="26" a="1"/>
  <c r="BO45" i="26"/>
  <c r="BN45" i="26" a="1"/>
  <c r="BN45" i="26"/>
  <c r="BM45" i="26" a="1"/>
  <c r="BM45" i="26"/>
  <c r="BL45" i="26" a="1"/>
  <c r="BL45" i="26"/>
  <c r="BH45" i="26" a="1"/>
  <c r="BH45" i="26"/>
  <c r="BG45" i="26" a="1"/>
  <c r="BG45" i="26"/>
  <c r="BF45" i="26" a="1"/>
  <c r="BF45" i="26"/>
  <c r="BE45" i="26" a="1"/>
  <c r="BE45" i="26"/>
  <c r="AZ45" i="26" a="1"/>
  <c r="AZ45" i="26"/>
  <c r="AY45" i="26" a="1"/>
  <c r="AY45" i="26"/>
  <c r="AX45" i="26" a="1"/>
  <c r="AX45" i="26"/>
  <c r="AW45" i="26" a="1"/>
  <c r="AW45" i="26"/>
  <c r="AR45" i="26" a="1"/>
  <c r="AR45" i="26"/>
  <c r="AQ45" i="26" a="1"/>
  <c r="AQ45" i="26"/>
  <c r="AP45" i="26" a="1"/>
  <c r="AP45" i="26"/>
  <c r="AO45" i="26" a="1"/>
  <c r="AO45" i="26"/>
  <c r="AJ45" i="26" a="1"/>
  <c r="AJ45" i="26"/>
  <c r="AI45" i="26" a="1"/>
  <c r="AI45" i="26"/>
  <c r="AH45" i="26" a="1"/>
  <c r="AH45" i="26"/>
  <c r="AG45" i="26" a="1"/>
  <c r="AG45" i="26"/>
  <c r="AB45" i="26" a="1"/>
  <c r="AB45" i="26"/>
  <c r="AA45" i="26" a="1"/>
  <c r="AA45" i="26"/>
  <c r="Z45" i="26" a="1"/>
  <c r="Z45" i="26"/>
  <c r="Y45" i="26" a="1"/>
  <c r="Y45" i="26"/>
  <c r="T45" i="26" a="1"/>
  <c r="T45" i="26"/>
  <c r="S45" i="26" a="1"/>
  <c r="S45" i="26"/>
  <c r="R45" i="26" a="1"/>
  <c r="R45" i="26"/>
  <c r="Q45" i="26" a="1"/>
  <c r="Q45" i="26"/>
  <c r="L45" i="26" a="1"/>
  <c r="L45" i="26"/>
  <c r="K45" i="26" a="1"/>
  <c r="K45" i="26"/>
  <c r="J45" i="26" a="1"/>
  <c r="J45" i="26"/>
  <c r="I45" i="26" a="1"/>
  <c r="I45" i="26"/>
  <c r="BP34" i="26" a="1"/>
  <c r="BP34" i="26"/>
  <c r="BO34" i="26" a="1"/>
  <c r="BO34" i="26"/>
  <c r="BN34" i="26" a="1"/>
  <c r="BN34" i="26"/>
  <c r="BM34" i="26" a="1"/>
  <c r="BM34" i="26"/>
  <c r="BH34" i="26" a="1"/>
  <c r="BH34" i="26"/>
  <c r="BG34" i="26" a="1"/>
  <c r="BG34" i="26"/>
  <c r="BF34" i="26" a="1"/>
  <c r="BF34" i="26"/>
  <c r="BE34" i="26" a="1"/>
  <c r="BE34" i="26"/>
  <c r="AZ34" i="26" a="1"/>
  <c r="AZ34" i="26"/>
  <c r="AY34" i="26" a="1"/>
  <c r="AY34" i="26"/>
  <c r="AX34" i="26" a="1"/>
  <c r="AX34" i="26"/>
  <c r="AW34" i="26" a="1"/>
  <c r="AW34" i="26"/>
  <c r="AR34" i="26" a="1"/>
  <c r="AR34" i="26"/>
  <c r="AQ34" i="26" a="1"/>
  <c r="AQ34" i="26"/>
  <c r="AP34" i="26" a="1"/>
  <c r="AP34" i="26"/>
  <c r="AO34" i="26" a="1"/>
  <c r="AO34" i="26"/>
  <c r="AJ34" i="26" a="1"/>
  <c r="AJ34" i="26"/>
  <c r="AI34" i="26" a="1"/>
  <c r="AI34" i="26"/>
  <c r="AH34" i="26" a="1"/>
  <c r="AH34" i="26"/>
  <c r="AG34" i="26" a="1"/>
  <c r="AG34" i="26"/>
  <c r="AB34" i="26" a="1"/>
  <c r="AB34" i="26"/>
  <c r="AA34" i="26" a="1"/>
  <c r="AA34" i="26"/>
  <c r="Z34" i="26" a="1"/>
  <c r="Z34" i="26"/>
  <c r="Y34" i="26" a="1"/>
  <c r="Y34" i="26"/>
  <c r="T34" i="26" a="1"/>
  <c r="T34" i="26"/>
  <c r="S34" i="26" a="1"/>
  <c r="S34" i="26"/>
  <c r="R34" i="26" a="1"/>
  <c r="R34" i="26"/>
  <c r="Q34" i="26" a="1"/>
  <c r="Q34" i="26"/>
  <c r="L34" i="26" a="1"/>
  <c r="L34" i="26"/>
  <c r="K34" i="26" a="1"/>
  <c r="K34" i="26"/>
  <c r="J34" i="26" a="1"/>
  <c r="J34" i="26"/>
  <c r="I34" i="26" a="1"/>
  <c r="I34" i="26"/>
  <c r="AI65" i="42"/>
  <c r="AI66" i="42"/>
  <c r="AI67" i="42"/>
  <c r="AI68" i="42"/>
  <c r="AI69" i="42"/>
  <c r="AI70" i="42"/>
  <c r="AI71" i="42"/>
  <c r="AI72" i="42"/>
  <c r="AI73" i="42"/>
  <c r="AI74" i="42"/>
  <c r="AI75" i="42"/>
  <c r="AI76" i="42"/>
  <c r="AI77" i="42"/>
  <c r="AI78" i="42"/>
  <c r="AI79" i="42"/>
  <c r="AI80" i="42"/>
  <c r="AI81" i="42"/>
  <c r="AI82" i="42"/>
  <c r="AI83" i="42"/>
  <c r="AI84" i="42"/>
  <c r="AI85" i="42"/>
  <c r="AI86" i="42"/>
  <c r="AI87" i="42"/>
  <c r="AI88" i="42"/>
  <c r="AI89" i="42"/>
  <c r="AI90" i="42"/>
  <c r="AI91" i="42"/>
  <c r="AI92" i="42"/>
  <c r="AI93" i="42"/>
  <c r="AI94" i="42"/>
  <c r="AI95" i="42"/>
  <c r="AI96" i="42"/>
  <c r="AI97" i="42"/>
  <c r="AI98" i="42"/>
  <c r="AI99" i="42"/>
  <c r="AA137" i="42"/>
  <c r="AA138" i="42"/>
  <c r="AA139" i="42"/>
  <c r="AA140" i="42"/>
  <c r="AA141" i="42"/>
  <c r="AA142" i="42"/>
  <c r="AA143" i="42"/>
  <c r="AA144" i="42"/>
  <c r="AA145" i="42"/>
  <c r="AA146" i="42"/>
  <c r="AA147" i="42"/>
  <c r="AA148" i="42"/>
  <c r="AA149" i="42"/>
  <c r="AA150" i="42"/>
  <c r="AA151" i="42"/>
  <c r="AA152" i="42"/>
  <c r="AA153" i="42"/>
  <c r="AA154" i="42"/>
  <c r="AA155" i="42"/>
  <c r="AA156" i="42"/>
  <c r="AA157" i="42"/>
  <c r="AA158" i="42"/>
  <c r="AA159" i="42"/>
  <c r="AA160" i="42"/>
  <c r="AA161" i="42"/>
  <c r="AA162" i="42"/>
  <c r="AA163" i="42"/>
  <c r="AA164" i="42"/>
  <c r="AA165" i="42"/>
  <c r="AA166" i="42"/>
  <c r="AA167" i="42"/>
  <c r="AA168" i="42"/>
  <c r="AA169" i="42"/>
  <c r="AA170" i="42"/>
  <c r="AA171" i="42"/>
  <c r="I34" i="27" a="1"/>
  <c r="I34" i="27"/>
  <c r="J34" i="27" a="1"/>
  <c r="J34" i="27"/>
  <c r="K34" i="27" a="1"/>
  <c r="K34" i="27"/>
  <c r="L34" i="27" a="1"/>
  <c r="L34" i="27"/>
  <c r="Q34" i="27" a="1"/>
  <c r="Q34" i="27"/>
  <c r="R34" i="27" a="1"/>
  <c r="R34" i="27"/>
  <c r="S34" i="27" a="1"/>
  <c r="S34" i="27"/>
  <c r="T34" i="27" a="1"/>
  <c r="T34" i="27"/>
  <c r="Y34" i="27" a="1"/>
  <c r="Y34" i="27"/>
  <c r="Z34" i="27" a="1"/>
  <c r="Z34" i="27"/>
  <c r="AA34" i="27" a="1"/>
  <c r="AA34" i="27"/>
  <c r="AB34" i="27" a="1"/>
  <c r="AB34" i="27"/>
  <c r="AG34" i="27" a="1"/>
  <c r="AG34" i="27"/>
  <c r="AH34" i="27" a="1"/>
  <c r="AH34" i="27"/>
  <c r="AI34" i="27" a="1"/>
  <c r="AI34" i="27"/>
  <c r="AJ34" i="27" a="1"/>
  <c r="AJ34" i="27"/>
  <c r="AO34" i="27" a="1"/>
  <c r="AO34" i="27"/>
  <c r="AP34" i="27" a="1"/>
  <c r="AP34" i="27"/>
  <c r="AQ34" i="27" a="1"/>
  <c r="AQ34" i="27"/>
  <c r="AR34" i="27" a="1"/>
  <c r="AR34" i="27"/>
  <c r="AW34" i="27" a="1"/>
  <c r="AW34" i="27"/>
  <c r="AX34" i="27" a="1"/>
  <c r="AX34" i="27"/>
  <c r="AY34" i="27" a="1"/>
  <c r="AY34" i="27"/>
  <c r="AZ34" i="27" a="1"/>
  <c r="AZ34" i="27"/>
  <c r="BE34" i="27" a="1"/>
  <c r="BE34" i="27"/>
  <c r="BF34" i="27" a="1"/>
  <c r="BF34" i="27"/>
  <c r="BG34" i="27" a="1"/>
  <c r="BG34" i="27"/>
  <c r="BH34" i="27" a="1"/>
  <c r="BH34" i="27"/>
  <c r="BM34" i="27" a="1"/>
  <c r="BM34" i="27"/>
  <c r="BN34" i="27" a="1"/>
  <c r="BN34" i="27"/>
  <c r="BO34" i="27" a="1"/>
  <c r="BO34" i="27"/>
  <c r="BP34" i="27" a="1"/>
  <c r="BP34" i="27"/>
  <c r="I35" i="27" a="1"/>
  <c r="I35" i="27"/>
  <c r="J35" i="27" a="1"/>
  <c r="J35" i="27"/>
  <c r="K35" i="27" a="1"/>
  <c r="K35" i="27"/>
  <c r="L35" i="27" a="1"/>
  <c r="L35" i="27"/>
  <c r="Q35" i="27" a="1"/>
  <c r="Q35" i="27"/>
  <c r="R35" i="27" a="1"/>
  <c r="R35" i="27"/>
  <c r="S35" i="27" a="1"/>
  <c r="S35" i="27"/>
  <c r="T35" i="27" a="1"/>
  <c r="T35" i="27"/>
  <c r="Y35" i="27" a="1"/>
  <c r="Y35" i="27"/>
  <c r="Z35" i="27" a="1"/>
  <c r="Z35" i="27"/>
  <c r="AA35" i="27" a="1"/>
  <c r="AA35" i="27"/>
  <c r="AB35" i="27" a="1"/>
  <c r="AB35" i="27"/>
  <c r="AG35" i="27" a="1"/>
  <c r="AG35" i="27"/>
  <c r="AH35" i="27" a="1"/>
  <c r="AH35" i="27"/>
  <c r="AI35" i="27" a="1"/>
  <c r="AI35" i="27"/>
  <c r="AJ35" i="27" a="1"/>
  <c r="AJ35" i="27"/>
  <c r="AO35" i="27" a="1"/>
  <c r="AO35" i="27"/>
  <c r="AP35" i="27" a="1"/>
  <c r="AP35" i="27"/>
  <c r="AQ35" i="27" a="1"/>
  <c r="AQ35" i="27"/>
  <c r="AR35" i="27" a="1"/>
  <c r="AR35" i="27"/>
  <c r="AW35" i="27" a="1"/>
  <c r="AW35" i="27"/>
  <c r="AX35" i="27" a="1"/>
  <c r="AX35" i="27"/>
  <c r="AY35" i="27" a="1"/>
  <c r="AY35" i="27"/>
  <c r="AZ35" i="27" a="1"/>
  <c r="AZ35" i="27"/>
  <c r="BE35" i="27" a="1"/>
  <c r="BE35" i="27"/>
  <c r="BF35" i="27" a="1"/>
  <c r="BF35" i="27"/>
  <c r="BG35" i="27" a="1"/>
  <c r="BG35" i="27"/>
  <c r="BH35" i="27" a="1"/>
  <c r="BH35" i="27"/>
  <c r="BM35" i="27" a="1"/>
  <c r="BM35" i="27"/>
  <c r="BN35" i="27" a="1"/>
  <c r="BN35" i="27"/>
  <c r="BO35" i="27" a="1"/>
  <c r="BO35" i="27"/>
  <c r="BP35" i="27" a="1"/>
  <c r="BP35" i="27"/>
  <c r="I36" i="27" a="1"/>
  <c r="I36" i="27"/>
  <c r="J36" i="27" a="1"/>
  <c r="J36" i="27"/>
  <c r="K36" i="27" a="1"/>
  <c r="K36" i="27"/>
  <c r="L36" i="27" a="1"/>
  <c r="L36" i="27"/>
  <c r="Q36" i="27" a="1"/>
  <c r="Q36" i="27"/>
  <c r="R36" i="27" a="1"/>
  <c r="R36" i="27"/>
  <c r="S36" i="27" a="1"/>
  <c r="S36" i="27"/>
  <c r="T36" i="27" a="1"/>
  <c r="T36" i="27"/>
  <c r="Y36" i="27" a="1"/>
  <c r="Y36" i="27"/>
  <c r="Z36" i="27" a="1"/>
  <c r="Z36" i="27"/>
  <c r="AA36" i="27" a="1"/>
  <c r="AA36" i="27"/>
  <c r="AB36" i="27" a="1"/>
  <c r="AB36" i="27"/>
  <c r="AG36" i="27" a="1"/>
  <c r="AG36" i="27"/>
  <c r="AH36" i="27" a="1"/>
  <c r="AH36" i="27"/>
  <c r="AI36" i="27" a="1"/>
  <c r="AI36" i="27"/>
  <c r="AJ36" i="27" a="1"/>
  <c r="AJ36" i="27"/>
  <c r="AO36" i="27" a="1"/>
  <c r="AO36" i="27"/>
  <c r="AP36" i="27" a="1"/>
  <c r="AP36" i="27"/>
  <c r="AQ36" i="27" a="1"/>
  <c r="AQ36" i="27"/>
  <c r="AR36" i="27" a="1"/>
  <c r="AR36" i="27"/>
  <c r="AW36" i="27" a="1"/>
  <c r="AW36" i="27"/>
  <c r="AX36" i="27" a="1"/>
  <c r="AX36" i="27"/>
  <c r="AY36" i="27" a="1"/>
  <c r="AY36" i="27"/>
  <c r="AZ36" i="27" a="1"/>
  <c r="AZ36" i="27"/>
  <c r="BE36" i="27" a="1"/>
  <c r="BE36" i="27"/>
  <c r="BF36" i="27" a="1"/>
  <c r="BF36" i="27"/>
  <c r="BG36" i="27" a="1"/>
  <c r="BG36" i="27"/>
  <c r="BH36" i="27" a="1"/>
  <c r="BH36" i="27"/>
  <c r="BM36" i="27" a="1"/>
  <c r="BM36" i="27"/>
  <c r="BN36" i="27" a="1"/>
  <c r="BN36" i="27"/>
  <c r="BO36" i="27" a="1"/>
  <c r="BO36" i="27"/>
  <c r="BP36" i="27" a="1"/>
  <c r="BP36" i="27"/>
  <c r="I37" i="27" a="1"/>
  <c r="I37" i="27"/>
  <c r="J37" i="27" a="1"/>
  <c r="J37" i="27"/>
  <c r="K37" i="27" a="1"/>
  <c r="K37" i="27"/>
  <c r="L37" i="27" a="1"/>
  <c r="L37" i="27"/>
  <c r="Q37" i="27" a="1"/>
  <c r="Q37" i="27"/>
  <c r="R37" i="27" a="1"/>
  <c r="R37" i="27"/>
  <c r="S37" i="27" a="1"/>
  <c r="S37" i="27"/>
  <c r="T37" i="27" a="1"/>
  <c r="T37" i="27"/>
  <c r="Y37" i="27" a="1"/>
  <c r="Y37" i="27"/>
  <c r="Z37" i="27" a="1"/>
  <c r="Z37" i="27"/>
  <c r="AA37" i="27" a="1"/>
  <c r="AA37" i="27"/>
  <c r="AB37" i="27" a="1"/>
  <c r="AB37" i="27"/>
  <c r="AG37" i="27" a="1"/>
  <c r="AG37" i="27"/>
  <c r="AH37" i="27" a="1"/>
  <c r="AH37" i="27"/>
  <c r="AI37" i="27" a="1"/>
  <c r="AI37" i="27"/>
  <c r="AJ37" i="27" a="1"/>
  <c r="AJ37" i="27"/>
  <c r="AO37" i="27" a="1"/>
  <c r="AO37" i="27"/>
  <c r="AP37" i="27" a="1"/>
  <c r="AP37" i="27"/>
  <c r="AQ37" i="27" a="1"/>
  <c r="AQ37" i="27"/>
  <c r="AR37" i="27" a="1"/>
  <c r="AR37" i="27"/>
  <c r="AW37" i="27" a="1"/>
  <c r="AW37" i="27"/>
  <c r="AX37" i="27" a="1"/>
  <c r="AX37" i="27"/>
  <c r="AY37" i="27" a="1"/>
  <c r="AY37" i="27"/>
  <c r="AZ37" i="27" a="1"/>
  <c r="AZ37" i="27"/>
  <c r="BE37" i="27" a="1"/>
  <c r="BE37" i="27"/>
  <c r="BF37" i="27" a="1"/>
  <c r="BF37" i="27"/>
  <c r="BG37" i="27" a="1"/>
  <c r="BG37" i="27"/>
  <c r="BH37" i="27" a="1"/>
  <c r="BH37" i="27"/>
  <c r="BM37" i="27" a="1"/>
  <c r="BM37" i="27"/>
  <c r="BN37" i="27" a="1"/>
  <c r="BN37" i="27"/>
  <c r="BO37" i="27" a="1"/>
  <c r="BO37" i="27"/>
  <c r="BP37" i="27" a="1"/>
  <c r="BP37" i="27"/>
  <c r="I38" i="27" a="1"/>
  <c r="I38" i="27"/>
  <c r="J38" i="27" a="1"/>
  <c r="J38" i="27"/>
  <c r="K38" i="27" a="1"/>
  <c r="K38" i="27"/>
  <c r="L38" i="27" a="1"/>
  <c r="L38" i="27"/>
  <c r="Q38" i="27" a="1"/>
  <c r="Q38" i="27"/>
  <c r="R38" i="27" a="1"/>
  <c r="R38" i="27"/>
  <c r="S38" i="27" a="1"/>
  <c r="S38" i="27"/>
  <c r="T38" i="27" a="1"/>
  <c r="T38" i="27"/>
  <c r="Y38" i="27" a="1"/>
  <c r="Y38" i="27"/>
  <c r="Z38" i="27" a="1"/>
  <c r="Z38" i="27"/>
  <c r="AA38" i="27" a="1"/>
  <c r="AA38" i="27"/>
  <c r="AB38" i="27" a="1"/>
  <c r="AB38" i="27"/>
  <c r="AG38" i="27" a="1"/>
  <c r="AG38" i="27"/>
  <c r="AH38" i="27" a="1"/>
  <c r="AH38" i="27"/>
  <c r="AI38" i="27" a="1"/>
  <c r="AI38" i="27"/>
  <c r="AJ38" i="27" a="1"/>
  <c r="AJ38" i="27"/>
  <c r="AO38" i="27" a="1"/>
  <c r="AO38" i="27"/>
  <c r="AP38" i="27" a="1"/>
  <c r="AP38" i="27"/>
  <c r="AQ38" i="27" a="1"/>
  <c r="AQ38" i="27"/>
  <c r="AR38" i="27" a="1"/>
  <c r="AR38" i="27"/>
  <c r="AW38" i="27" a="1"/>
  <c r="AW38" i="27"/>
  <c r="AX38" i="27" a="1"/>
  <c r="AX38" i="27"/>
  <c r="AY38" i="27" a="1"/>
  <c r="AY38" i="27"/>
  <c r="AZ38" i="27" a="1"/>
  <c r="AZ38" i="27"/>
  <c r="BE38" i="27" a="1"/>
  <c r="BE38" i="27"/>
  <c r="BF38" i="27" a="1"/>
  <c r="BF38" i="27"/>
  <c r="BG38" i="27" a="1"/>
  <c r="BG38" i="27"/>
  <c r="BH38" i="27" a="1"/>
  <c r="BH38" i="27"/>
  <c r="BM38" i="27" a="1"/>
  <c r="BM38" i="27"/>
  <c r="BN38" i="27" a="1"/>
  <c r="BN38" i="27"/>
  <c r="BO38" i="27" a="1"/>
  <c r="BO38" i="27"/>
  <c r="BP38" i="27" a="1"/>
  <c r="BP38" i="27"/>
  <c r="I34" i="28" a="1"/>
  <c r="I34" i="28"/>
  <c r="J34" i="28" a="1"/>
  <c r="J34" i="28"/>
  <c r="K34" i="28" a="1"/>
  <c r="K34" i="28"/>
  <c r="L34" i="28" a="1"/>
  <c r="L34" i="28"/>
  <c r="Q34" i="28" a="1"/>
  <c r="Q34" i="28"/>
  <c r="R34" i="28" a="1"/>
  <c r="R34" i="28"/>
  <c r="S34" i="28" a="1"/>
  <c r="S34" i="28"/>
  <c r="T34" i="28" a="1"/>
  <c r="T34" i="28"/>
  <c r="Y34" i="28" a="1"/>
  <c r="Y34" i="28"/>
  <c r="Z34" i="28" a="1"/>
  <c r="Z34" i="28"/>
  <c r="AA34" i="28" a="1"/>
  <c r="AA34" i="28"/>
  <c r="AB34" i="28" a="1"/>
  <c r="AB34" i="28"/>
  <c r="AG34" i="28" a="1"/>
  <c r="AG34" i="28"/>
  <c r="AH34" i="28" a="1"/>
  <c r="AH34" i="28"/>
  <c r="AI34" i="28" a="1"/>
  <c r="AI34" i="28"/>
  <c r="AJ34" i="28" a="1"/>
  <c r="AJ34" i="28"/>
  <c r="AO34" i="28" a="1"/>
  <c r="AO34" i="28"/>
  <c r="AP34" i="28" a="1"/>
  <c r="AP34" i="28"/>
  <c r="AQ34" i="28" a="1"/>
  <c r="AQ34" i="28"/>
  <c r="AR34" i="28" a="1"/>
  <c r="AR34" i="28"/>
  <c r="AW34" i="28" a="1"/>
  <c r="AW34" i="28"/>
  <c r="AX34" i="28" a="1"/>
  <c r="AX34" i="28"/>
  <c r="AY34" i="28" a="1"/>
  <c r="AY34" i="28"/>
  <c r="AZ34" i="28" a="1"/>
  <c r="AZ34" i="28"/>
  <c r="BE34" i="28" a="1"/>
  <c r="BE34" i="28"/>
  <c r="BF34" i="28" a="1"/>
  <c r="BF34" i="28"/>
  <c r="BG34" i="28" a="1"/>
  <c r="BG34" i="28"/>
  <c r="BH34" i="28" a="1"/>
  <c r="BH34" i="28"/>
  <c r="BM34" i="28" a="1"/>
  <c r="BM34" i="28"/>
  <c r="BN34" i="28" a="1"/>
  <c r="BN34" i="28"/>
  <c r="BO34" i="28" a="1"/>
  <c r="BO34" i="28"/>
  <c r="BP34" i="28" a="1"/>
  <c r="BP34" i="28"/>
  <c r="I35" i="28" a="1"/>
  <c r="I35" i="28"/>
  <c r="J35" i="28" a="1"/>
  <c r="J35" i="28"/>
  <c r="K35" i="28" a="1"/>
  <c r="K35" i="28"/>
  <c r="L35" i="28" a="1"/>
  <c r="L35" i="28"/>
  <c r="Q35" i="28" a="1"/>
  <c r="Q35" i="28"/>
  <c r="R35" i="28" a="1"/>
  <c r="R35" i="28"/>
  <c r="S35" i="28" a="1"/>
  <c r="S35" i="28"/>
  <c r="T35" i="28" a="1"/>
  <c r="T35" i="28"/>
  <c r="Y35" i="28" a="1"/>
  <c r="Y35" i="28"/>
  <c r="Z35" i="28" a="1"/>
  <c r="Z35" i="28"/>
  <c r="AA35" i="28" a="1"/>
  <c r="AA35" i="28"/>
  <c r="AB35" i="28" a="1"/>
  <c r="AB35" i="28"/>
  <c r="AG35" i="28" a="1"/>
  <c r="AG35" i="28"/>
  <c r="AH35" i="28" a="1"/>
  <c r="AH35" i="28"/>
  <c r="AI35" i="28" a="1"/>
  <c r="AI35" i="28"/>
  <c r="AJ35" i="28" a="1"/>
  <c r="AJ35" i="28"/>
  <c r="AO35" i="28" a="1"/>
  <c r="AO35" i="28"/>
  <c r="AP35" i="28" a="1"/>
  <c r="AP35" i="28"/>
  <c r="AQ35" i="28" a="1"/>
  <c r="AQ35" i="28"/>
  <c r="AR35" i="28" a="1"/>
  <c r="AR35" i="28"/>
  <c r="AW35" i="28" a="1"/>
  <c r="AW35" i="28"/>
  <c r="AX35" i="28" a="1"/>
  <c r="AX35" i="28"/>
  <c r="AY35" i="28" a="1"/>
  <c r="AY35" i="28"/>
  <c r="AZ35" i="28" a="1"/>
  <c r="AZ35" i="28"/>
  <c r="BE35" i="28" a="1"/>
  <c r="BE35" i="28"/>
  <c r="BF35" i="28" a="1"/>
  <c r="BF35" i="28"/>
  <c r="BG35" i="28" a="1"/>
  <c r="BG35" i="28"/>
  <c r="BH35" i="28" a="1"/>
  <c r="BH35" i="28"/>
  <c r="BM35" i="28" a="1"/>
  <c r="BM35" i="28"/>
  <c r="BN35" i="28" a="1"/>
  <c r="BN35" i="28"/>
  <c r="BO35" i="28" a="1"/>
  <c r="BO35" i="28"/>
  <c r="BP35" i="28" a="1"/>
  <c r="BP35" i="28"/>
  <c r="I36" i="28" a="1"/>
  <c r="I36" i="28"/>
  <c r="J36" i="28" a="1"/>
  <c r="J36" i="28"/>
  <c r="K36" i="28" a="1"/>
  <c r="K36" i="28"/>
  <c r="L36" i="28" a="1"/>
  <c r="L36" i="28"/>
  <c r="Q36" i="28" a="1"/>
  <c r="Q36" i="28"/>
  <c r="R36" i="28" a="1"/>
  <c r="R36" i="28"/>
  <c r="S36" i="28" a="1"/>
  <c r="S36" i="28"/>
  <c r="T36" i="28" a="1"/>
  <c r="T36" i="28"/>
  <c r="Y36" i="28" a="1"/>
  <c r="Y36" i="28"/>
  <c r="Z36" i="28" a="1"/>
  <c r="Z36" i="28"/>
  <c r="AA36" i="28" a="1"/>
  <c r="AA36" i="28"/>
  <c r="AB36" i="28" a="1"/>
  <c r="AB36" i="28"/>
  <c r="AG36" i="28" a="1"/>
  <c r="AG36" i="28"/>
  <c r="AH36" i="28" a="1"/>
  <c r="AH36" i="28"/>
  <c r="AI36" i="28" a="1"/>
  <c r="AI36" i="28"/>
  <c r="AJ36" i="28" a="1"/>
  <c r="AJ36" i="28"/>
  <c r="AO36" i="28" a="1"/>
  <c r="AO36" i="28"/>
  <c r="AP36" i="28" a="1"/>
  <c r="AP36" i="28"/>
  <c r="AQ36" i="28" a="1"/>
  <c r="AQ36" i="28"/>
  <c r="AR36" i="28" a="1"/>
  <c r="AR36" i="28"/>
  <c r="AW36" i="28" a="1"/>
  <c r="AW36" i="28"/>
  <c r="AX36" i="28" a="1"/>
  <c r="AX36" i="28"/>
  <c r="AY36" i="28" a="1"/>
  <c r="AY36" i="28"/>
  <c r="AZ36" i="28" a="1"/>
  <c r="AZ36" i="28"/>
  <c r="BE36" i="28" a="1"/>
  <c r="BE36" i="28"/>
  <c r="BF36" i="28" a="1"/>
  <c r="BF36" i="28"/>
  <c r="BG36" i="28" a="1"/>
  <c r="BG36" i="28"/>
  <c r="BH36" i="28" a="1"/>
  <c r="BH36" i="28"/>
  <c r="BM36" i="28" a="1"/>
  <c r="BM36" i="28"/>
  <c r="BN36" i="28" a="1"/>
  <c r="BN36" i="28"/>
  <c r="BO36" i="28" a="1"/>
  <c r="BO36" i="28"/>
  <c r="BP36" i="28" a="1"/>
  <c r="BP36" i="28"/>
  <c r="I37" i="28" a="1"/>
  <c r="I37" i="28"/>
  <c r="J37" i="28" a="1"/>
  <c r="J37" i="28"/>
  <c r="K37" i="28" a="1"/>
  <c r="K37" i="28"/>
  <c r="L37" i="28" a="1"/>
  <c r="L37" i="28"/>
  <c r="Q37" i="28" a="1"/>
  <c r="Q37" i="28"/>
  <c r="R37" i="28" a="1"/>
  <c r="R37" i="28"/>
  <c r="S37" i="28" a="1"/>
  <c r="S37" i="28"/>
  <c r="T37" i="28" a="1"/>
  <c r="T37" i="28"/>
  <c r="Y37" i="28" a="1"/>
  <c r="Y37" i="28"/>
  <c r="Z37" i="28" a="1"/>
  <c r="Z37" i="28"/>
  <c r="AA37" i="28" a="1"/>
  <c r="AA37" i="28"/>
  <c r="AB37" i="28" a="1"/>
  <c r="AB37" i="28"/>
  <c r="AG37" i="28" a="1"/>
  <c r="AG37" i="28"/>
  <c r="AH37" i="28" a="1"/>
  <c r="AH37" i="28"/>
  <c r="AI37" i="28" a="1"/>
  <c r="AI37" i="28"/>
  <c r="AJ37" i="28" a="1"/>
  <c r="AJ37" i="28"/>
  <c r="AO37" i="28" a="1"/>
  <c r="AO37" i="28"/>
  <c r="AP37" i="28" a="1"/>
  <c r="AP37" i="28"/>
  <c r="AQ37" i="28" a="1"/>
  <c r="AQ37" i="28"/>
  <c r="AR37" i="28" a="1"/>
  <c r="AR37" i="28"/>
  <c r="AW37" i="28" a="1"/>
  <c r="AW37" i="28"/>
  <c r="AX37" i="28" a="1"/>
  <c r="AX37" i="28"/>
  <c r="AY37" i="28" a="1"/>
  <c r="AY37" i="28"/>
  <c r="AZ37" i="28" a="1"/>
  <c r="AZ37" i="28"/>
  <c r="BE37" i="28" a="1"/>
  <c r="BE37" i="28"/>
  <c r="BF37" i="28" a="1"/>
  <c r="BF37" i="28"/>
  <c r="BG37" i="28" a="1"/>
  <c r="BG37" i="28"/>
  <c r="BH37" i="28" a="1"/>
  <c r="BH37" i="28"/>
  <c r="BM37" i="28" a="1"/>
  <c r="BM37" i="28"/>
  <c r="BN37" i="28" a="1"/>
  <c r="BN37" i="28"/>
  <c r="BO37" i="28" a="1"/>
  <c r="BO37" i="28"/>
  <c r="BP37" i="28" a="1"/>
  <c r="BP37" i="28"/>
  <c r="I38" i="28" a="1"/>
  <c r="I38" i="28"/>
  <c r="J38" i="28" a="1"/>
  <c r="J38" i="28"/>
  <c r="K38" i="28" a="1"/>
  <c r="K38" i="28"/>
  <c r="L38" i="28" a="1"/>
  <c r="L38" i="28"/>
  <c r="Q38" i="28" a="1"/>
  <c r="Q38" i="28"/>
  <c r="R38" i="28" a="1"/>
  <c r="R38" i="28"/>
  <c r="S38" i="28" a="1"/>
  <c r="S38" i="28"/>
  <c r="T38" i="28" a="1"/>
  <c r="T38" i="28"/>
  <c r="Y38" i="28" a="1"/>
  <c r="Y38" i="28"/>
  <c r="Z38" i="28" a="1"/>
  <c r="Z38" i="28"/>
  <c r="AA38" i="28" a="1"/>
  <c r="AA38" i="28"/>
  <c r="AB38" i="28" a="1"/>
  <c r="AB38" i="28"/>
  <c r="AG38" i="28" a="1"/>
  <c r="AG38" i="28"/>
  <c r="AH38" i="28" a="1"/>
  <c r="AH38" i="28"/>
  <c r="AI38" i="28" a="1"/>
  <c r="AI38" i="28"/>
  <c r="AJ38" i="28" a="1"/>
  <c r="AJ38" i="28"/>
  <c r="AO38" i="28" a="1"/>
  <c r="AO38" i="28"/>
  <c r="AP38" i="28" a="1"/>
  <c r="AP38" i="28"/>
  <c r="AQ38" i="28" a="1"/>
  <c r="AQ38" i="28"/>
  <c r="AR38" i="28" a="1"/>
  <c r="AR38" i="28"/>
  <c r="AW38" i="28" a="1"/>
  <c r="AW38" i="28"/>
  <c r="AX38" i="28" a="1"/>
  <c r="AX38" i="28"/>
  <c r="AY38" i="28" a="1"/>
  <c r="AY38" i="28"/>
  <c r="AZ38" i="28" a="1"/>
  <c r="AZ38" i="28"/>
  <c r="BE38" i="28" a="1"/>
  <c r="BE38" i="28"/>
  <c r="BF38" i="28" a="1"/>
  <c r="BF38" i="28"/>
  <c r="BG38" i="28" a="1"/>
  <c r="BG38" i="28"/>
  <c r="BH38" i="28" a="1"/>
  <c r="BH38" i="28"/>
  <c r="BM38" i="28" a="1"/>
  <c r="BM38" i="28"/>
  <c r="BN38" i="28" a="1"/>
  <c r="BN38" i="28"/>
  <c r="BO38" i="28" a="1"/>
  <c r="BO38" i="28"/>
  <c r="BP38" i="28" a="1"/>
  <c r="BP38" i="28"/>
  <c r="H17" i="29"/>
  <c r="I17" i="29"/>
  <c r="H18" i="29"/>
  <c r="I18" i="29"/>
  <c r="H19" i="29"/>
  <c r="I19" i="29"/>
  <c r="H20" i="29"/>
  <c r="I20" i="29"/>
  <c r="I34" i="29" a="1"/>
  <c r="I34" i="29"/>
  <c r="J34" i="29" a="1"/>
  <c r="J34" i="29"/>
  <c r="K34" i="29" a="1"/>
  <c r="K34" i="29"/>
  <c r="L34" i="29" a="1"/>
  <c r="L34" i="29"/>
  <c r="Q34" i="29" a="1"/>
  <c r="Q34" i="29"/>
  <c r="R34" i="29" a="1"/>
  <c r="R34" i="29"/>
  <c r="S34" i="29" a="1"/>
  <c r="S34" i="29"/>
  <c r="T34" i="29" a="1"/>
  <c r="T34" i="29"/>
  <c r="Y34" i="29" a="1"/>
  <c r="Y34" i="29"/>
  <c r="Z34" i="29" a="1"/>
  <c r="Z34" i="29"/>
  <c r="AA34" i="29" a="1"/>
  <c r="AA34" i="29"/>
  <c r="AB34" i="29" a="1"/>
  <c r="AB34" i="29"/>
  <c r="AG34" i="29" a="1"/>
  <c r="AG34" i="29"/>
  <c r="AH34" i="29" a="1"/>
  <c r="AH34" i="29"/>
  <c r="AI34" i="29" a="1"/>
  <c r="AI34" i="29"/>
  <c r="AJ34" i="29" a="1"/>
  <c r="AJ34" i="29"/>
  <c r="AO34" i="29" a="1"/>
  <c r="AO34" i="29"/>
  <c r="AP34" i="29" a="1"/>
  <c r="AP34" i="29"/>
  <c r="AQ34" i="29" a="1"/>
  <c r="AQ34" i="29"/>
  <c r="AR34" i="29" a="1"/>
  <c r="AR34" i="29"/>
  <c r="AW34" i="29" a="1"/>
  <c r="AW34" i="29"/>
  <c r="AX34" i="29" a="1"/>
  <c r="AX34" i="29"/>
  <c r="AY34" i="29" a="1"/>
  <c r="AY34" i="29"/>
  <c r="AZ34" i="29" a="1"/>
  <c r="AZ34" i="29"/>
  <c r="BE34" i="29" a="1"/>
  <c r="BE34" i="29"/>
  <c r="BF34" i="29" a="1"/>
  <c r="BF34" i="29"/>
  <c r="BG34" i="29" a="1"/>
  <c r="BG34" i="29"/>
  <c r="BH34" i="29" a="1"/>
  <c r="BH34" i="29"/>
  <c r="BM34" i="29" a="1"/>
  <c r="BM34" i="29"/>
  <c r="BN34" i="29" a="1"/>
  <c r="BN34" i="29"/>
  <c r="BO34" i="29" a="1"/>
  <c r="BO34" i="29"/>
  <c r="BP34" i="29" a="1"/>
  <c r="BP34" i="29"/>
  <c r="I35" i="29" a="1"/>
  <c r="I35" i="29"/>
  <c r="J35" i="29" a="1"/>
  <c r="J35" i="29"/>
  <c r="K35" i="29" a="1"/>
  <c r="K35" i="29"/>
  <c r="L35" i="29" a="1"/>
  <c r="L35" i="29"/>
  <c r="Q35" i="29" a="1"/>
  <c r="Q35" i="29"/>
  <c r="R35" i="29" a="1"/>
  <c r="R35" i="29"/>
  <c r="S35" i="29" a="1"/>
  <c r="S35" i="29"/>
  <c r="T35" i="29" a="1"/>
  <c r="T35" i="29"/>
  <c r="Y35" i="29" a="1"/>
  <c r="Y35" i="29"/>
  <c r="Z35" i="29" a="1"/>
  <c r="Z35" i="29"/>
  <c r="AA35" i="29" a="1"/>
  <c r="AA35" i="29"/>
  <c r="AB35" i="29" a="1"/>
  <c r="AB35" i="29"/>
  <c r="AG35" i="29" a="1"/>
  <c r="AG35" i="29"/>
  <c r="AH35" i="29" a="1"/>
  <c r="AH35" i="29"/>
  <c r="AI35" i="29" a="1"/>
  <c r="AI35" i="29"/>
  <c r="AJ35" i="29" a="1"/>
  <c r="AJ35" i="29"/>
  <c r="AO35" i="29" a="1"/>
  <c r="AO35" i="29"/>
  <c r="AP35" i="29" a="1"/>
  <c r="AP35" i="29"/>
  <c r="AQ35" i="29" a="1"/>
  <c r="AQ35" i="29"/>
  <c r="AR35" i="29" a="1"/>
  <c r="AR35" i="29"/>
  <c r="AW35" i="29" a="1"/>
  <c r="AW35" i="29"/>
  <c r="AX35" i="29" a="1"/>
  <c r="AX35" i="29"/>
  <c r="AY35" i="29" a="1"/>
  <c r="AY35" i="29"/>
  <c r="AZ35" i="29" a="1"/>
  <c r="AZ35" i="29"/>
  <c r="BE35" i="29" a="1"/>
  <c r="BE35" i="29"/>
  <c r="BF35" i="29" a="1"/>
  <c r="BF35" i="29"/>
  <c r="BG35" i="29" a="1"/>
  <c r="BG35" i="29"/>
  <c r="BH35" i="29" a="1"/>
  <c r="BH35" i="29"/>
  <c r="BM35" i="29" a="1"/>
  <c r="BM35" i="29"/>
  <c r="BN35" i="29" a="1"/>
  <c r="BN35" i="29"/>
  <c r="BO35" i="29" a="1"/>
  <c r="BO35" i="29"/>
  <c r="BP35" i="29" a="1"/>
  <c r="BP35" i="29"/>
  <c r="I36" i="29" a="1"/>
  <c r="I36" i="29"/>
  <c r="J36" i="29" a="1"/>
  <c r="J36" i="29"/>
  <c r="K36" i="29" a="1"/>
  <c r="K36" i="29"/>
  <c r="L36" i="29" a="1"/>
  <c r="L36" i="29"/>
  <c r="Q36" i="29" a="1"/>
  <c r="Q36" i="29"/>
  <c r="R36" i="29" a="1"/>
  <c r="R36" i="29"/>
  <c r="S36" i="29" a="1"/>
  <c r="S36" i="29"/>
  <c r="T36" i="29" a="1"/>
  <c r="T36" i="29"/>
  <c r="Y36" i="29" a="1"/>
  <c r="Y36" i="29"/>
  <c r="Z36" i="29" a="1"/>
  <c r="Z36" i="29"/>
  <c r="AA36" i="29" a="1"/>
  <c r="AA36" i="29"/>
  <c r="AB36" i="29" a="1"/>
  <c r="AB36" i="29"/>
  <c r="AG36" i="29" a="1"/>
  <c r="AG36" i="29"/>
  <c r="AH36" i="29" a="1"/>
  <c r="AH36" i="29"/>
  <c r="AI36" i="29" a="1"/>
  <c r="AI36" i="29"/>
  <c r="AJ36" i="29" a="1"/>
  <c r="AJ36" i="29"/>
  <c r="AO36" i="29" a="1"/>
  <c r="AO36" i="29"/>
  <c r="AP36" i="29" a="1"/>
  <c r="AP36" i="29"/>
  <c r="AQ36" i="29" a="1"/>
  <c r="AQ36" i="29"/>
  <c r="AR36" i="29" a="1"/>
  <c r="AR36" i="29"/>
  <c r="AW36" i="29" a="1"/>
  <c r="AW36" i="29"/>
  <c r="AX36" i="29" a="1"/>
  <c r="AX36" i="29"/>
  <c r="AY36" i="29" a="1"/>
  <c r="AY36" i="29"/>
  <c r="AZ36" i="29" a="1"/>
  <c r="AZ36" i="29"/>
  <c r="BE36" i="29" a="1"/>
  <c r="BE36" i="29"/>
  <c r="BF36" i="29" a="1"/>
  <c r="BF36" i="29"/>
  <c r="BG36" i="29" a="1"/>
  <c r="BG36" i="29"/>
  <c r="BH36" i="29" a="1"/>
  <c r="BH36" i="29"/>
  <c r="BM36" i="29" a="1"/>
  <c r="BM36" i="29"/>
  <c r="BN36" i="29" a="1"/>
  <c r="BN36" i="29"/>
  <c r="BO36" i="29" a="1"/>
  <c r="BO36" i="29"/>
  <c r="BP36" i="29" a="1"/>
  <c r="BP36" i="29"/>
  <c r="I37" i="29" a="1"/>
  <c r="I37" i="29"/>
  <c r="J37" i="29" a="1"/>
  <c r="J37" i="29"/>
  <c r="K37" i="29" a="1"/>
  <c r="K37" i="29"/>
  <c r="L37" i="29" a="1"/>
  <c r="L37" i="29"/>
  <c r="Q37" i="29" a="1"/>
  <c r="Q37" i="29"/>
  <c r="R37" i="29" a="1"/>
  <c r="R37" i="29"/>
  <c r="S37" i="29" a="1"/>
  <c r="S37" i="29"/>
  <c r="T37" i="29" a="1"/>
  <c r="T37" i="29"/>
  <c r="Y37" i="29" a="1"/>
  <c r="Y37" i="29"/>
  <c r="Z37" i="29" a="1"/>
  <c r="Z37" i="29"/>
  <c r="AA37" i="29" a="1"/>
  <c r="AA37" i="29"/>
  <c r="AB37" i="29" a="1"/>
  <c r="AB37" i="29"/>
  <c r="AG37" i="29" a="1"/>
  <c r="AG37" i="29"/>
  <c r="AH37" i="29" a="1"/>
  <c r="AH37" i="29"/>
  <c r="AI37" i="29" a="1"/>
  <c r="AI37" i="29"/>
  <c r="AJ37" i="29" a="1"/>
  <c r="AJ37" i="29"/>
  <c r="AO37" i="29" a="1"/>
  <c r="AO37" i="29"/>
  <c r="AP37" i="29" a="1"/>
  <c r="AP37" i="29"/>
  <c r="AQ37" i="29" a="1"/>
  <c r="AQ37" i="29"/>
  <c r="AR37" i="29" a="1"/>
  <c r="AR37" i="29"/>
  <c r="AW37" i="29" a="1"/>
  <c r="AW37" i="29"/>
  <c r="AX37" i="29" a="1"/>
  <c r="AX37" i="29"/>
  <c r="AY37" i="29" a="1"/>
  <c r="AY37" i="29"/>
  <c r="AZ37" i="29" a="1"/>
  <c r="AZ37" i="29"/>
  <c r="BE37" i="29" a="1"/>
  <c r="BE37" i="29"/>
  <c r="BF37" i="29" a="1"/>
  <c r="BF37" i="29"/>
  <c r="BG37" i="29" a="1"/>
  <c r="BG37" i="29"/>
  <c r="BH37" i="29" a="1"/>
  <c r="BH37" i="29"/>
  <c r="BM37" i="29" a="1"/>
  <c r="BM37" i="29"/>
  <c r="BN37" i="29" a="1"/>
  <c r="BN37" i="29"/>
  <c r="BO37" i="29" a="1"/>
  <c r="BO37" i="29"/>
  <c r="BP37" i="29" a="1"/>
  <c r="BP37" i="29"/>
  <c r="I38" i="29" a="1"/>
  <c r="I38" i="29"/>
  <c r="J38" i="29" a="1"/>
  <c r="J38" i="29"/>
  <c r="K38" i="29" a="1"/>
  <c r="K38" i="29"/>
  <c r="L38" i="29" a="1"/>
  <c r="L38" i="29"/>
  <c r="Q38" i="29" a="1"/>
  <c r="Q38" i="29"/>
  <c r="R38" i="29" a="1"/>
  <c r="R38" i="29"/>
  <c r="S38" i="29" a="1"/>
  <c r="S38" i="29"/>
  <c r="T38" i="29" a="1"/>
  <c r="T38" i="29"/>
  <c r="Y38" i="29" a="1"/>
  <c r="Y38" i="29"/>
  <c r="Z38" i="29" a="1"/>
  <c r="Z38" i="29"/>
  <c r="AA38" i="29" a="1"/>
  <c r="AA38" i="29"/>
  <c r="AB38" i="29" a="1"/>
  <c r="AB38" i="29"/>
  <c r="AG38" i="29" a="1"/>
  <c r="AG38" i="29"/>
  <c r="AH38" i="29" a="1"/>
  <c r="AH38" i="29"/>
  <c r="AI38" i="29" a="1"/>
  <c r="AI38" i="29"/>
  <c r="AJ38" i="29" a="1"/>
  <c r="AJ38" i="29"/>
  <c r="AO38" i="29" a="1"/>
  <c r="AO38" i="29"/>
  <c r="AP38" i="29" a="1"/>
  <c r="AP38" i="29"/>
  <c r="AQ38" i="29" a="1"/>
  <c r="AQ38" i="29"/>
  <c r="AR38" i="29" a="1"/>
  <c r="AR38" i="29"/>
  <c r="AW38" i="29" a="1"/>
  <c r="AW38" i="29"/>
  <c r="AX38" i="29" a="1"/>
  <c r="AX38" i="29"/>
  <c r="AY38" i="29" a="1"/>
  <c r="AY38" i="29"/>
  <c r="AZ38" i="29" a="1"/>
  <c r="AZ38" i="29"/>
  <c r="BE38" i="29" a="1"/>
  <c r="BE38" i="29"/>
  <c r="BF38" i="29" a="1"/>
  <c r="BF38" i="29"/>
  <c r="BG38" i="29" a="1"/>
  <c r="BG38" i="29"/>
  <c r="BH38" i="29" a="1"/>
  <c r="BH38" i="29"/>
  <c r="BM38" i="29" a="1"/>
  <c r="BM38" i="29"/>
  <c r="BN38" i="29" a="1"/>
  <c r="BN38" i="29"/>
  <c r="BO38" i="29" a="1"/>
  <c r="BO38" i="29"/>
  <c r="BP38" i="29" a="1"/>
  <c r="BP38" i="29"/>
  <c r="I34" i="30" a="1"/>
  <c r="I34" i="30"/>
  <c r="J34" i="30" a="1"/>
  <c r="J34" i="30"/>
  <c r="K34" i="30" a="1"/>
  <c r="K34" i="30"/>
  <c r="L34" i="30" a="1"/>
  <c r="L34" i="30"/>
  <c r="Q34" i="30" a="1"/>
  <c r="Q34" i="30"/>
  <c r="R34" i="30" a="1"/>
  <c r="R34" i="30"/>
  <c r="S34" i="30" a="1"/>
  <c r="S34" i="30"/>
  <c r="T34" i="30" a="1"/>
  <c r="T34" i="30"/>
  <c r="Y34" i="30" a="1"/>
  <c r="Y34" i="30"/>
  <c r="Z34" i="30" a="1"/>
  <c r="Z34" i="30"/>
  <c r="AA34" i="30" a="1"/>
  <c r="AA34" i="30"/>
  <c r="AB34" i="30" a="1"/>
  <c r="AB34" i="30"/>
  <c r="AG34" i="30" a="1"/>
  <c r="AG34" i="30"/>
  <c r="AH34" i="30" a="1"/>
  <c r="AH34" i="30"/>
  <c r="AI34" i="30" a="1"/>
  <c r="AI34" i="30"/>
  <c r="AJ34" i="30" a="1"/>
  <c r="AJ34" i="30"/>
  <c r="AO34" i="30" a="1"/>
  <c r="AO34" i="30"/>
  <c r="AP34" i="30" a="1"/>
  <c r="AP34" i="30"/>
  <c r="AQ34" i="30" a="1"/>
  <c r="AQ34" i="30"/>
  <c r="AR34" i="30" a="1"/>
  <c r="AR34" i="30"/>
  <c r="AW34" i="30" a="1"/>
  <c r="AW34" i="30"/>
  <c r="AX34" i="30" a="1"/>
  <c r="AX34" i="30"/>
  <c r="AY34" i="30" a="1"/>
  <c r="AY34" i="30"/>
  <c r="AZ34" i="30" a="1"/>
  <c r="AZ34" i="30"/>
  <c r="BE34" i="30" a="1"/>
  <c r="BE34" i="30"/>
  <c r="BF34" i="30" a="1"/>
  <c r="BF34" i="30"/>
  <c r="BG34" i="30" a="1"/>
  <c r="BG34" i="30"/>
  <c r="BH34" i="30" a="1"/>
  <c r="BH34" i="30"/>
  <c r="BM34" i="30" a="1"/>
  <c r="BM34" i="30"/>
  <c r="BN34" i="30" a="1"/>
  <c r="BN34" i="30"/>
  <c r="BO34" i="30" a="1"/>
  <c r="BO34" i="30"/>
  <c r="BP34" i="30" a="1"/>
  <c r="BP34" i="30"/>
  <c r="I35" i="30" a="1"/>
  <c r="I35" i="30"/>
  <c r="J35" i="30" a="1"/>
  <c r="J35" i="30"/>
  <c r="K35" i="30" a="1"/>
  <c r="K35" i="30"/>
  <c r="L35" i="30" a="1"/>
  <c r="L35" i="30"/>
  <c r="Q35" i="30" a="1"/>
  <c r="Q35" i="30"/>
  <c r="R35" i="30" a="1"/>
  <c r="R35" i="30"/>
  <c r="S35" i="30" a="1"/>
  <c r="S35" i="30"/>
  <c r="T35" i="30" a="1"/>
  <c r="T35" i="30"/>
  <c r="Y35" i="30" a="1"/>
  <c r="Y35" i="30"/>
  <c r="Z35" i="30" a="1"/>
  <c r="Z35" i="30"/>
  <c r="AA35" i="30" a="1"/>
  <c r="AA35" i="30"/>
  <c r="AB35" i="30" a="1"/>
  <c r="AB35" i="30"/>
  <c r="AG35" i="30" a="1"/>
  <c r="AG35" i="30"/>
  <c r="AH35" i="30" a="1"/>
  <c r="AH35" i="30"/>
  <c r="AI35" i="30" a="1"/>
  <c r="AI35" i="30"/>
  <c r="AJ35" i="30" a="1"/>
  <c r="AJ35" i="30"/>
  <c r="AO35" i="30" a="1"/>
  <c r="AO35" i="30"/>
  <c r="AP35" i="30" a="1"/>
  <c r="AP35" i="30"/>
  <c r="AQ35" i="30" a="1"/>
  <c r="AQ35" i="30"/>
  <c r="AR35" i="30" a="1"/>
  <c r="AR35" i="30"/>
  <c r="AW35" i="30" a="1"/>
  <c r="AW35" i="30"/>
  <c r="AX35" i="30" a="1"/>
  <c r="AX35" i="30"/>
  <c r="AY35" i="30" a="1"/>
  <c r="AY35" i="30"/>
  <c r="AZ35" i="30" a="1"/>
  <c r="AZ35" i="30"/>
  <c r="BE35" i="30" a="1"/>
  <c r="BE35" i="30"/>
  <c r="BF35" i="30" a="1"/>
  <c r="BF35" i="30"/>
  <c r="BG35" i="30" a="1"/>
  <c r="BG35" i="30"/>
  <c r="BH35" i="30" a="1"/>
  <c r="BH35" i="30"/>
  <c r="BM35" i="30" a="1"/>
  <c r="BM35" i="30"/>
  <c r="BN35" i="30" a="1"/>
  <c r="BN35" i="30"/>
  <c r="BO35" i="30" a="1"/>
  <c r="BO35" i="30"/>
  <c r="BP35" i="30" a="1"/>
  <c r="BP35" i="30"/>
  <c r="I36" i="30" a="1"/>
  <c r="I36" i="30"/>
  <c r="J36" i="30" a="1"/>
  <c r="J36" i="30"/>
  <c r="K36" i="30" a="1"/>
  <c r="K36" i="30"/>
  <c r="L36" i="30" a="1"/>
  <c r="L36" i="30"/>
  <c r="Q36" i="30" a="1"/>
  <c r="Q36" i="30"/>
  <c r="R36" i="30" a="1"/>
  <c r="R36" i="30"/>
  <c r="S36" i="30" a="1"/>
  <c r="S36" i="30"/>
  <c r="T36" i="30" a="1"/>
  <c r="T36" i="30"/>
  <c r="Y36" i="30" a="1"/>
  <c r="Y36" i="30"/>
  <c r="Z36" i="30" a="1"/>
  <c r="Z36" i="30"/>
  <c r="AA36" i="30" a="1"/>
  <c r="AA36" i="30"/>
  <c r="AB36" i="30" a="1"/>
  <c r="AB36" i="30"/>
  <c r="AG36" i="30" a="1"/>
  <c r="AG36" i="30"/>
  <c r="AH36" i="30" a="1"/>
  <c r="AH36" i="30"/>
  <c r="AI36" i="30" a="1"/>
  <c r="AI36" i="30"/>
  <c r="AJ36" i="30" a="1"/>
  <c r="AJ36" i="30"/>
  <c r="AO36" i="30" a="1"/>
  <c r="AO36" i="30"/>
  <c r="AP36" i="30" a="1"/>
  <c r="AP36" i="30"/>
  <c r="AQ36" i="30" a="1"/>
  <c r="AQ36" i="30"/>
  <c r="AR36" i="30" a="1"/>
  <c r="AR36" i="30"/>
  <c r="AW36" i="30" a="1"/>
  <c r="AW36" i="30"/>
  <c r="AX36" i="30" a="1"/>
  <c r="AX36" i="30"/>
  <c r="AY36" i="30" a="1"/>
  <c r="AY36" i="30"/>
  <c r="AZ36" i="30" a="1"/>
  <c r="AZ36" i="30"/>
  <c r="BE36" i="30" a="1"/>
  <c r="BE36" i="30"/>
  <c r="BF36" i="30" a="1"/>
  <c r="BF36" i="30"/>
  <c r="BG36" i="30" a="1"/>
  <c r="BG36" i="30"/>
  <c r="BH36" i="30" a="1"/>
  <c r="BH36" i="30"/>
  <c r="BM36" i="30" a="1"/>
  <c r="BM36" i="30"/>
  <c r="BN36" i="30" a="1"/>
  <c r="BN36" i="30"/>
  <c r="BO36" i="30" a="1"/>
  <c r="BO36" i="30"/>
  <c r="BP36" i="30" a="1"/>
  <c r="BP36" i="30"/>
  <c r="I37" i="30" a="1"/>
  <c r="I37" i="30"/>
  <c r="J37" i="30" a="1"/>
  <c r="J37" i="30"/>
  <c r="K37" i="30" a="1"/>
  <c r="K37" i="30"/>
  <c r="L37" i="30" a="1"/>
  <c r="L37" i="30"/>
  <c r="Q37" i="30" a="1"/>
  <c r="Q37" i="30"/>
  <c r="R37" i="30" a="1"/>
  <c r="R37" i="30"/>
  <c r="S37" i="30" a="1"/>
  <c r="S37" i="30"/>
  <c r="T37" i="30" a="1"/>
  <c r="T37" i="30"/>
  <c r="Y37" i="30" a="1"/>
  <c r="Y37" i="30"/>
  <c r="Z37" i="30" a="1"/>
  <c r="Z37" i="30"/>
  <c r="AA37" i="30" a="1"/>
  <c r="AA37" i="30"/>
  <c r="AB37" i="30" a="1"/>
  <c r="AB37" i="30"/>
  <c r="AG37" i="30" a="1"/>
  <c r="AG37" i="30"/>
  <c r="AH37" i="30" a="1"/>
  <c r="AH37" i="30"/>
  <c r="AI37" i="30" a="1"/>
  <c r="AI37" i="30"/>
  <c r="AJ37" i="30" a="1"/>
  <c r="AJ37" i="30"/>
  <c r="AO37" i="30" a="1"/>
  <c r="AO37" i="30"/>
  <c r="AP37" i="30" a="1"/>
  <c r="AP37" i="30"/>
  <c r="AQ37" i="30" a="1"/>
  <c r="AQ37" i="30"/>
  <c r="AR37" i="30" a="1"/>
  <c r="AR37" i="30"/>
  <c r="AW37" i="30" a="1"/>
  <c r="AW37" i="30"/>
  <c r="AX37" i="30" a="1"/>
  <c r="AX37" i="30"/>
  <c r="AY37" i="30" a="1"/>
  <c r="AY37" i="30"/>
  <c r="AZ37" i="30" a="1"/>
  <c r="AZ37" i="30"/>
  <c r="BE37" i="30" a="1"/>
  <c r="BE37" i="30"/>
  <c r="BF37" i="30" a="1"/>
  <c r="BF37" i="30"/>
  <c r="BG37" i="30" a="1"/>
  <c r="BG37" i="30"/>
  <c r="BH37" i="30" a="1"/>
  <c r="BH37" i="30"/>
  <c r="BM37" i="30" a="1"/>
  <c r="BM37" i="30"/>
  <c r="BN37" i="30" a="1"/>
  <c r="BN37" i="30"/>
  <c r="BO37" i="30" a="1"/>
  <c r="BO37" i="30"/>
  <c r="BP37" i="30" a="1"/>
  <c r="BP37" i="30"/>
  <c r="I38" i="30" a="1"/>
  <c r="I38" i="30"/>
  <c r="J38" i="30" a="1"/>
  <c r="J38" i="30"/>
  <c r="K38" i="30" a="1"/>
  <c r="K38" i="30"/>
  <c r="L38" i="30" a="1"/>
  <c r="L38" i="30"/>
  <c r="Q38" i="30" a="1"/>
  <c r="Q38" i="30"/>
  <c r="R38" i="30" a="1"/>
  <c r="R38" i="30"/>
  <c r="S38" i="30" a="1"/>
  <c r="S38" i="30"/>
  <c r="T38" i="30" a="1"/>
  <c r="T38" i="30"/>
  <c r="Y38" i="30" a="1"/>
  <c r="Y38" i="30"/>
  <c r="Z38" i="30" a="1"/>
  <c r="Z38" i="30"/>
  <c r="AA38" i="30" a="1"/>
  <c r="AA38" i="30"/>
  <c r="AB38" i="30" a="1"/>
  <c r="AB38" i="30"/>
  <c r="AG38" i="30" a="1"/>
  <c r="AG38" i="30"/>
  <c r="AH38" i="30" a="1"/>
  <c r="AH38" i="30"/>
  <c r="AI38" i="30" a="1"/>
  <c r="AI38" i="30"/>
  <c r="AJ38" i="30" a="1"/>
  <c r="AJ38" i="30"/>
  <c r="AO38" i="30" a="1"/>
  <c r="AO38" i="30"/>
  <c r="AP38" i="30" a="1"/>
  <c r="AP38" i="30"/>
  <c r="AQ38" i="30" a="1"/>
  <c r="AQ38" i="30"/>
  <c r="AR38" i="30" a="1"/>
  <c r="AR38" i="30"/>
  <c r="AW38" i="30" a="1"/>
  <c r="AW38" i="30"/>
  <c r="AX38" i="30" a="1"/>
  <c r="AX38" i="30"/>
  <c r="AY38" i="30" a="1"/>
  <c r="AY38" i="30"/>
  <c r="AZ38" i="30" a="1"/>
  <c r="AZ38" i="30"/>
  <c r="BE38" i="30" a="1"/>
  <c r="BE38" i="30"/>
  <c r="BF38" i="30" a="1"/>
  <c r="BF38" i="30"/>
  <c r="BG38" i="30" a="1"/>
  <c r="BG38" i="30"/>
  <c r="BH38" i="30" a="1"/>
  <c r="BH38" i="30"/>
  <c r="BM38" i="30" a="1"/>
  <c r="BM38" i="30"/>
  <c r="BN38" i="30" a="1"/>
  <c r="BN38" i="30"/>
  <c r="BO38" i="30" a="1"/>
  <c r="BO38" i="30"/>
  <c r="BP38" i="30" a="1"/>
  <c r="BP38" i="30"/>
  <c r="I34" i="31" a="1"/>
  <c r="I34" i="31"/>
  <c r="J34" i="31" a="1"/>
  <c r="J34" i="31"/>
  <c r="K34" i="31" a="1"/>
  <c r="K34" i="31"/>
  <c r="L34" i="31" a="1"/>
  <c r="L34" i="31"/>
  <c r="Q34" i="31" a="1"/>
  <c r="Q34" i="31"/>
  <c r="R34" i="31" a="1"/>
  <c r="R34" i="31"/>
  <c r="S34" i="31" a="1"/>
  <c r="S34" i="31"/>
  <c r="T34" i="31" a="1"/>
  <c r="T34" i="31"/>
  <c r="Y34" i="31" a="1"/>
  <c r="Y34" i="31"/>
  <c r="Z34" i="31" a="1"/>
  <c r="Z34" i="31"/>
  <c r="AA34" i="31" a="1"/>
  <c r="AA34" i="31"/>
  <c r="AB34" i="31" a="1"/>
  <c r="AB34" i="31"/>
  <c r="AG34" i="31" a="1"/>
  <c r="AG34" i="31"/>
  <c r="AH34" i="31" a="1"/>
  <c r="AH34" i="31"/>
  <c r="AI34" i="31" a="1"/>
  <c r="AI34" i="31"/>
  <c r="AJ34" i="31" a="1"/>
  <c r="AJ34" i="31"/>
  <c r="AO34" i="31" a="1"/>
  <c r="AO34" i="31"/>
  <c r="AP34" i="31" a="1"/>
  <c r="AP34" i="31"/>
  <c r="AQ34" i="31" a="1"/>
  <c r="AQ34" i="31"/>
  <c r="AR34" i="31" a="1"/>
  <c r="AR34" i="31"/>
  <c r="AW34" i="31" a="1"/>
  <c r="AW34" i="31"/>
  <c r="AX34" i="31" a="1"/>
  <c r="AX34" i="31"/>
  <c r="AY34" i="31" a="1"/>
  <c r="AY34" i="31"/>
  <c r="AZ34" i="31" a="1"/>
  <c r="AZ34" i="31"/>
  <c r="BE34" i="31" a="1"/>
  <c r="BE34" i="31"/>
  <c r="BF34" i="31" a="1"/>
  <c r="BF34" i="31"/>
  <c r="BG34" i="31" a="1"/>
  <c r="BG34" i="31"/>
  <c r="BH34" i="31" a="1"/>
  <c r="BH34" i="31"/>
  <c r="BM34" i="31" a="1"/>
  <c r="BM34" i="31"/>
  <c r="BN34" i="31" a="1"/>
  <c r="BN34" i="31"/>
  <c r="BO34" i="31" a="1"/>
  <c r="BO34" i="31"/>
  <c r="BP34" i="31" a="1"/>
  <c r="BP34" i="31"/>
  <c r="I35" i="31" a="1"/>
  <c r="I35" i="31"/>
  <c r="J35" i="31" a="1"/>
  <c r="J35" i="31"/>
  <c r="K35" i="31" a="1"/>
  <c r="K35" i="31"/>
  <c r="L35" i="31" a="1"/>
  <c r="L35" i="31"/>
  <c r="Q35" i="31" a="1"/>
  <c r="Q35" i="31"/>
  <c r="R35" i="31" a="1"/>
  <c r="R35" i="31"/>
  <c r="S35" i="31" a="1"/>
  <c r="S35" i="31"/>
  <c r="T35" i="31" a="1"/>
  <c r="T35" i="31"/>
  <c r="Y35" i="31" a="1"/>
  <c r="Y35" i="31"/>
  <c r="Z35" i="31" a="1"/>
  <c r="Z35" i="31"/>
  <c r="AA35" i="31" a="1"/>
  <c r="AA35" i="31"/>
  <c r="AB35" i="31" a="1"/>
  <c r="AB35" i="31"/>
  <c r="AG35" i="31" a="1"/>
  <c r="AG35" i="31"/>
  <c r="AH35" i="31" a="1"/>
  <c r="AH35" i="31"/>
  <c r="AI35" i="31" a="1"/>
  <c r="AI35" i="31"/>
  <c r="AJ35" i="31" a="1"/>
  <c r="AJ35" i="31"/>
  <c r="AO35" i="31" a="1"/>
  <c r="AO35" i="31"/>
  <c r="AP35" i="31" a="1"/>
  <c r="AP35" i="31"/>
  <c r="AQ35" i="31" a="1"/>
  <c r="AQ35" i="31"/>
  <c r="AR35" i="31" a="1"/>
  <c r="AR35" i="31"/>
  <c r="AW35" i="31" a="1"/>
  <c r="AW35" i="31"/>
  <c r="AX35" i="31" a="1"/>
  <c r="AX35" i="31"/>
  <c r="AY35" i="31" a="1"/>
  <c r="AY35" i="31"/>
  <c r="AZ35" i="31" a="1"/>
  <c r="AZ35" i="31"/>
  <c r="BE35" i="31" a="1"/>
  <c r="BE35" i="31"/>
  <c r="BF35" i="31" a="1"/>
  <c r="BF35" i="31"/>
  <c r="BG35" i="31" a="1"/>
  <c r="BG35" i="31"/>
  <c r="BH35" i="31" a="1"/>
  <c r="BH35" i="31"/>
  <c r="BM35" i="31" a="1"/>
  <c r="BM35" i="31"/>
  <c r="BN35" i="31" a="1"/>
  <c r="BN35" i="31"/>
  <c r="BO35" i="31" a="1"/>
  <c r="BO35" i="31"/>
  <c r="BP35" i="31" a="1"/>
  <c r="BP35" i="31"/>
  <c r="I36" i="31" a="1"/>
  <c r="I36" i="31"/>
  <c r="J36" i="31" a="1"/>
  <c r="J36" i="31"/>
  <c r="K36" i="31" a="1"/>
  <c r="K36" i="31"/>
  <c r="L36" i="31" a="1"/>
  <c r="L36" i="31"/>
  <c r="Q36" i="31" a="1"/>
  <c r="Q36" i="31"/>
  <c r="R36" i="31" a="1"/>
  <c r="R36" i="31"/>
  <c r="S36" i="31" a="1"/>
  <c r="S36" i="31"/>
  <c r="T36" i="31" a="1"/>
  <c r="T36" i="31"/>
  <c r="Y36" i="31" a="1"/>
  <c r="Y36" i="31"/>
  <c r="Z36" i="31" a="1"/>
  <c r="Z36" i="31"/>
  <c r="AA36" i="31" a="1"/>
  <c r="AA36" i="31"/>
  <c r="AB36" i="31" a="1"/>
  <c r="AB36" i="31"/>
  <c r="AG36" i="31" a="1"/>
  <c r="AG36" i="31"/>
  <c r="AH36" i="31" a="1"/>
  <c r="AH36" i="31"/>
  <c r="AI36" i="31" a="1"/>
  <c r="AI36" i="31"/>
  <c r="AJ36" i="31" a="1"/>
  <c r="AJ36" i="31"/>
  <c r="AO36" i="31" a="1"/>
  <c r="AO36" i="31"/>
  <c r="AP36" i="31" a="1"/>
  <c r="AP36" i="31"/>
  <c r="AQ36" i="31" a="1"/>
  <c r="AQ36" i="31"/>
  <c r="AR36" i="31" a="1"/>
  <c r="AR36" i="31"/>
  <c r="AW36" i="31" a="1"/>
  <c r="AW36" i="31"/>
  <c r="AX36" i="31" a="1"/>
  <c r="AX36" i="31"/>
  <c r="AY36" i="31" a="1"/>
  <c r="AY36" i="31"/>
  <c r="AZ36" i="31" a="1"/>
  <c r="AZ36" i="31"/>
  <c r="BE36" i="31" a="1"/>
  <c r="BE36" i="31"/>
  <c r="BF36" i="31" a="1"/>
  <c r="BF36" i="31"/>
  <c r="BG36" i="31" a="1"/>
  <c r="BG36" i="31"/>
  <c r="BH36" i="31" a="1"/>
  <c r="BH36" i="31"/>
  <c r="BM36" i="31" a="1"/>
  <c r="BM36" i="31"/>
  <c r="BN36" i="31" a="1"/>
  <c r="BN36" i="31"/>
  <c r="BO36" i="31" a="1"/>
  <c r="BO36" i="31"/>
  <c r="BP36" i="31" a="1"/>
  <c r="BP36" i="31"/>
  <c r="I37" i="31" a="1"/>
  <c r="I37" i="31"/>
  <c r="J37" i="31" a="1"/>
  <c r="J37" i="31"/>
  <c r="K37" i="31" a="1"/>
  <c r="K37" i="31"/>
  <c r="L37" i="31" a="1"/>
  <c r="L37" i="31"/>
  <c r="Q37" i="31" a="1"/>
  <c r="Q37" i="31"/>
  <c r="R37" i="31" a="1"/>
  <c r="R37" i="31"/>
  <c r="S37" i="31" a="1"/>
  <c r="S37" i="31"/>
  <c r="T37" i="31" a="1"/>
  <c r="T37" i="31"/>
  <c r="Y37" i="31" a="1"/>
  <c r="Y37" i="31"/>
  <c r="Z37" i="31" a="1"/>
  <c r="Z37" i="31"/>
  <c r="AA37" i="31" a="1"/>
  <c r="AA37" i="31"/>
  <c r="AB37" i="31" a="1"/>
  <c r="AB37" i="31"/>
  <c r="AG37" i="31" a="1"/>
  <c r="AG37" i="31"/>
  <c r="AH37" i="31" a="1"/>
  <c r="AH37" i="31"/>
  <c r="AI37" i="31" a="1"/>
  <c r="AI37" i="31"/>
  <c r="AJ37" i="31" a="1"/>
  <c r="AJ37" i="31"/>
  <c r="AO37" i="31" a="1"/>
  <c r="AO37" i="31"/>
  <c r="AP37" i="31" a="1"/>
  <c r="AP37" i="31"/>
  <c r="AQ37" i="31" a="1"/>
  <c r="AQ37" i="31"/>
  <c r="AR37" i="31" a="1"/>
  <c r="AR37" i="31"/>
  <c r="AW37" i="31" a="1"/>
  <c r="AW37" i="31"/>
  <c r="AX37" i="31" a="1"/>
  <c r="AX37" i="31"/>
  <c r="AY37" i="31" a="1"/>
  <c r="AY37" i="31"/>
  <c r="AZ37" i="31" a="1"/>
  <c r="AZ37" i="31"/>
  <c r="BE37" i="31" a="1"/>
  <c r="BE37" i="31"/>
  <c r="BF37" i="31" a="1"/>
  <c r="BF37" i="31"/>
  <c r="BG37" i="31" a="1"/>
  <c r="BG37" i="31"/>
  <c r="BH37" i="31" a="1"/>
  <c r="BH37" i="31"/>
  <c r="BM37" i="31" a="1"/>
  <c r="BM37" i="31"/>
  <c r="BN37" i="31" a="1"/>
  <c r="BN37" i="31"/>
  <c r="BO37" i="31" a="1"/>
  <c r="BO37" i="31"/>
  <c r="BP37" i="31" a="1"/>
  <c r="BP37" i="31"/>
  <c r="I38" i="31" a="1"/>
  <c r="I38" i="31"/>
  <c r="J38" i="31" a="1"/>
  <c r="J38" i="31"/>
  <c r="K38" i="31" a="1"/>
  <c r="K38" i="31"/>
  <c r="L38" i="31" a="1"/>
  <c r="L38" i="31"/>
  <c r="Q38" i="31" a="1"/>
  <c r="Q38" i="31"/>
  <c r="R38" i="31" a="1"/>
  <c r="R38" i="31"/>
  <c r="S38" i="31" a="1"/>
  <c r="S38" i="31"/>
  <c r="T38" i="31" a="1"/>
  <c r="T38" i="31"/>
  <c r="Y38" i="31" a="1"/>
  <c r="Y38" i="31"/>
  <c r="Z38" i="31" a="1"/>
  <c r="Z38" i="31"/>
  <c r="AA38" i="31" a="1"/>
  <c r="AA38" i="31"/>
  <c r="AB38" i="31" a="1"/>
  <c r="AB38" i="31"/>
  <c r="AG38" i="31" a="1"/>
  <c r="AG38" i="31"/>
  <c r="AH38" i="31" a="1"/>
  <c r="AH38" i="31"/>
  <c r="AI38" i="31" a="1"/>
  <c r="AI38" i="31"/>
  <c r="AJ38" i="31" a="1"/>
  <c r="AJ38" i="31"/>
  <c r="AO38" i="31" a="1"/>
  <c r="AO38" i="31"/>
  <c r="AP38" i="31" a="1"/>
  <c r="AP38" i="31"/>
  <c r="AQ38" i="31" a="1"/>
  <c r="AQ38" i="31"/>
  <c r="AR38" i="31" a="1"/>
  <c r="AR38" i="31"/>
  <c r="AW38" i="31" a="1"/>
  <c r="AW38" i="31"/>
  <c r="AX38" i="31" a="1"/>
  <c r="AX38" i="31"/>
  <c r="AY38" i="31" a="1"/>
  <c r="AY38" i="31"/>
  <c r="AZ38" i="31" a="1"/>
  <c r="AZ38" i="31"/>
  <c r="BE38" i="31" a="1"/>
  <c r="BE38" i="31"/>
  <c r="BF38" i="31" a="1"/>
  <c r="BF38" i="31"/>
  <c r="BG38" i="31" a="1"/>
  <c r="BG38" i="31"/>
  <c r="BH38" i="31" a="1"/>
  <c r="BH38" i="31"/>
  <c r="BM38" i="31" a="1"/>
  <c r="BM38" i="31"/>
  <c r="BN38" i="31" a="1"/>
  <c r="BN38" i="31"/>
  <c r="BO38" i="31" a="1"/>
  <c r="BO38" i="31"/>
  <c r="BP38" i="31" a="1"/>
  <c r="BP38" i="31"/>
  <c r="D18" i="29"/>
  <c r="D19" i="29"/>
  <c r="D20" i="29"/>
  <c r="M4" i="26"/>
  <c r="N4" i="26"/>
  <c r="M5" i="26"/>
  <c r="N5" i="26"/>
  <c r="M6" i="26"/>
  <c r="N6" i="26"/>
  <c r="M7" i="26"/>
  <c r="N7" i="26"/>
  <c r="F17" i="26"/>
  <c r="G17" i="26"/>
  <c r="F18" i="26"/>
  <c r="G18" i="26"/>
  <c r="F19" i="26"/>
  <c r="G19" i="26"/>
  <c r="F20" i="26"/>
  <c r="G20" i="26"/>
  <c r="M4" i="27"/>
  <c r="N4" i="27"/>
  <c r="M5" i="27"/>
  <c r="N5" i="27"/>
  <c r="L5" i="27"/>
  <c r="K18" i="27"/>
  <c r="L18" i="27"/>
  <c r="M6" i="27"/>
  <c r="N6" i="27"/>
  <c r="L6" i="27"/>
  <c r="K19" i="27"/>
  <c r="L19" i="27"/>
  <c r="M7" i="27"/>
  <c r="N7" i="27"/>
  <c r="L7" i="27"/>
  <c r="K20" i="27"/>
  <c r="L20" i="27"/>
  <c r="G20" i="27"/>
  <c r="F20" i="27"/>
  <c r="E20" i="27"/>
  <c r="G19" i="27"/>
  <c r="F19" i="27"/>
  <c r="E19" i="27"/>
  <c r="G18" i="27"/>
  <c r="F18" i="27"/>
  <c r="E18" i="27"/>
  <c r="G17" i="27"/>
  <c r="F17" i="27"/>
  <c r="M4" i="28"/>
  <c r="N4" i="28"/>
  <c r="M5" i="28"/>
  <c r="N5" i="28"/>
  <c r="L5" i="28"/>
  <c r="K18" i="28"/>
  <c r="L18" i="28"/>
  <c r="M6" i="28"/>
  <c r="N6" i="28"/>
  <c r="L6" i="28"/>
  <c r="K19" i="28"/>
  <c r="L19" i="28"/>
  <c r="M7" i="28"/>
  <c r="N7" i="28"/>
  <c r="L7" i="28"/>
  <c r="K20" i="28"/>
  <c r="L20" i="28"/>
  <c r="G20" i="28"/>
  <c r="F20" i="28"/>
  <c r="E20" i="28"/>
  <c r="G19" i="28"/>
  <c r="F19" i="28"/>
  <c r="E19" i="28"/>
  <c r="G18" i="28"/>
  <c r="F18" i="28"/>
  <c r="E18" i="28"/>
  <c r="G17" i="28"/>
  <c r="F17" i="28"/>
  <c r="M7" i="29"/>
  <c r="N7" i="29"/>
  <c r="L7" i="29"/>
  <c r="E20" i="29"/>
  <c r="M6" i="29"/>
  <c r="N6" i="29"/>
  <c r="L6" i="29"/>
  <c r="E19" i="29"/>
  <c r="M5" i="29"/>
  <c r="N5" i="29"/>
  <c r="L5" i="29"/>
  <c r="E18" i="29"/>
  <c r="M4" i="29"/>
  <c r="N4" i="29"/>
  <c r="K18" i="29"/>
  <c r="L18" i="29"/>
  <c r="K19" i="29"/>
  <c r="L19" i="29"/>
  <c r="K20" i="29"/>
  <c r="L20" i="29"/>
  <c r="G20" i="29"/>
  <c r="F20" i="29"/>
  <c r="G19" i="29"/>
  <c r="F19" i="29"/>
  <c r="G18" i="29"/>
  <c r="F18" i="29"/>
  <c r="G17" i="29"/>
  <c r="F17" i="29"/>
  <c r="M4" i="30"/>
  <c r="N4" i="30"/>
  <c r="M5" i="30"/>
  <c r="N5" i="30"/>
  <c r="L5" i="30"/>
  <c r="K18" i="30"/>
  <c r="L18" i="30"/>
  <c r="M6" i="30"/>
  <c r="N6" i="30"/>
  <c r="L6" i="30"/>
  <c r="K19" i="30"/>
  <c r="L19" i="30"/>
  <c r="M7" i="30"/>
  <c r="N7" i="30"/>
  <c r="L7" i="30"/>
  <c r="K20" i="30"/>
  <c r="L20" i="30"/>
  <c r="G20" i="30"/>
  <c r="F20" i="30"/>
  <c r="E20" i="30"/>
  <c r="G19" i="30"/>
  <c r="F19" i="30"/>
  <c r="E19" i="30"/>
  <c r="G18" i="30"/>
  <c r="F18" i="30"/>
  <c r="E18" i="30"/>
  <c r="G17" i="30"/>
  <c r="F17" i="30"/>
  <c r="M4" i="31"/>
  <c r="N4" i="31"/>
  <c r="M5" i="31"/>
  <c r="N5" i="31"/>
  <c r="L5" i="31"/>
  <c r="K18" i="31"/>
  <c r="L18" i="31"/>
  <c r="M6" i="31"/>
  <c r="N6" i="31"/>
  <c r="L6" i="31"/>
  <c r="K19" i="31"/>
  <c r="L19" i="31"/>
  <c r="M7" i="31"/>
  <c r="N7" i="31"/>
  <c r="L7" i="31"/>
  <c r="K20" i="31"/>
  <c r="L20" i="31"/>
  <c r="G20" i="31"/>
  <c r="F20" i="31"/>
  <c r="E20" i="31"/>
  <c r="G19" i="31"/>
  <c r="F19" i="31"/>
  <c r="E19" i="31"/>
  <c r="G18" i="31"/>
  <c r="F18" i="31"/>
  <c r="E18" i="31"/>
  <c r="G17" i="31"/>
  <c r="F17" i="31"/>
  <c r="K4" i="31"/>
  <c r="K13" i="31"/>
  <c r="AC12" i="40"/>
  <c r="L4" i="31"/>
  <c r="K17" i="31"/>
  <c r="L17" i="31"/>
  <c r="M17" i="31"/>
  <c r="N17" i="31" a="1"/>
  <c r="N17" i="31"/>
  <c r="O17" i="31"/>
  <c r="M18" i="31"/>
  <c r="N18" i="31" a="1"/>
  <c r="N18" i="31"/>
  <c r="O18" i="31"/>
  <c r="E30" i="31" a="1"/>
  <c r="E30" i="31"/>
  <c r="M19" i="31"/>
  <c r="N19" i="31" a="1"/>
  <c r="N19" i="31"/>
  <c r="O19" i="31"/>
  <c r="F30" i="31" a="1"/>
  <c r="F30" i="31"/>
  <c r="M20" i="31"/>
  <c r="N20" i="31" a="1"/>
  <c r="N20" i="31"/>
  <c r="O20" i="31"/>
  <c r="G30" i="31" a="1"/>
  <c r="H30" i="31" a="1"/>
  <c r="I30" i="31" a="1"/>
  <c r="J30" i="31" a="1"/>
  <c r="K30" i="31" a="1"/>
  <c r="L30" i="31" a="1"/>
  <c r="P17" i="31"/>
  <c r="P18" i="31"/>
  <c r="M30" i="31" a="1"/>
  <c r="P19" i="31"/>
  <c r="N30" i="31" a="1"/>
  <c r="P20" i="31"/>
  <c r="O30" i="31" a="1"/>
  <c r="P30" i="31" a="1"/>
  <c r="Q30" i="31" a="1"/>
  <c r="R30" i="31" a="1"/>
  <c r="S30" i="31" a="1"/>
  <c r="T30" i="31" a="1"/>
  <c r="Q17" i="31"/>
  <c r="Q18" i="31"/>
  <c r="U30" i="31" a="1"/>
  <c r="Q19" i="31"/>
  <c r="V30" i="31" a="1"/>
  <c r="Q20" i="31"/>
  <c r="W30" i="31" a="1"/>
  <c r="X30" i="31" a="1"/>
  <c r="Y30" i="31" a="1"/>
  <c r="Z30" i="31" a="1"/>
  <c r="AA30" i="31" a="1"/>
  <c r="AB30" i="31" a="1"/>
  <c r="R17" i="31"/>
  <c r="R18" i="31"/>
  <c r="AC30" i="31" a="1"/>
  <c r="R19" i="31"/>
  <c r="AD30" i="31" a="1"/>
  <c r="R20" i="31"/>
  <c r="AE30" i="31" a="1"/>
  <c r="AF30" i="31" a="1"/>
  <c r="AG30" i="31" a="1"/>
  <c r="AH30" i="31" a="1"/>
  <c r="AI30" i="31" a="1"/>
  <c r="AJ30" i="31" a="1"/>
  <c r="S17" i="31"/>
  <c r="S18" i="31"/>
  <c r="AK30" i="31" a="1"/>
  <c r="S19" i="31"/>
  <c r="AL30" i="31" a="1"/>
  <c r="S20" i="31"/>
  <c r="AM30" i="31" a="1"/>
  <c r="AN30" i="31" a="1"/>
  <c r="AO30" i="31" a="1"/>
  <c r="AP30" i="31" a="1"/>
  <c r="AQ30" i="31" a="1"/>
  <c r="AR30" i="31" a="1"/>
  <c r="T17" i="31"/>
  <c r="T18" i="31"/>
  <c r="AS30" i="31" a="1"/>
  <c r="T19" i="31"/>
  <c r="AT30" i="31" a="1"/>
  <c r="T20" i="31"/>
  <c r="AU30" i="31" a="1"/>
  <c r="AV30" i="31" a="1"/>
  <c r="AW30" i="31" a="1"/>
  <c r="AX30" i="31" a="1"/>
  <c r="AY30" i="31" a="1"/>
  <c r="AZ30" i="31" a="1"/>
  <c r="U17" i="31"/>
  <c r="U18" i="31"/>
  <c r="BA30" i="31" a="1"/>
  <c r="U19" i="31"/>
  <c r="BB30" i="31" a="1"/>
  <c r="U20" i="31"/>
  <c r="BC30" i="31" a="1"/>
  <c r="BD30" i="31" a="1"/>
  <c r="BE30" i="31" a="1"/>
  <c r="BF30" i="31" a="1"/>
  <c r="BG30" i="31" a="1"/>
  <c r="BH30" i="31" a="1"/>
  <c r="V17" i="31"/>
  <c r="V18" i="31"/>
  <c r="BI30" i="31" a="1"/>
  <c r="V19" i="31"/>
  <c r="BJ30" i="31" a="1"/>
  <c r="V20" i="31"/>
  <c r="BK30" i="31" a="1"/>
  <c r="BL30" i="31" a="1"/>
  <c r="BM30" i="31" a="1"/>
  <c r="BN30" i="31" a="1"/>
  <c r="BO30" i="31" a="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AA17"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W17" i="31"/>
  <c r="E31" i="31" a="1"/>
  <c r="E31"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AA18"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W18" i="31"/>
  <c r="E32" i="31" a="1"/>
  <c r="E32"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AA19"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W19" i="31"/>
  <c r="E33" i="31" a="1"/>
  <c r="E33"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AA20"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W20" i="31"/>
  <c r="Z25" i="31"/>
  <c r="N25" i="31" a="1"/>
  <c r="N25" i="31"/>
  <c r="M25" i="31"/>
  <c r="Z24" i="31"/>
  <c r="N24" i="31" a="1"/>
  <c r="N24" i="31"/>
  <c r="M24" i="31"/>
  <c r="Z23" i="31"/>
  <c r="N23" i="31" a="1"/>
  <c r="N23" i="31"/>
  <c r="M23" i="31"/>
  <c r="Z22" i="31"/>
  <c r="N22" i="31" a="1"/>
  <c r="N22" i="31"/>
  <c r="M22" i="31"/>
  <c r="Z21" i="31"/>
  <c r="N21" i="31" a="1"/>
  <c r="N21" i="31"/>
  <c r="M21" i="31"/>
  <c r="Z20" i="31"/>
  <c r="Z19" i="31"/>
  <c r="Z18" i="31"/>
  <c r="Z17" i="31"/>
  <c r="E17" i="31"/>
  <c r="D17" i="31"/>
  <c r="AD25" i="31"/>
  <c r="AG25" i="31"/>
  <c r="AH25" i="31"/>
  <c r="AD24" i="31"/>
  <c r="AG24" i="31"/>
  <c r="AH24" i="31"/>
  <c r="AD23" i="31"/>
  <c r="AG23" i="31"/>
  <c r="AH23" i="31"/>
  <c r="AD22" i="31"/>
  <c r="AG22" i="31"/>
  <c r="AH22" i="31"/>
  <c r="AD21" i="31"/>
  <c r="AG21" i="31"/>
  <c r="AH21" i="31"/>
  <c r="AD20" i="31"/>
  <c r="AG20" i="31"/>
  <c r="AH20" i="31"/>
  <c r="AD19" i="31"/>
  <c r="AG19" i="31"/>
  <c r="AH19" i="31"/>
  <c r="AD18" i="31"/>
  <c r="AG18" i="31"/>
  <c r="AH18" i="31"/>
  <c r="AD17" i="31"/>
  <c r="AG17" i="31"/>
  <c r="AH17" i="31"/>
  <c r="BK49" i="31" a="1"/>
  <c r="BK49" i="31"/>
  <c r="BJ49" i="31" a="1"/>
  <c r="BJ49" i="31"/>
  <c r="BI49" i="31" a="1"/>
  <c r="BI49" i="31"/>
  <c r="BD49" i="31" a="1"/>
  <c r="BD49" i="31"/>
  <c r="BC49" i="31" a="1"/>
  <c r="BC49" i="31"/>
  <c r="BB49" i="31" a="1"/>
  <c r="BB49" i="31"/>
  <c r="BA49" i="31" a="1"/>
  <c r="BA49" i="31"/>
  <c r="AV49" i="31" a="1"/>
  <c r="AV49" i="31"/>
  <c r="AU49" i="31" a="1"/>
  <c r="AU49" i="31"/>
  <c r="AT49" i="31" a="1"/>
  <c r="AT49" i="31"/>
  <c r="AS49" i="31" a="1"/>
  <c r="AS49" i="31"/>
  <c r="AN49" i="31" a="1"/>
  <c r="AN49" i="31"/>
  <c r="AM49" i="31" a="1"/>
  <c r="AM49" i="31"/>
  <c r="AL49" i="31" a="1"/>
  <c r="AL49" i="31"/>
  <c r="AK49" i="31" a="1"/>
  <c r="AK49" i="31"/>
  <c r="AF49" i="31" a="1"/>
  <c r="AF49" i="31"/>
  <c r="AE49" i="31" a="1"/>
  <c r="AE49" i="31"/>
  <c r="AD49" i="31" a="1"/>
  <c r="AD49" i="31"/>
  <c r="AC49" i="31" a="1"/>
  <c r="AC49" i="31"/>
  <c r="X49" i="31" a="1"/>
  <c r="X49" i="31"/>
  <c r="W49" i="31" a="1"/>
  <c r="W49" i="31"/>
  <c r="V49" i="31" a="1"/>
  <c r="V49" i="31"/>
  <c r="U49" i="31" a="1"/>
  <c r="U49" i="31"/>
  <c r="P49" i="31" a="1"/>
  <c r="P49" i="31"/>
  <c r="O49" i="31" a="1"/>
  <c r="O49" i="31"/>
  <c r="N49" i="31" a="1"/>
  <c r="N49" i="31"/>
  <c r="M49" i="31" a="1"/>
  <c r="M49" i="31"/>
  <c r="H49" i="31" a="1"/>
  <c r="H49" i="31"/>
  <c r="G49" i="31" a="1"/>
  <c r="G49" i="31"/>
  <c r="F49" i="31" a="1"/>
  <c r="F49" i="31"/>
  <c r="E49" i="31" a="1"/>
  <c r="E49" i="31"/>
  <c r="BK48" i="31" a="1"/>
  <c r="BK48" i="31"/>
  <c r="BJ48" i="31" a="1"/>
  <c r="BJ48" i="31"/>
  <c r="BI48" i="31" a="1"/>
  <c r="BI48" i="31"/>
  <c r="BD48" i="31" a="1"/>
  <c r="BD48" i="31"/>
  <c r="BC48" i="31" a="1"/>
  <c r="BC48" i="31"/>
  <c r="BB48" i="31" a="1"/>
  <c r="BB48" i="31"/>
  <c r="BA48" i="31" a="1"/>
  <c r="BA48" i="31"/>
  <c r="AV48" i="31" a="1"/>
  <c r="AV48" i="31"/>
  <c r="AU48" i="31" a="1"/>
  <c r="AU48" i="31"/>
  <c r="AT48" i="31" a="1"/>
  <c r="AT48" i="31"/>
  <c r="AS48" i="31" a="1"/>
  <c r="AS48" i="31"/>
  <c r="AN48" i="31" a="1"/>
  <c r="AN48" i="31"/>
  <c r="AM48" i="31" a="1"/>
  <c r="AM48" i="31"/>
  <c r="AL48" i="31" a="1"/>
  <c r="AL48" i="31"/>
  <c r="AK48" i="31" a="1"/>
  <c r="AK48" i="31"/>
  <c r="AF48" i="31" a="1"/>
  <c r="AF48" i="31"/>
  <c r="AE48" i="31" a="1"/>
  <c r="AE48" i="31"/>
  <c r="AD48" i="31" a="1"/>
  <c r="AD48" i="31"/>
  <c r="AC48" i="31" a="1"/>
  <c r="AC48" i="31"/>
  <c r="X48" i="31" a="1"/>
  <c r="X48" i="31"/>
  <c r="W48" i="31" a="1"/>
  <c r="W48" i="31"/>
  <c r="V48" i="31" a="1"/>
  <c r="V48" i="31"/>
  <c r="U48" i="31" a="1"/>
  <c r="U48" i="31"/>
  <c r="P48" i="31" a="1"/>
  <c r="P48" i="31"/>
  <c r="O48" i="31" a="1"/>
  <c r="O48" i="31"/>
  <c r="N48" i="31" a="1"/>
  <c r="N48" i="31"/>
  <c r="M48" i="31" a="1"/>
  <c r="M48" i="31"/>
  <c r="H48" i="31" a="1"/>
  <c r="H48" i="31"/>
  <c r="G48" i="31" a="1"/>
  <c r="G48" i="31"/>
  <c r="F48" i="31" a="1"/>
  <c r="F48" i="31"/>
  <c r="E48" i="31" a="1"/>
  <c r="E48" i="31"/>
  <c r="BK47" i="31" a="1"/>
  <c r="BK47" i="31"/>
  <c r="BJ47" i="31" a="1"/>
  <c r="BJ47" i="31"/>
  <c r="BI47" i="31" a="1"/>
  <c r="BI47" i="31"/>
  <c r="BD47" i="31" a="1"/>
  <c r="BD47" i="31"/>
  <c r="BC47" i="31" a="1"/>
  <c r="BC47" i="31"/>
  <c r="BB47" i="31" a="1"/>
  <c r="BB47" i="31"/>
  <c r="BA47" i="31" a="1"/>
  <c r="BA47" i="31"/>
  <c r="AV47" i="31" a="1"/>
  <c r="AV47" i="31"/>
  <c r="AU47" i="31" a="1"/>
  <c r="AU47" i="31"/>
  <c r="AT47" i="31" a="1"/>
  <c r="AT47" i="31"/>
  <c r="AS47" i="31" a="1"/>
  <c r="AS47" i="31"/>
  <c r="AN47" i="31" a="1"/>
  <c r="AN47" i="31"/>
  <c r="AM47" i="31" a="1"/>
  <c r="AM47" i="31"/>
  <c r="AL47" i="31" a="1"/>
  <c r="AL47" i="31"/>
  <c r="AK47" i="31" a="1"/>
  <c r="AK47" i="31"/>
  <c r="AF47" i="31" a="1"/>
  <c r="AF47" i="31"/>
  <c r="AE47" i="31" a="1"/>
  <c r="AE47" i="31"/>
  <c r="AD47" i="31" a="1"/>
  <c r="AD47" i="31"/>
  <c r="AC47" i="31" a="1"/>
  <c r="AC47" i="31"/>
  <c r="X47" i="31" a="1"/>
  <c r="X47" i="31"/>
  <c r="W47" i="31" a="1"/>
  <c r="W47" i="31"/>
  <c r="V47" i="31" a="1"/>
  <c r="V47" i="31"/>
  <c r="U47" i="31" a="1"/>
  <c r="U47" i="31"/>
  <c r="P47" i="31" a="1"/>
  <c r="P47" i="31"/>
  <c r="O47" i="31" a="1"/>
  <c r="O47" i="31"/>
  <c r="N47" i="31" a="1"/>
  <c r="N47" i="31"/>
  <c r="M47" i="31" a="1"/>
  <c r="M47" i="31"/>
  <c r="H47" i="31" a="1"/>
  <c r="H47" i="31"/>
  <c r="G47" i="31" a="1"/>
  <c r="G47" i="31"/>
  <c r="F47" i="31" a="1"/>
  <c r="F47" i="31"/>
  <c r="E47" i="31" a="1"/>
  <c r="E47" i="31"/>
  <c r="BK46" i="31" a="1"/>
  <c r="BK46" i="31"/>
  <c r="BJ46" i="31" a="1"/>
  <c r="BJ46" i="31"/>
  <c r="BI46" i="31" a="1"/>
  <c r="BI46" i="31"/>
  <c r="BD46" i="31" a="1"/>
  <c r="BD46" i="31"/>
  <c r="BC46" i="31" a="1"/>
  <c r="BC46" i="31"/>
  <c r="BB46" i="31" a="1"/>
  <c r="BB46" i="31"/>
  <c r="BA46" i="31" a="1"/>
  <c r="BA46" i="31"/>
  <c r="AV46" i="31" a="1"/>
  <c r="AV46" i="31"/>
  <c r="AU46" i="31" a="1"/>
  <c r="AU46" i="31"/>
  <c r="AT46" i="31" a="1"/>
  <c r="AT46" i="31"/>
  <c r="AS46" i="31" a="1"/>
  <c r="AS46" i="31"/>
  <c r="AN46" i="31" a="1"/>
  <c r="AN46" i="31"/>
  <c r="AM46" i="31" a="1"/>
  <c r="AM46" i="31"/>
  <c r="AL46" i="31" a="1"/>
  <c r="AL46" i="31"/>
  <c r="AK46" i="31" a="1"/>
  <c r="AK46" i="31"/>
  <c r="AF46" i="31" a="1"/>
  <c r="AF46" i="31"/>
  <c r="AE46" i="31" a="1"/>
  <c r="AE46" i="31"/>
  <c r="AD46" i="31" a="1"/>
  <c r="AD46" i="31"/>
  <c r="AC46" i="31" a="1"/>
  <c r="AC46" i="31"/>
  <c r="X46" i="31" a="1"/>
  <c r="X46" i="31"/>
  <c r="W46" i="31" a="1"/>
  <c r="W46" i="31"/>
  <c r="V46" i="31" a="1"/>
  <c r="V46" i="31"/>
  <c r="U46" i="31" a="1"/>
  <c r="U46" i="31"/>
  <c r="P46" i="31" a="1"/>
  <c r="P46" i="31"/>
  <c r="O46" i="31" a="1"/>
  <c r="O46" i="31"/>
  <c r="N46" i="31" a="1"/>
  <c r="N46" i="31"/>
  <c r="M46" i="31" a="1"/>
  <c r="M46" i="31"/>
  <c r="H46" i="31" a="1"/>
  <c r="H46" i="31"/>
  <c r="G46" i="31" a="1"/>
  <c r="G46" i="31"/>
  <c r="F46" i="31" a="1"/>
  <c r="F46" i="31"/>
  <c r="E46" i="31" a="1"/>
  <c r="E46" i="31"/>
  <c r="BK45" i="31" a="1"/>
  <c r="BK45" i="31"/>
  <c r="BJ45" i="31" a="1"/>
  <c r="BJ45" i="31"/>
  <c r="BI45" i="31" a="1"/>
  <c r="BI45" i="31"/>
  <c r="BD45" i="31" a="1"/>
  <c r="BD45" i="31"/>
  <c r="BC45" i="31" a="1"/>
  <c r="BC45" i="31"/>
  <c r="BB45" i="31" a="1"/>
  <c r="BB45" i="31"/>
  <c r="BA45" i="31" a="1"/>
  <c r="BA45" i="31"/>
  <c r="AV45" i="31" a="1"/>
  <c r="AV45" i="31"/>
  <c r="AU45" i="31" a="1"/>
  <c r="AU45" i="31"/>
  <c r="AT45" i="31" a="1"/>
  <c r="AT45" i="31"/>
  <c r="AS45" i="31" a="1"/>
  <c r="AS45" i="31"/>
  <c r="AN45" i="31" a="1"/>
  <c r="AN45" i="31"/>
  <c r="AM45" i="31" a="1"/>
  <c r="AM45" i="31"/>
  <c r="AL45" i="31" a="1"/>
  <c r="AL45" i="31"/>
  <c r="AK45" i="31" a="1"/>
  <c r="AK45" i="31"/>
  <c r="AF45" i="31" a="1"/>
  <c r="AF45" i="31"/>
  <c r="AE45" i="31" a="1"/>
  <c r="AE45" i="31"/>
  <c r="AD45" i="31" a="1"/>
  <c r="AD45" i="31"/>
  <c r="AC45" i="31" a="1"/>
  <c r="AC45" i="31"/>
  <c r="X45" i="31" a="1"/>
  <c r="X45" i="31"/>
  <c r="W45" i="31" a="1"/>
  <c r="W45" i="31"/>
  <c r="V45" i="31" a="1"/>
  <c r="V45" i="31"/>
  <c r="U45" i="31" a="1"/>
  <c r="U45" i="31"/>
  <c r="P45" i="31" a="1"/>
  <c r="P45" i="31"/>
  <c r="O45" i="31" a="1"/>
  <c r="O45" i="31"/>
  <c r="N45" i="31" a="1"/>
  <c r="N45" i="31"/>
  <c r="M45" i="31" a="1"/>
  <c r="M45" i="31"/>
  <c r="H45" i="31" a="1"/>
  <c r="H45" i="31"/>
  <c r="G45" i="31" a="1"/>
  <c r="G45" i="31"/>
  <c r="F45" i="31" a="1"/>
  <c r="F45" i="31"/>
  <c r="E45" i="31" a="1"/>
  <c r="E45" i="31"/>
  <c r="U12" i="40"/>
  <c r="H73" i="40"/>
  <c r="U15" i="40"/>
  <c r="H76" i="40"/>
  <c r="U14" i="40"/>
  <c r="H75" i="40"/>
  <c r="U13" i="40"/>
  <c r="H74" i="40"/>
  <c r="V12" i="40"/>
  <c r="AD15" i="40"/>
  <c r="AB15" i="40"/>
  <c r="Z15" i="40"/>
  <c r="Y15" i="40"/>
  <c r="X15" i="40"/>
  <c r="W15" i="40"/>
  <c r="V15" i="40"/>
  <c r="AD14" i="40"/>
  <c r="AB14" i="40"/>
  <c r="Z14" i="40"/>
  <c r="Y14" i="40"/>
  <c r="X14" i="40"/>
  <c r="W14" i="40"/>
  <c r="V14" i="40"/>
  <c r="AD13" i="40"/>
  <c r="AB13" i="40"/>
  <c r="Z13" i="40"/>
  <c r="Y13" i="40"/>
  <c r="X13" i="40"/>
  <c r="W13" i="40"/>
  <c r="V13" i="40"/>
  <c r="AD12" i="40"/>
  <c r="AB12" i="40"/>
  <c r="Z12" i="40"/>
  <c r="Y12" i="40"/>
  <c r="X12" i="40"/>
  <c r="W12" i="40"/>
  <c r="T12" i="40"/>
  <c r="T13" i="40"/>
  <c r="T14" i="40"/>
  <c r="T15" i="40"/>
  <c r="E34" i="31" a="1"/>
  <c r="E34" i="31"/>
  <c r="F34" i="31" a="1"/>
  <c r="F34" i="31"/>
  <c r="G34" i="31" a="1"/>
  <c r="G34" i="31"/>
  <c r="H34" i="31" a="1"/>
  <c r="H34" i="31"/>
  <c r="M34" i="31" a="1"/>
  <c r="M34" i="31"/>
  <c r="N34" i="31" a="1"/>
  <c r="N34" i="31"/>
  <c r="O34" i="31" a="1"/>
  <c r="O34" i="31"/>
  <c r="P34" i="31" a="1"/>
  <c r="P34" i="31"/>
  <c r="U34" i="31" a="1"/>
  <c r="U34" i="31"/>
  <c r="V34" i="31" a="1"/>
  <c r="V34" i="31"/>
  <c r="W34" i="31" a="1"/>
  <c r="W34" i="31"/>
  <c r="X34" i="31" a="1"/>
  <c r="X34" i="31"/>
  <c r="AC34" i="31" a="1"/>
  <c r="AC34" i="31"/>
  <c r="AD34" i="31" a="1"/>
  <c r="AD34" i="31"/>
  <c r="AE34" i="31" a="1"/>
  <c r="AE34" i="31"/>
  <c r="AF34" i="31" a="1"/>
  <c r="AF34" i="31"/>
  <c r="AK34" i="31" a="1"/>
  <c r="AK34" i="31"/>
  <c r="AL34" i="31" a="1"/>
  <c r="AL34" i="31"/>
  <c r="AM34" i="31" a="1"/>
  <c r="AM34" i="31"/>
  <c r="AN34" i="31" a="1"/>
  <c r="AN34" i="31"/>
  <c r="AS34" i="31" a="1"/>
  <c r="AS34" i="31"/>
  <c r="AT34" i="31" a="1"/>
  <c r="AT34" i="31"/>
  <c r="AU34" i="31" a="1"/>
  <c r="AU34" i="31"/>
  <c r="AV34" i="31" a="1"/>
  <c r="AV34" i="31"/>
  <c r="BA34" i="31" a="1"/>
  <c r="BA34" i="31"/>
  <c r="BB34" i="31" a="1"/>
  <c r="BB34" i="31"/>
  <c r="BC34" i="31" a="1"/>
  <c r="BC34" i="31"/>
  <c r="BD34" i="31" a="1"/>
  <c r="BD34" i="31"/>
  <c r="BI34" i="31" a="1"/>
  <c r="BI34" i="31"/>
  <c r="BJ34" i="31" a="1"/>
  <c r="BJ34" i="31"/>
  <c r="BK34" i="31" a="1"/>
  <c r="BK34" i="31"/>
  <c r="BL34" i="31" a="1"/>
  <c r="BL34" i="31"/>
  <c r="E35" i="31" a="1"/>
  <c r="E35" i="31"/>
  <c r="F35" i="31" a="1"/>
  <c r="F35" i="31"/>
  <c r="G35" i="31" a="1"/>
  <c r="G35" i="31"/>
  <c r="H35" i="31" a="1"/>
  <c r="H35" i="31"/>
  <c r="M35" i="31" a="1"/>
  <c r="M35" i="31"/>
  <c r="N35" i="31" a="1"/>
  <c r="N35" i="31"/>
  <c r="O35" i="31" a="1"/>
  <c r="O35" i="31"/>
  <c r="P35" i="31" a="1"/>
  <c r="P35" i="31"/>
  <c r="U35" i="31" a="1"/>
  <c r="U35" i="31"/>
  <c r="V35" i="31" a="1"/>
  <c r="V35" i="31"/>
  <c r="W35" i="31" a="1"/>
  <c r="W35" i="31"/>
  <c r="X35" i="31" a="1"/>
  <c r="X35" i="31"/>
  <c r="AC35" i="31" a="1"/>
  <c r="AC35" i="31"/>
  <c r="AD35" i="31" a="1"/>
  <c r="AD35" i="31"/>
  <c r="AE35" i="31" a="1"/>
  <c r="AE35" i="31"/>
  <c r="AF35" i="31" a="1"/>
  <c r="AF35" i="31"/>
  <c r="AK35" i="31" a="1"/>
  <c r="AK35" i="31"/>
  <c r="AL35" i="31" a="1"/>
  <c r="AL35" i="31"/>
  <c r="AM35" i="31" a="1"/>
  <c r="AM35" i="31"/>
  <c r="AN35" i="31" a="1"/>
  <c r="AN35" i="31"/>
  <c r="AS35" i="31" a="1"/>
  <c r="AS35" i="31"/>
  <c r="AT35" i="31" a="1"/>
  <c r="AT35" i="31"/>
  <c r="AU35" i="31" a="1"/>
  <c r="AU35" i="31"/>
  <c r="AV35" i="31" a="1"/>
  <c r="AV35" i="31"/>
  <c r="BA35" i="31" a="1"/>
  <c r="BA35" i="31"/>
  <c r="BB35" i="31" a="1"/>
  <c r="BB35" i="31"/>
  <c r="BC35" i="31" a="1"/>
  <c r="BC35" i="31"/>
  <c r="BD35" i="31" a="1"/>
  <c r="BD35" i="31"/>
  <c r="BI35" i="31" a="1"/>
  <c r="BI35" i="31"/>
  <c r="BJ35" i="31" a="1"/>
  <c r="BJ35" i="31"/>
  <c r="BK35" i="31" a="1"/>
  <c r="BK35" i="31"/>
  <c r="BL35" i="31" a="1"/>
  <c r="BL35" i="31"/>
  <c r="E36" i="31" a="1"/>
  <c r="E36" i="31"/>
  <c r="F36" i="31" a="1"/>
  <c r="F36" i="31"/>
  <c r="G36" i="31" a="1"/>
  <c r="G36" i="31"/>
  <c r="H36" i="31" a="1"/>
  <c r="H36" i="31"/>
  <c r="M36" i="31" a="1"/>
  <c r="M36" i="31"/>
  <c r="N36" i="31" a="1"/>
  <c r="N36" i="31"/>
  <c r="O36" i="31" a="1"/>
  <c r="O36" i="31"/>
  <c r="P36" i="31" a="1"/>
  <c r="P36" i="31"/>
  <c r="U36" i="31" a="1"/>
  <c r="U36" i="31"/>
  <c r="V36" i="31" a="1"/>
  <c r="V36" i="31"/>
  <c r="W36" i="31" a="1"/>
  <c r="W36" i="31"/>
  <c r="X36" i="31" a="1"/>
  <c r="X36" i="31"/>
  <c r="AC36" i="31" a="1"/>
  <c r="AC36" i="31"/>
  <c r="AD36" i="31" a="1"/>
  <c r="AD36" i="31"/>
  <c r="AE36" i="31" a="1"/>
  <c r="AE36" i="31"/>
  <c r="AF36" i="31" a="1"/>
  <c r="AF36" i="31"/>
  <c r="AK36" i="31" a="1"/>
  <c r="AK36" i="31"/>
  <c r="AL36" i="31" a="1"/>
  <c r="AL36" i="31"/>
  <c r="AM36" i="31" a="1"/>
  <c r="AM36" i="31"/>
  <c r="AN36" i="31" a="1"/>
  <c r="AN36" i="31"/>
  <c r="AS36" i="31" a="1"/>
  <c r="AS36" i="31"/>
  <c r="AT36" i="31" a="1"/>
  <c r="AT36" i="31"/>
  <c r="AU36" i="31" a="1"/>
  <c r="AU36" i="31"/>
  <c r="AV36" i="31" a="1"/>
  <c r="AV36" i="31"/>
  <c r="BA36" i="31" a="1"/>
  <c r="BA36" i="31"/>
  <c r="BB36" i="31" a="1"/>
  <c r="BB36" i="31"/>
  <c r="BC36" i="31" a="1"/>
  <c r="BC36" i="31"/>
  <c r="BD36" i="31" a="1"/>
  <c r="BD36" i="31"/>
  <c r="BI36" i="31" a="1"/>
  <c r="BI36" i="31"/>
  <c r="BJ36" i="31" a="1"/>
  <c r="BJ36" i="31"/>
  <c r="BK36" i="31" a="1"/>
  <c r="BK36" i="31"/>
  <c r="BL36" i="31" a="1"/>
  <c r="BL36" i="31"/>
  <c r="E37" i="31" a="1"/>
  <c r="E37" i="31"/>
  <c r="F37" i="31" a="1"/>
  <c r="F37" i="31"/>
  <c r="G37" i="31" a="1"/>
  <c r="G37" i="31"/>
  <c r="H37" i="31" a="1"/>
  <c r="H37" i="31"/>
  <c r="M37" i="31" a="1"/>
  <c r="M37" i="31"/>
  <c r="N37" i="31" a="1"/>
  <c r="N37" i="31"/>
  <c r="O37" i="31" a="1"/>
  <c r="O37" i="31"/>
  <c r="P37" i="31" a="1"/>
  <c r="P37" i="31"/>
  <c r="U37" i="31" a="1"/>
  <c r="U37" i="31"/>
  <c r="V37" i="31" a="1"/>
  <c r="V37" i="31"/>
  <c r="W37" i="31" a="1"/>
  <c r="W37" i="31"/>
  <c r="X37" i="31" a="1"/>
  <c r="X37" i="31"/>
  <c r="AC37" i="31" a="1"/>
  <c r="AC37" i="31"/>
  <c r="AD37" i="31" a="1"/>
  <c r="AD37" i="31"/>
  <c r="AE37" i="31" a="1"/>
  <c r="AE37" i="31"/>
  <c r="AF37" i="31" a="1"/>
  <c r="AF37" i="31"/>
  <c r="AK37" i="31" a="1"/>
  <c r="AK37" i="31"/>
  <c r="AL37" i="31" a="1"/>
  <c r="AL37" i="31"/>
  <c r="AM37" i="31" a="1"/>
  <c r="AM37" i="31"/>
  <c r="AN37" i="31" a="1"/>
  <c r="AN37" i="31"/>
  <c r="AS37" i="31" a="1"/>
  <c r="AS37" i="31"/>
  <c r="AT37" i="31" a="1"/>
  <c r="AT37" i="31"/>
  <c r="AU37" i="31" a="1"/>
  <c r="AU37" i="31"/>
  <c r="AV37" i="31" a="1"/>
  <c r="AV37" i="31"/>
  <c r="BA37" i="31" a="1"/>
  <c r="BA37" i="31"/>
  <c r="BB37" i="31" a="1"/>
  <c r="BB37" i="31"/>
  <c r="BC37" i="31" a="1"/>
  <c r="BC37" i="31"/>
  <c r="BD37" i="31" a="1"/>
  <c r="BD37" i="31"/>
  <c r="BI37" i="31" a="1"/>
  <c r="BI37" i="31"/>
  <c r="BJ37" i="31" a="1"/>
  <c r="BJ37" i="31"/>
  <c r="BK37" i="31" a="1"/>
  <c r="BK37" i="31"/>
  <c r="BL37" i="31" a="1"/>
  <c r="BL37" i="31"/>
  <c r="E38" i="31" a="1"/>
  <c r="E38" i="31"/>
  <c r="F38" i="31" a="1"/>
  <c r="F38" i="31"/>
  <c r="G38" i="31" a="1"/>
  <c r="G38" i="31"/>
  <c r="H38" i="31" a="1"/>
  <c r="H38" i="31"/>
  <c r="M38" i="31" a="1"/>
  <c r="M38" i="31"/>
  <c r="N38" i="31" a="1"/>
  <c r="N38" i="31"/>
  <c r="O38" i="31" a="1"/>
  <c r="O38" i="31"/>
  <c r="P38" i="31" a="1"/>
  <c r="P38" i="31"/>
  <c r="U38" i="31" a="1"/>
  <c r="U38" i="31"/>
  <c r="V38" i="31" a="1"/>
  <c r="V38" i="31"/>
  <c r="W38" i="31" a="1"/>
  <c r="W38" i="31"/>
  <c r="X38" i="31" a="1"/>
  <c r="X38" i="31"/>
  <c r="AC38" i="31" a="1"/>
  <c r="AC38" i="31"/>
  <c r="AD38" i="31" a="1"/>
  <c r="AD38" i="31"/>
  <c r="AE38" i="31" a="1"/>
  <c r="AE38" i="31"/>
  <c r="AF38" i="31" a="1"/>
  <c r="AF38" i="31"/>
  <c r="AK38" i="31" a="1"/>
  <c r="AK38" i="31"/>
  <c r="AL38" i="31" a="1"/>
  <c r="AL38" i="31"/>
  <c r="AM38" i="31" a="1"/>
  <c r="AM38" i="31"/>
  <c r="AN38" i="31" a="1"/>
  <c r="AN38" i="31"/>
  <c r="AS38" i="31" a="1"/>
  <c r="AS38" i="31"/>
  <c r="AT38" i="31" a="1"/>
  <c r="AT38" i="31"/>
  <c r="AU38" i="31" a="1"/>
  <c r="AU38" i="31"/>
  <c r="AV38" i="31" a="1"/>
  <c r="AV38" i="31"/>
  <c r="BA38" i="31" a="1"/>
  <c r="BA38" i="31"/>
  <c r="BB38" i="31" a="1"/>
  <c r="BB38" i="31"/>
  <c r="BC38" i="31" a="1"/>
  <c r="BC38" i="31"/>
  <c r="BD38" i="31" a="1"/>
  <c r="BD38" i="31"/>
  <c r="BI38" i="31" a="1"/>
  <c r="BI38" i="31"/>
  <c r="BJ38" i="31" a="1"/>
  <c r="BJ38" i="31"/>
  <c r="BK38" i="31" a="1"/>
  <c r="BK38" i="31"/>
  <c r="BL38" i="31" a="1"/>
  <c r="BL38" i="3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C5" i="31"/>
  <c r="C6" i="31"/>
  <c r="C7" i="31"/>
  <c r="C8" i="31"/>
  <c r="C9" i="31"/>
  <c r="C10" i="31"/>
  <c r="C11" i="31"/>
  <c r="C12" i="31"/>
  <c r="AC13" i="40"/>
  <c r="AC14" i="40"/>
  <c r="AC15" i="40"/>
  <c r="K4" i="30"/>
  <c r="K13" i="30"/>
  <c r="L4" i="30"/>
  <c r="K17" i="30"/>
  <c r="L17" i="30"/>
  <c r="M17" i="30"/>
  <c r="N17" i="30" a="1"/>
  <c r="N17" i="30"/>
  <c r="O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E33" i="30" a="1"/>
  <c r="E33" i="30"/>
  <c r="F33" i="30" a="1"/>
  <c r="F33" i="30"/>
  <c r="G33" i="30" a="1"/>
  <c r="H33" i="30" a="1"/>
  <c r="I33" i="30" a="1"/>
  <c r="J33" i="30" a="1"/>
  <c r="K33" i="30" a="1"/>
  <c r="L33" i="30" a="1"/>
  <c r="P20" i="30"/>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C7" i="30"/>
  <c r="AC19" i="40"/>
  <c r="Z25" i="30"/>
  <c r="N25" i="30" a="1"/>
  <c r="N25" i="30"/>
  <c r="M25" i="30"/>
  <c r="Z24" i="30"/>
  <c r="N24" i="30" a="1"/>
  <c r="N24" i="30"/>
  <c r="M24" i="30"/>
  <c r="Z23" i="30"/>
  <c r="N23" i="30" a="1"/>
  <c r="N23" i="30"/>
  <c r="M23" i="30"/>
  <c r="Z22" i="30"/>
  <c r="N22" i="30" a="1"/>
  <c r="N22" i="30"/>
  <c r="M22" i="30"/>
  <c r="Z21" i="30"/>
  <c r="N21" i="30" a="1"/>
  <c r="N21" i="30"/>
  <c r="M21" i="30"/>
  <c r="Z20" i="30"/>
  <c r="Z19" i="30"/>
  <c r="Z18" i="30"/>
  <c r="Z17" i="30"/>
  <c r="E17" i="30"/>
  <c r="D17" i="30"/>
  <c r="BL38" i="30" a="1"/>
  <c r="BL38" i="30"/>
  <c r="BK38" i="30" a="1"/>
  <c r="BK38" i="30"/>
  <c r="BJ38" i="30" a="1"/>
  <c r="BJ38" i="30"/>
  <c r="BI38" i="30" a="1"/>
  <c r="BI38" i="30"/>
  <c r="BD38" i="30" a="1"/>
  <c r="BD38" i="30"/>
  <c r="BC38" i="30" a="1"/>
  <c r="BC38" i="30"/>
  <c r="BB38" i="30" a="1"/>
  <c r="BB38" i="30"/>
  <c r="BA38" i="30" a="1"/>
  <c r="BA38" i="30"/>
  <c r="AV38" i="30" a="1"/>
  <c r="AV38" i="30"/>
  <c r="AU38" i="30" a="1"/>
  <c r="AU38" i="30"/>
  <c r="AT38" i="30" a="1"/>
  <c r="AT38" i="30"/>
  <c r="AS38" i="30" a="1"/>
  <c r="AS38" i="30"/>
  <c r="AN38" i="30" a="1"/>
  <c r="AN38" i="30"/>
  <c r="AM38" i="30" a="1"/>
  <c r="AM38" i="30"/>
  <c r="AL38" i="30" a="1"/>
  <c r="AL38" i="30"/>
  <c r="AK38" i="30" a="1"/>
  <c r="AK38" i="30"/>
  <c r="AF38" i="30" a="1"/>
  <c r="AF38" i="30"/>
  <c r="AE38" i="30" a="1"/>
  <c r="AE38" i="30"/>
  <c r="AD38" i="30" a="1"/>
  <c r="AD38" i="30"/>
  <c r="AC38" i="30" a="1"/>
  <c r="AC38" i="30"/>
  <c r="X38" i="30" a="1"/>
  <c r="X38" i="30"/>
  <c r="W38" i="30" a="1"/>
  <c r="W38" i="30"/>
  <c r="V38" i="30" a="1"/>
  <c r="V38" i="30"/>
  <c r="U38" i="30" a="1"/>
  <c r="U38" i="30"/>
  <c r="P38" i="30" a="1"/>
  <c r="P38" i="30"/>
  <c r="O38" i="30" a="1"/>
  <c r="O38" i="30"/>
  <c r="N38" i="30" a="1"/>
  <c r="N38" i="30"/>
  <c r="M38" i="30" a="1"/>
  <c r="M38" i="30"/>
  <c r="H38" i="30" a="1"/>
  <c r="H38" i="30"/>
  <c r="G38" i="30" a="1"/>
  <c r="G38" i="30"/>
  <c r="F38" i="30" a="1"/>
  <c r="F38" i="30"/>
  <c r="E38" i="30" a="1"/>
  <c r="E38" i="30"/>
  <c r="BL37" i="30" a="1"/>
  <c r="BL37" i="30"/>
  <c r="BK37" i="30" a="1"/>
  <c r="BK37" i="30"/>
  <c r="BJ37" i="30" a="1"/>
  <c r="BJ37" i="30"/>
  <c r="BI37" i="30" a="1"/>
  <c r="BI37" i="30"/>
  <c r="BD37" i="30" a="1"/>
  <c r="BD37" i="30"/>
  <c r="BC37" i="30" a="1"/>
  <c r="BC37" i="30"/>
  <c r="BB37" i="30" a="1"/>
  <c r="BB37" i="30"/>
  <c r="BA37" i="30" a="1"/>
  <c r="BA37" i="30"/>
  <c r="AV37" i="30" a="1"/>
  <c r="AV37" i="30"/>
  <c r="AU37" i="30" a="1"/>
  <c r="AU37" i="30"/>
  <c r="AT37" i="30" a="1"/>
  <c r="AT37" i="30"/>
  <c r="AS37" i="30" a="1"/>
  <c r="AS37" i="30"/>
  <c r="AN37" i="30" a="1"/>
  <c r="AN37" i="30"/>
  <c r="AM37" i="30" a="1"/>
  <c r="AM37" i="30"/>
  <c r="AL37" i="30" a="1"/>
  <c r="AL37" i="30"/>
  <c r="AK37" i="30" a="1"/>
  <c r="AK37" i="30"/>
  <c r="AF37" i="30" a="1"/>
  <c r="AF37" i="30"/>
  <c r="AE37" i="30" a="1"/>
  <c r="AE37" i="30"/>
  <c r="AD37" i="30" a="1"/>
  <c r="AD37" i="30"/>
  <c r="AC37" i="30" a="1"/>
  <c r="AC37" i="30"/>
  <c r="X37" i="30" a="1"/>
  <c r="X37" i="30"/>
  <c r="W37" i="30" a="1"/>
  <c r="W37" i="30"/>
  <c r="V37" i="30" a="1"/>
  <c r="V37" i="30"/>
  <c r="U37" i="30" a="1"/>
  <c r="U37" i="30"/>
  <c r="P37" i="30" a="1"/>
  <c r="P37" i="30"/>
  <c r="O37" i="30" a="1"/>
  <c r="O37" i="30"/>
  <c r="N37" i="30" a="1"/>
  <c r="N37" i="30"/>
  <c r="M37" i="30" a="1"/>
  <c r="M37" i="30"/>
  <c r="H37" i="30" a="1"/>
  <c r="H37" i="30"/>
  <c r="G37" i="30" a="1"/>
  <c r="G37" i="30"/>
  <c r="F37" i="30" a="1"/>
  <c r="F37" i="30"/>
  <c r="E37" i="30" a="1"/>
  <c r="E37" i="30"/>
  <c r="BL36" i="30" a="1"/>
  <c r="BL36" i="30"/>
  <c r="BK36" i="30" a="1"/>
  <c r="BK36" i="30"/>
  <c r="BJ36" i="30" a="1"/>
  <c r="BJ36" i="30"/>
  <c r="BI36" i="30" a="1"/>
  <c r="BI36" i="30"/>
  <c r="BD36" i="30" a="1"/>
  <c r="BD36" i="30"/>
  <c r="BC36" i="30" a="1"/>
  <c r="BC36" i="30"/>
  <c r="BB36" i="30" a="1"/>
  <c r="BB36" i="30"/>
  <c r="BA36" i="30" a="1"/>
  <c r="BA36" i="30"/>
  <c r="AV36" i="30" a="1"/>
  <c r="AV36" i="30"/>
  <c r="AU36" i="30" a="1"/>
  <c r="AU36" i="30"/>
  <c r="AT36" i="30" a="1"/>
  <c r="AT36" i="30"/>
  <c r="AS36" i="30" a="1"/>
  <c r="AS36" i="30"/>
  <c r="AN36" i="30" a="1"/>
  <c r="AN36" i="30"/>
  <c r="AM36" i="30" a="1"/>
  <c r="AM36" i="30"/>
  <c r="AL36" i="30" a="1"/>
  <c r="AL36" i="30"/>
  <c r="AK36" i="30" a="1"/>
  <c r="AK36" i="30"/>
  <c r="AF36" i="30" a="1"/>
  <c r="AF36" i="30"/>
  <c r="AE36" i="30" a="1"/>
  <c r="AE36" i="30"/>
  <c r="AD36" i="30" a="1"/>
  <c r="AD36" i="30"/>
  <c r="AC36" i="30" a="1"/>
  <c r="AC36" i="30"/>
  <c r="X36" i="30" a="1"/>
  <c r="X36" i="30"/>
  <c r="W36" i="30" a="1"/>
  <c r="W36" i="30"/>
  <c r="V36" i="30" a="1"/>
  <c r="V36" i="30"/>
  <c r="U36" i="30" a="1"/>
  <c r="U36" i="30"/>
  <c r="P36" i="30" a="1"/>
  <c r="P36" i="30"/>
  <c r="O36" i="30" a="1"/>
  <c r="O36" i="30"/>
  <c r="N36" i="30" a="1"/>
  <c r="N36" i="30"/>
  <c r="M36" i="30" a="1"/>
  <c r="M36" i="30"/>
  <c r="H36" i="30" a="1"/>
  <c r="H36" i="30"/>
  <c r="G36" i="30" a="1"/>
  <c r="G36" i="30"/>
  <c r="F36" i="30" a="1"/>
  <c r="F36" i="30"/>
  <c r="E36" i="30" a="1"/>
  <c r="E36" i="30"/>
  <c r="BL35" i="30" a="1"/>
  <c r="BL35" i="30"/>
  <c r="BK35" i="30" a="1"/>
  <c r="BK35" i="30"/>
  <c r="BJ35" i="30" a="1"/>
  <c r="BJ35" i="30"/>
  <c r="BI35" i="30" a="1"/>
  <c r="BI35" i="30"/>
  <c r="BD35" i="30" a="1"/>
  <c r="BD35" i="30"/>
  <c r="BC35" i="30" a="1"/>
  <c r="BC35" i="30"/>
  <c r="BB35" i="30" a="1"/>
  <c r="BB35" i="30"/>
  <c r="BA35" i="30" a="1"/>
  <c r="BA35" i="30"/>
  <c r="AV35" i="30" a="1"/>
  <c r="AV35" i="30"/>
  <c r="AU35" i="30" a="1"/>
  <c r="AU35" i="30"/>
  <c r="AT35" i="30" a="1"/>
  <c r="AT35" i="30"/>
  <c r="AS35" i="30" a="1"/>
  <c r="AS35" i="30"/>
  <c r="AN35" i="30" a="1"/>
  <c r="AN35" i="30"/>
  <c r="AM35" i="30" a="1"/>
  <c r="AM35" i="30"/>
  <c r="AL35" i="30" a="1"/>
  <c r="AL35" i="30"/>
  <c r="AK35" i="30" a="1"/>
  <c r="AK35" i="30"/>
  <c r="AF35" i="30" a="1"/>
  <c r="AF35" i="30"/>
  <c r="AE35" i="30" a="1"/>
  <c r="AE35" i="30"/>
  <c r="AD35" i="30" a="1"/>
  <c r="AD35" i="30"/>
  <c r="AC35" i="30" a="1"/>
  <c r="AC35" i="30"/>
  <c r="X35" i="30" a="1"/>
  <c r="X35" i="30"/>
  <c r="W35" i="30" a="1"/>
  <c r="W35" i="30"/>
  <c r="V35" i="30" a="1"/>
  <c r="V35" i="30"/>
  <c r="U35" i="30" a="1"/>
  <c r="U35" i="30"/>
  <c r="P35" i="30" a="1"/>
  <c r="P35" i="30"/>
  <c r="O35" i="30" a="1"/>
  <c r="O35" i="30"/>
  <c r="N35" i="30" a="1"/>
  <c r="N35" i="30"/>
  <c r="M35" i="30" a="1"/>
  <c r="M35" i="30"/>
  <c r="H35" i="30" a="1"/>
  <c r="H35" i="30"/>
  <c r="G35" i="30" a="1"/>
  <c r="G35" i="30"/>
  <c r="F35" i="30" a="1"/>
  <c r="F35" i="30"/>
  <c r="E35" i="30" a="1"/>
  <c r="E35" i="30"/>
  <c r="BL34" i="30" a="1"/>
  <c r="BL34" i="30"/>
  <c r="BK34" i="30" a="1"/>
  <c r="BK34" i="30"/>
  <c r="BJ34" i="30" a="1"/>
  <c r="BJ34" i="30"/>
  <c r="BI34" i="30" a="1"/>
  <c r="BI34" i="30"/>
  <c r="BD34" i="30" a="1"/>
  <c r="BD34" i="30"/>
  <c r="BC34" i="30" a="1"/>
  <c r="BC34" i="30"/>
  <c r="BB34" i="30" a="1"/>
  <c r="BB34" i="30"/>
  <c r="BA34" i="30" a="1"/>
  <c r="BA34" i="30"/>
  <c r="AV34" i="30" a="1"/>
  <c r="AV34" i="30"/>
  <c r="AU34" i="30" a="1"/>
  <c r="AU34" i="30"/>
  <c r="AT34" i="30" a="1"/>
  <c r="AT34" i="30"/>
  <c r="AS34" i="30" a="1"/>
  <c r="AS34" i="30"/>
  <c r="AN34" i="30" a="1"/>
  <c r="AN34" i="30"/>
  <c r="AM34" i="30" a="1"/>
  <c r="AM34" i="30"/>
  <c r="AL34" i="30" a="1"/>
  <c r="AL34" i="30"/>
  <c r="AK34" i="30" a="1"/>
  <c r="AK34" i="30"/>
  <c r="AF34" i="30" a="1"/>
  <c r="AF34" i="30"/>
  <c r="AE34" i="30" a="1"/>
  <c r="AE34" i="30"/>
  <c r="AD34" i="30" a="1"/>
  <c r="AD34" i="30"/>
  <c r="AC34" i="30" a="1"/>
  <c r="AC34" i="30"/>
  <c r="X34" i="30" a="1"/>
  <c r="X34" i="30"/>
  <c r="W34" i="30" a="1"/>
  <c r="W34" i="30"/>
  <c r="V34" i="30" a="1"/>
  <c r="V34" i="30"/>
  <c r="U34" i="30" a="1"/>
  <c r="U34" i="30"/>
  <c r="P34" i="30" a="1"/>
  <c r="P34" i="30"/>
  <c r="O34" i="30" a="1"/>
  <c r="O34" i="30"/>
  <c r="N34" i="30" a="1"/>
  <c r="N34" i="30"/>
  <c r="M34" i="30" a="1"/>
  <c r="M34" i="30"/>
  <c r="H34" i="30" a="1"/>
  <c r="H34" i="30"/>
  <c r="G34" i="30" a="1"/>
  <c r="G34" i="30"/>
  <c r="F34" i="30" a="1"/>
  <c r="F34" i="30"/>
  <c r="E34" i="30" a="1"/>
  <c r="E34" i="30"/>
  <c r="AD22" i="40"/>
  <c r="AB22" i="40"/>
  <c r="Z22" i="40"/>
  <c r="Y22" i="40"/>
  <c r="X22" i="40"/>
  <c r="W22" i="40"/>
  <c r="V22" i="40"/>
  <c r="T19" i="40"/>
  <c r="T20" i="40"/>
  <c r="T21" i="40"/>
  <c r="T22" i="40"/>
  <c r="AD21" i="40"/>
  <c r="AB21" i="40"/>
  <c r="Z21" i="40"/>
  <c r="Y21" i="40"/>
  <c r="X21" i="40"/>
  <c r="W21" i="40"/>
  <c r="V21" i="40"/>
  <c r="AD20" i="40"/>
  <c r="AB20" i="40"/>
  <c r="Z20" i="40"/>
  <c r="Y20" i="40"/>
  <c r="X20" i="40"/>
  <c r="W20" i="40"/>
  <c r="V20" i="40"/>
  <c r="AD19" i="40"/>
  <c r="AB19" i="40"/>
  <c r="Z19" i="40"/>
  <c r="Y19" i="40"/>
  <c r="X19" i="40"/>
  <c r="W19" i="40"/>
  <c r="V19" i="40"/>
  <c r="E45" i="30" a="1"/>
  <c r="E45" i="30"/>
  <c r="F45" i="30" a="1"/>
  <c r="F45" i="30"/>
  <c r="G45" i="30" a="1"/>
  <c r="G45" i="30"/>
  <c r="H45" i="30" a="1"/>
  <c r="H45" i="30"/>
  <c r="M45" i="30" a="1"/>
  <c r="M45" i="30"/>
  <c r="N45" i="30" a="1"/>
  <c r="N45" i="30"/>
  <c r="O45" i="30" a="1"/>
  <c r="O45" i="30"/>
  <c r="P45" i="30" a="1"/>
  <c r="P45" i="30"/>
  <c r="U45" i="30" a="1"/>
  <c r="U45" i="30"/>
  <c r="V45" i="30" a="1"/>
  <c r="V45" i="30"/>
  <c r="W45" i="30" a="1"/>
  <c r="W45" i="30"/>
  <c r="X45" i="30" a="1"/>
  <c r="X45" i="30"/>
  <c r="AC45" i="30" a="1"/>
  <c r="AC45" i="30"/>
  <c r="AD45" i="30" a="1"/>
  <c r="AD45" i="30"/>
  <c r="AE45" i="30" a="1"/>
  <c r="AE45" i="30"/>
  <c r="AF45" i="30" a="1"/>
  <c r="AF45" i="30"/>
  <c r="AK45" i="30" a="1"/>
  <c r="AK45" i="30"/>
  <c r="AL45" i="30" a="1"/>
  <c r="AL45" i="30"/>
  <c r="AM45" i="30" a="1"/>
  <c r="AM45" i="30"/>
  <c r="AN45" i="30" a="1"/>
  <c r="AN45" i="30"/>
  <c r="AS45" i="30" a="1"/>
  <c r="AS45" i="30"/>
  <c r="AT45" i="30" a="1"/>
  <c r="AT45" i="30"/>
  <c r="AU45" i="30" a="1"/>
  <c r="AU45" i="30"/>
  <c r="AV45" i="30" a="1"/>
  <c r="AV45" i="30"/>
  <c r="BA45" i="30" a="1"/>
  <c r="BA45" i="30"/>
  <c r="BB45" i="30" a="1"/>
  <c r="BB45" i="30"/>
  <c r="BC45" i="30" a="1"/>
  <c r="BC45" i="30"/>
  <c r="BD45" i="30" a="1"/>
  <c r="BD45" i="30"/>
  <c r="BI45" i="30" a="1"/>
  <c r="BI45" i="30"/>
  <c r="BJ45" i="30" a="1"/>
  <c r="BJ45" i="30"/>
  <c r="BK45" i="30" a="1"/>
  <c r="BK45" i="30"/>
  <c r="E46" i="30" a="1"/>
  <c r="E46" i="30"/>
  <c r="F46" i="30" a="1"/>
  <c r="F46" i="30"/>
  <c r="G46" i="30" a="1"/>
  <c r="G46" i="30"/>
  <c r="H46" i="30" a="1"/>
  <c r="H46" i="30"/>
  <c r="M46" i="30" a="1"/>
  <c r="M46" i="30"/>
  <c r="N46" i="30" a="1"/>
  <c r="N46" i="30"/>
  <c r="O46" i="30" a="1"/>
  <c r="O46" i="30"/>
  <c r="P46" i="30" a="1"/>
  <c r="P46" i="30"/>
  <c r="U46" i="30" a="1"/>
  <c r="U46" i="30"/>
  <c r="V46" i="30" a="1"/>
  <c r="V46" i="30"/>
  <c r="W46" i="30" a="1"/>
  <c r="W46" i="30"/>
  <c r="X46" i="30" a="1"/>
  <c r="X46" i="30"/>
  <c r="AC46" i="30" a="1"/>
  <c r="AC46" i="30"/>
  <c r="AD46" i="30" a="1"/>
  <c r="AD46" i="30"/>
  <c r="AE46" i="30" a="1"/>
  <c r="AE46" i="30"/>
  <c r="AF46" i="30" a="1"/>
  <c r="AF46" i="30"/>
  <c r="AK46" i="30" a="1"/>
  <c r="AK46" i="30"/>
  <c r="AL46" i="30" a="1"/>
  <c r="AL46" i="30"/>
  <c r="AM46" i="30" a="1"/>
  <c r="AM46" i="30"/>
  <c r="AN46" i="30" a="1"/>
  <c r="AN46" i="30"/>
  <c r="AS46" i="30" a="1"/>
  <c r="AS46" i="30"/>
  <c r="AT46" i="30" a="1"/>
  <c r="AT46" i="30"/>
  <c r="AU46" i="30" a="1"/>
  <c r="AU46" i="30"/>
  <c r="AV46" i="30" a="1"/>
  <c r="AV46" i="30"/>
  <c r="BA46" i="30" a="1"/>
  <c r="BA46" i="30"/>
  <c r="BB46" i="30" a="1"/>
  <c r="BB46" i="30"/>
  <c r="BC46" i="30" a="1"/>
  <c r="BC46" i="30"/>
  <c r="BD46" i="30" a="1"/>
  <c r="BD46" i="30"/>
  <c r="BI46" i="30" a="1"/>
  <c r="BI46" i="30"/>
  <c r="BJ46" i="30" a="1"/>
  <c r="BJ46" i="30"/>
  <c r="BK46" i="30" a="1"/>
  <c r="BK46" i="30"/>
  <c r="E47" i="30" a="1"/>
  <c r="E47" i="30"/>
  <c r="F47" i="30" a="1"/>
  <c r="F47" i="30"/>
  <c r="G47" i="30" a="1"/>
  <c r="G47" i="30"/>
  <c r="H47" i="30" a="1"/>
  <c r="H47" i="30"/>
  <c r="M47" i="30" a="1"/>
  <c r="M47" i="30"/>
  <c r="N47" i="30" a="1"/>
  <c r="N47" i="30"/>
  <c r="O47" i="30" a="1"/>
  <c r="O47" i="30"/>
  <c r="P47" i="30" a="1"/>
  <c r="P47" i="30"/>
  <c r="U47" i="30" a="1"/>
  <c r="U47" i="30"/>
  <c r="V47" i="30" a="1"/>
  <c r="V47" i="30"/>
  <c r="W47" i="30" a="1"/>
  <c r="W47" i="30"/>
  <c r="X47" i="30" a="1"/>
  <c r="X47" i="30"/>
  <c r="AC47" i="30" a="1"/>
  <c r="AC47" i="30"/>
  <c r="AD47" i="30" a="1"/>
  <c r="AD47" i="30"/>
  <c r="AE47" i="30" a="1"/>
  <c r="AE47" i="30"/>
  <c r="AF47" i="30" a="1"/>
  <c r="AF47" i="30"/>
  <c r="AK47" i="30" a="1"/>
  <c r="AK47" i="30"/>
  <c r="AL47" i="30" a="1"/>
  <c r="AL47" i="30"/>
  <c r="AM47" i="30" a="1"/>
  <c r="AM47" i="30"/>
  <c r="AN47" i="30" a="1"/>
  <c r="AN47" i="30"/>
  <c r="AS47" i="30" a="1"/>
  <c r="AS47" i="30"/>
  <c r="AT47" i="30" a="1"/>
  <c r="AT47" i="30"/>
  <c r="AU47" i="30" a="1"/>
  <c r="AU47" i="30"/>
  <c r="AV47" i="30" a="1"/>
  <c r="AV47" i="30"/>
  <c r="BA47" i="30" a="1"/>
  <c r="BA47" i="30"/>
  <c r="BB47" i="30" a="1"/>
  <c r="BB47" i="30"/>
  <c r="BC47" i="30" a="1"/>
  <c r="BC47" i="30"/>
  <c r="BD47" i="30" a="1"/>
  <c r="BD47" i="30"/>
  <c r="BI47" i="30" a="1"/>
  <c r="BI47" i="30"/>
  <c r="BJ47" i="30" a="1"/>
  <c r="BJ47" i="30"/>
  <c r="BK47" i="30" a="1"/>
  <c r="BK47" i="30"/>
  <c r="E48" i="30" a="1"/>
  <c r="E48" i="30"/>
  <c r="F48" i="30" a="1"/>
  <c r="F48" i="30"/>
  <c r="G48" i="30" a="1"/>
  <c r="G48" i="30"/>
  <c r="H48" i="30" a="1"/>
  <c r="H48" i="30"/>
  <c r="M48" i="30" a="1"/>
  <c r="M48" i="30"/>
  <c r="N48" i="30" a="1"/>
  <c r="N48" i="30"/>
  <c r="O48" i="30" a="1"/>
  <c r="O48" i="30"/>
  <c r="P48" i="30" a="1"/>
  <c r="P48" i="30"/>
  <c r="U48" i="30" a="1"/>
  <c r="U48" i="30"/>
  <c r="V48" i="30" a="1"/>
  <c r="V48" i="30"/>
  <c r="W48" i="30" a="1"/>
  <c r="W48" i="30"/>
  <c r="X48" i="30" a="1"/>
  <c r="X48" i="30"/>
  <c r="AC48" i="30" a="1"/>
  <c r="AC48" i="30"/>
  <c r="AD48" i="30" a="1"/>
  <c r="AD48" i="30"/>
  <c r="AE48" i="30" a="1"/>
  <c r="AE48" i="30"/>
  <c r="AF48" i="30" a="1"/>
  <c r="AF48" i="30"/>
  <c r="AK48" i="30" a="1"/>
  <c r="AK48" i="30"/>
  <c r="AL48" i="30" a="1"/>
  <c r="AL48" i="30"/>
  <c r="AM48" i="30" a="1"/>
  <c r="AM48" i="30"/>
  <c r="AN48" i="30" a="1"/>
  <c r="AN48" i="30"/>
  <c r="AS48" i="30" a="1"/>
  <c r="AS48" i="30"/>
  <c r="AT48" i="30" a="1"/>
  <c r="AT48" i="30"/>
  <c r="AU48" i="30" a="1"/>
  <c r="AU48" i="30"/>
  <c r="AV48" i="30" a="1"/>
  <c r="AV48" i="30"/>
  <c r="BA48" i="30" a="1"/>
  <c r="BA48" i="30"/>
  <c r="BB48" i="30" a="1"/>
  <c r="BB48" i="30"/>
  <c r="BC48" i="30" a="1"/>
  <c r="BC48" i="30"/>
  <c r="BD48" i="30" a="1"/>
  <c r="BD48" i="30"/>
  <c r="BI48" i="30" a="1"/>
  <c r="BI48" i="30"/>
  <c r="BJ48" i="30" a="1"/>
  <c r="BJ48" i="30"/>
  <c r="BK48" i="30" a="1"/>
  <c r="BK48" i="30"/>
  <c r="E49" i="30" a="1"/>
  <c r="E49" i="30"/>
  <c r="F49" i="30" a="1"/>
  <c r="F49" i="30"/>
  <c r="G49" i="30" a="1"/>
  <c r="G49" i="30"/>
  <c r="H49" i="30" a="1"/>
  <c r="H49" i="30"/>
  <c r="M49" i="30" a="1"/>
  <c r="M49" i="30"/>
  <c r="N49" i="30" a="1"/>
  <c r="N49" i="30"/>
  <c r="O49" i="30" a="1"/>
  <c r="O49" i="30"/>
  <c r="P49" i="30" a="1"/>
  <c r="P49" i="30"/>
  <c r="U49" i="30" a="1"/>
  <c r="U49" i="30"/>
  <c r="V49" i="30" a="1"/>
  <c r="V49" i="30"/>
  <c r="W49" i="30" a="1"/>
  <c r="W49" i="30"/>
  <c r="X49" i="30" a="1"/>
  <c r="X49" i="30"/>
  <c r="AC49" i="30" a="1"/>
  <c r="AC49" i="30"/>
  <c r="AD49" i="30" a="1"/>
  <c r="AD49" i="30"/>
  <c r="AE49" i="30" a="1"/>
  <c r="AE49" i="30"/>
  <c r="AF49" i="30" a="1"/>
  <c r="AF49" i="30"/>
  <c r="AK49" i="30" a="1"/>
  <c r="AK49" i="30"/>
  <c r="AL49" i="30" a="1"/>
  <c r="AL49" i="30"/>
  <c r="AM49" i="30" a="1"/>
  <c r="AM49" i="30"/>
  <c r="AN49" i="30" a="1"/>
  <c r="AN49" i="30"/>
  <c r="AS49" i="30" a="1"/>
  <c r="AS49" i="30"/>
  <c r="AT49" i="30" a="1"/>
  <c r="AT49" i="30"/>
  <c r="AU49" i="30" a="1"/>
  <c r="AU49" i="30"/>
  <c r="AV49" i="30" a="1"/>
  <c r="AV49" i="30"/>
  <c r="BA49" i="30" a="1"/>
  <c r="BA49" i="30"/>
  <c r="BB49" i="30" a="1"/>
  <c r="BB49" i="30"/>
  <c r="BC49" i="30" a="1"/>
  <c r="BC49" i="30"/>
  <c r="BD49" i="30" a="1"/>
  <c r="BD49" i="30"/>
  <c r="BI49" i="30" a="1"/>
  <c r="BI49" i="30"/>
  <c r="BJ49" i="30" a="1"/>
  <c r="BJ49" i="30"/>
  <c r="BK49" i="30" a="1"/>
  <c r="BK49" i="30"/>
  <c r="U20" i="40"/>
  <c r="H70" i="40"/>
  <c r="U21" i="40"/>
  <c r="H71" i="40"/>
  <c r="U22" i="40"/>
  <c r="H72" i="40"/>
  <c r="U19" i="40"/>
  <c r="H69" i="40"/>
  <c r="AD25" i="30"/>
  <c r="AG25" i="30"/>
  <c r="AH25" i="30"/>
  <c r="AD24" i="30"/>
  <c r="AG24" i="30"/>
  <c r="AH24" i="30"/>
  <c r="AD23" i="30"/>
  <c r="AG23" i="30"/>
  <c r="AH23" i="30"/>
  <c r="AD22" i="30"/>
  <c r="AG22" i="30"/>
  <c r="AH22" i="30"/>
  <c r="AD21" i="30"/>
  <c r="AG21" i="30"/>
  <c r="AH21" i="30"/>
  <c r="AD20" i="30"/>
  <c r="AG20" i="30"/>
  <c r="AH20" i="30"/>
  <c r="AD19" i="30"/>
  <c r="AG19" i="30"/>
  <c r="AH19" i="30"/>
  <c r="AD18" i="30"/>
  <c r="AG18" i="30"/>
  <c r="AH18" i="30"/>
  <c r="AD17" i="30"/>
  <c r="AG17" i="30"/>
  <c r="AH17" i="30"/>
  <c r="C8" i="30"/>
  <c r="C9" i="30"/>
  <c r="C10" i="30"/>
  <c r="C11" i="30"/>
  <c r="C12" i="30"/>
  <c r="AC20" i="40"/>
  <c r="AC21" i="40"/>
  <c r="AC22" i="40"/>
  <c r="K4" i="29"/>
  <c r="K13" i="29"/>
  <c r="L4" i="29"/>
  <c r="K17" i="29"/>
  <c r="L17" i="29"/>
  <c r="M17" i="29"/>
  <c r="N17" i="29" a="1"/>
  <c r="N17" i="29"/>
  <c r="O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E32" i="29" a="1"/>
  <c r="E32" i="29"/>
  <c r="F32" i="29" a="1"/>
  <c r="F32" i="29"/>
  <c r="G32" i="29" a="1"/>
  <c r="H32" i="29" a="1"/>
  <c r="I32" i="29" a="1"/>
  <c r="J32" i="29" a="1"/>
  <c r="K32" i="29" a="1"/>
  <c r="L32" i="29" a="1"/>
  <c r="P19" i="29"/>
  <c r="M32" i="29" a="1"/>
  <c r="N32" i="29" a="1"/>
  <c r="M20" i="29"/>
  <c r="N20" i="29" a="1"/>
  <c r="N20" i="29"/>
  <c r="P20" i="29"/>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O20" i="29"/>
  <c r="E33" i="29" a="1"/>
  <c r="E33" i="29"/>
  <c r="F33" i="29" a="1"/>
  <c r="F33" i="29"/>
  <c r="G33" i="29" a="1"/>
  <c r="H33" i="29" a="1"/>
  <c r="I33" i="29" a="1"/>
  <c r="J33" i="29" a="1"/>
  <c r="K33" i="29" a="1"/>
  <c r="L33" i="29" a="1"/>
  <c r="M33" i="29" a="1"/>
  <c r="N33" i="29" a="1"/>
  <c r="O33" i="29" a="1"/>
  <c r="P33" i="29" a="1"/>
  <c r="Q33" i="29" a="1"/>
  <c r="R33" i="29" a="1"/>
  <c r="S33" i="29" a="1"/>
  <c r="T33" i="29" a="1"/>
  <c r="Q20" i="29"/>
  <c r="U33" i="29" a="1"/>
  <c r="V33" i="29" a="1"/>
  <c r="W33" i="29" a="1"/>
  <c r="X33" i="29" a="1"/>
  <c r="Y33" i="29" a="1"/>
  <c r="Z33" i="29" a="1"/>
  <c r="AA33" i="29" a="1"/>
  <c r="AB33" i="29" a="1"/>
  <c r="R20" i="29"/>
  <c r="AC33" i="29" a="1"/>
  <c r="AD33" i="29" a="1"/>
  <c r="AE33" i="29" a="1"/>
  <c r="AF33" i="29" a="1"/>
  <c r="AG33" i="29" a="1"/>
  <c r="AH33" i="29" a="1"/>
  <c r="AI33" i="29" a="1"/>
  <c r="AJ33" i="29" a="1"/>
  <c r="S20" i="29"/>
  <c r="AK33" i="29" a="1"/>
  <c r="AL33" i="29" a="1"/>
  <c r="AM33" i="29" a="1"/>
  <c r="AN33" i="29" a="1"/>
  <c r="AO33" i="29" a="1"/>
  <c r="AP33" i="29" a="1"/>
  <c r="AQ33" i="29" a="1"/>
  <c r="AR33" i="29" a="1"/>
  <c r="T20" i="29"/>
  <c r="AS33" i="29" a="1"/>
  <c r="AT33" i="29" a="1"/>
  <c r="AU33" i="29" a="1"/>
  <c r="AV33" i="29" a="1"/>
  <c r="AW33" i="29" a="1"/>
  <c r="AX33" i="29" a="1"/>
  <c r="AY33" i="29" a="1"/>
  <c r="AZ33" i="29" a="1"/>
  <c r="U20" i="29"/>
  <c r="BA33" i="29" a="1"/>
  <c r="BB33" i="29" a="1"/>
  <c r="BC33" i="29" a="1"/>
  <c r="BD33" i="29" a="1"/>
  <c r="BE33" i="29" a="1"/>
  <c r="BF33" i="29" a="1"/>
  <c r="BG33" i="29" a="1"/>
  <c r="BH33" i="29" a="1"/>
  <c r="V20" i="29"/>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AC26" i="40"/>
  <c r="U26" i="40"/>
  <c r="H65" i="40"/>
  <c r="C5" i="29"/>
  <c r="C6" i="29"/>
  <c r="C7" i="29"/>
  <c r="U27" i="40"/>
  <c r="H66" i="40"/>
  <c r="BK49" i="29" a="1"/>
  <c r="BK49" i="29"/>
  <c r="BJ49" i="29" a="1"/>
  <c r="BJ49" i="29"/>
  <c r="BI49" i="29" a="1"/>
  <c r="BI49" i="29"/>
  <c r="BD49" i="29" a="1"/>
  <c r="BD49" i="29"/>
  <c r="BC49" i="29" a="1"/>
  <c r="BC49" i="29"/>
  <c r="BB49" i="29" a="1"/>
  <c r="BB49" i="29"/>
  <c r="BA49" i="29" a="1"/>
  <c r="BA49" i="29"/>
  <c r="AV49" i="29" a="1"/>
  <c r="AV49" i="29"/>
  <c r="AU49" i="29" a="1"/>
  <c r="AU49" i="29"/>
  <c r="AT49" i="29" a="1"/>
  <c r="AT49" i="29"/>
  <c r="AS49" i="29" a="1"/>
  <c r="AS49" i="29"/>
  <c r="AN49" i="29" a="1"/>
  <c r="AN49" i="29"/>
  <c r="AM49" i="29" a="1"/>
  <c r="AM49" i="29"/>
  <c r="AL49" i="29" a="1"/>
  <c r="AL49" i="29"/>
  <c r="AK49" i="29" a="1"/>
  <c r="AK49" i="29"/>
  <c r="AF49" i="29" a="1"/>
  <c r="AF49" i="29"/>
  <c r="AE49" i="29" a="1"/>
  <c r="AE49" i="29"/>
  <c r="AD49" i="29" a="1"/>
  <c r="AD49" i="29"/>
  <c r="AC49" i="29" a="1"/>
  <c r="AC49" i="29"/>
  <c r="X49" i="29" a="1"/>
  <c r="X49" i="29"/>
  <c r="W49" i="29" a="1"/>
  <c r="W49" i="29"/>
  <c r="V49" i="29" a="1"/>
  <c r="V49" i="29"/>
  <c r="U49" i="29" a="1"/>
  <c r="U49" i="29"/>
  <c r="P49" i="29" a="1"/>
  <c r="P49" i="29"/>
  <c r="O49" i="29" a="1"/>
  <c r="O49" i="29"/>
  <c r="N49" i="29" a="1"/>
  <c r="N49" i="29"/>
  <c r="M49" i="29" a="1"/>
  <c r="M49" i="29"/>
  <c r="H49" i="29" a="1"/>
  <c r="H49" i="29"/>
  <c r="G49" i="29" a="1"/>
  <c r="G49" i="29"/>
  <c r="F49" i="29" a="1"/>
  <c r="F49" i="29"/>
  <c r="E49" i="29" a="1"/>
  <c r="E49" i="29"/>
  <c r="BK48" i="29" a="1"/>
  <c r="BK48" i="29"/>
  <c r="BJ48" i="29" a="1"/>
  <c r="BJ48" i="29"/>
  <c r="BI48" i="29" a="1"/>
  <c r="BI48" i="29"/>
  <c r="BD48" i="29" a="1"/>
  <c r="BD48" i="29"/>
  <c r="BC48" i="29" a="1"/>
  <c r="BC48" i="29"/>
  <c r="BB48" i="29" a="1"/>
  <c r="BB48" i="29"/>
  <c r="BA48" i="29" a="1"/>
  <c r="BA48" i="29"/>
  <c r="AV48" i="29" a="1"/>
  <c r="AV48" i="29"/>
  <c r="AU48" i="29" a="1"/>
  <c r="AU48" i="29"/>
  <c r="AT48" i="29" a="1"/>
  <c r="AT48" i="29"/>
  <c r="AS48" i="29" a="1"/>
  <c r="AS48" i="29"/>
  <c r="AN48" i="29" a="1"/>
  <c r="AN48" i="29"/>
  <c r="AM48" i="29" a="1"/>
  <c r="AM48" i="29"/>
  <c r="AL48" i="29" a="1"/>
  <c r="AL48" i="29"/>
  <c r="AK48" i="29" a="1"/>
  <c r="AK48" i="29"/>
  <c r="AF48" i="29" a="1"/>
  <c r="AF48" i="29"/>
  <c r="AE48" i="29" a="1"/>
  <c r="AE48" i="29"/>
  <c r="AD48" i="29" a="1"/>
  <c r="AD48" i="29"/>
  <c r="AC48" i="29" a="1"/>
  <c r="AC48" i="29"/>
  <c r="X48" i="29" a="1"/>
  <c r="X48" i="29"/>
  <c r="W48" i="29" a="1"/>
  <c r="W48" i="29"/>
  <c r="V48" i="29" a="1"/>
  <c r="V48" i="29"/>
  <c r="U48" i="29" a="1"/>
  <c r="U48" i="29"/>
  <c r="P48" i="29" a="1"/>
  <c r="P48" i="29"/>
  <c r="O48" i="29" a="1"/>
  <c r="O48" i="29"/>
  <c r="N48" i="29" a="1"/>
  <c r="N48" i="29"/>
  <c r="M48" i="29" a="1"/>
  <c r="M48" i="29"/>
  <c r="H48" i="29" a="1"/>
  <c r="H48" i="29"/>
  <c r="G48" i="29" a="1"/>
  <c r="G48" i="29"/>
  <c r="F48" i="29" a="1"/>
  <c r="F48" i="29"/>
  <c r="E48" i="29" a="1"/>
  <c r="E48" i="29"/>
  <c r="BK47" i="29" a="1"/>
  <c r="BK47" i="29"/>
  <c r="BJ47" i="29" a="1"/>
  <c r="BJ47" i="29"/>
  <c r="BI47" i="29" a="1"/>
  <c r="BI47" i="29"/>
  <c r="BD47" i="29" a="1"/>
  <c r="BD47" i="29"/>
  <c r="BC47" i="29" a="1"/>
  <c r="BC47" i="29"/>
  <c r="BB47" i="29" a="1"/>
  <c r="BB47" i="29"/>
  <c r="BA47" i="29" a="1"/>
  <c r="BA47" i="29"/>
  <c r="AV47" i="29" a="1"/>
  <c r="AV47" i="29"/>
  <c r="AU47" i="29" a="1"/>
  <c r="AU47" i="29"/>
  <c r="AT47" i="29" a="1"/>
  <c r="AT47" i="29"/>
  <c r="AS47" i="29" a="1"/>
  <c r="AS47" i="29"/>
  <c r="AN47" i="29" a="1"/>
  <c r="AN47" i="29"/>
  <c r="AM47" i="29" a="1"/>
  <c r="AM47" i="29"/>
  <c r="AL47" i="29" a="1"/>
  <c r="AL47" i="29"/>
  <c r="AK47" i="29" a="1"/>
  <c r="AK47" i="29"/>
  <c r="AF47" i="29" a="1"/>
  <c r="AF47" i="29"/>
  <c r="AE47" i="29" a="1"/>
  <c r="AE47" i="29"/>
  <c r="AD47" i="29" a="1"/>
  <c r="AD47" i="29"/>
  <c r="AC47" i="29" a="1"/>
  <c r="AC47" i="29"/>
  <c r="X47" i="29" a="1"/>
  <c r="X47" i="29"/>
  <c r="W47" i="29" a="1"/>
  <c r="W47" i="29"/>
  <c r="V47" i="29" a="1"/>
  <c r="V47" i="29"/>
  <c r="U47" i="29" a="1"/>
  <c r="U47" i="29"/>
  <c r="P47" i="29" a="1"/>
  <c r="P47" i="29"/>
  <c r="O47" i="29" a="1"/>
  <c r="O47" i="29"/>
  <c r="N47" i="29" a="1"/>
  <c r="N47" i="29"/>
  <c r="M47" i="29" a="1"/>
  <c r="M47" i="29"/>
  <c r="H47" i="29" a="1"/>
  <c r="H47" i="29"/>
  <c r="G47" i="29" a="1"/>
  <c r="G47" i="29"/>
  <c r="F47" i="29" a="1"/>
  <c r="F47" i="29"/>
  <c r="E47" i="29" a="1"/>
  <c r="E47" i="29"/>
  <c r="BK46" i="29" a="1"/>
  <c r="BK46" i="29"/>
  <c r="BJ46" i="29" a="1"/>
  <c r="BJ46" i="29"/>
  <c r="BI46" i="29" a="1"/>
  <c r="BI46" i="29"/>
  <c r="BD46" i="29" a="1"/>
  <c r="BD46" i="29"/>
  <c r="BC46" i="29" a="1"/>
  <c r="BC46" i="29"/>
  <c r="BB46" i="29" a="1"/>
  <c r="BB46" i="29"/>
  <c r="BA46" i="29" a="1"/>
  <c r="BA46" i="29"/>
  <c r="AV46" i="29" a="1"/>
  <c r="AV46" i="29"/>
  <c r="AU46" i="29" a="1"/>
  <c r="AU46" i="29"/>
  <c r="AT46" i="29" a="1"/>
  <c r="AT46" i="29"/>
  <c r="AS46" i="29" a="1"/>
  <c r="AS46" i="29"/>
  <c r="AN46" i="29" a="1"/>
  <c r="AN46" i="29"/>
  <c r="AM46" i="29" a="1"/>
  <c r="AM46" i="29"/>
  <c r="AL46" i="29" a="1"/>
  <c r="AL46" i="29"/>
  <c r="AK46" i="29" a="1"/>
  <c r="AK46" i="29"/>
  <c r="AF46" i="29" a="1"/>
  <c r="AF46" i="29"/>
  <c r="AE46" i="29" a="1"/>
  <c r="AE46" i="29"/>
  <c r="AD46" i="29" a="1"/>
  <c r="AD46" i="29"/>
  <c r="AC46" i="29" a="1"/>
  <c r="AC46" i="29"/>
  <c r="X46" i="29" a="1"/>
  <c r="X46" i="29"/>
  <c r="W46" i="29" a="1"/>
  <c r="W46" i="29"/>
  <c r="V46" i="29" a="1"/>
  <c r="V46" i="29"/>
  <c r="U46" i="29" a="1"/>
  <c r="U46" i="29"/>
  <c r="P46" i="29" a="1"/>
  <c r="P46" i="29"/>
  <c r="O46" i="29" a="1"/>
  <c r="O46" i="29"/>
  <c r="N46" i="29" a="1"/>
  <c r="N46" i="29"/>
  <c r="M46" i="29" a="1"/>
  <c r="M46" i="29"/>
  <c r="H46" i="29" a="1"/>
  <c r="H46" i="29"/>
  <c r="G46" i="29" a="1"/>
  <c r="G46" i="29"/>
  <c r="F46" i="29" a="1"/>
  <c r="F46" i="29"/>
  <c r="E46" i="29" a="1"/>
  <c r="E46" i="29"/>
  <c r="BK45" i="29" a="1"/>
  <c r="BK45" i="29"/>
  <c r="BJ45" i="29" a="1"/>
  <c r="BJ45" i="29"/>
  <c r="BI45" i="29" a="1"/>
  <c r="BI45" i="29"/>
  <c r="BD45" i="29" a="1"/>
  <c r="BD45" i="29"/>
  <c r="BC45" i="29" a="1"/>
  <c r="BC45" i="29"/>
  <c r="BB45" i="29" a="1"/>
  <c r="BB45" i="29"/>
  <c r="BA45" i="29" a="1"/>
  <c r="BA45" i="29"/>
  <c r="AV45" i="29" a="1"/>
  <c r="AV45" i="29"/>
  <c r="AU45" i="29" a="1"/>
  <c r="AU45" i="29"/>
  <c r="AT45" i="29" a="1"/>
  <c r="AT45" i="29"/>
  <c r="AS45" i="29" a="1"/>
  <c r="AS45" i="29"/>
  <c r="AN45" i="29" a="1"/>
  <c r="AN45" i="29"/>
  <c r="AM45" i="29" a="1"/>
  <c r="AM45" i="29"/>
  <c r="AL45" i="29" a="1"/>
  <c r="AL45" i="29"/>
  <c r="AK45" i="29" a="1"/>
  <c r="AK45" i="29"/>
  <c r="AF45" i="29" a="1"/>
  <c r="AF45" i="29"/>
  <c r="AE45" i="29" a="1"/>
  <c r="AE45" i="29"/>
  <c r="AD45" i="29" a="1"/>
  <c r="AD45" i="29"/>
  <c r="AC45" i="29" a="1"/>
  <c r="AC45" i="29"/>
  <c r="X45" i="29" a="1"/>
  <c r="X45" i="29"/>
  <c r="W45" i="29" a="1"/>
  <c r="W45" i="29"/>
  <c r="V45" i="29" a="1"/>
  <c r="V45" i="29"/>
  <c r="U45" i="29" a="1"/>
  <c r="U45" i="29"/>
  <c r="P45" i="29" a="1"/>
  <c r="P45" i="29"/>
  <c r="O45" i="29" a="1"/>
  <c r="O45" i="29"/>
  <c r="N45" i="29" a="1"/>
  <c r="N45" i="29"/>
  <c r="M45" i="29" a="1"/>
  <c r="M45" i="29"/>
  <c r="H45" i="29" a="1"/>
  <c r="H45" i="29"/>
  <c r="G45" i="29" a="1"/>
  <c r="G45" i="29"/>
  <c r="F45" i="29" a="1"/>
  <c r="F45" i="29"/>
  <c r="E45" i="29" a="1"/>
  <c r="E45" i="29"/>
  <c r="AD29" i="40"/>
  <c r="AB29" i="40"/>
  <c r="Z29" i="40"/>
  <c r="Y29" i="40"/>
  <c r="X29" i="40"/>
  <c r="W29" i="40"/>
  <c r="V29" i="40"/>
  <c r="T26" i="40"/>
  <c r="T27" i="40"/>
  <c r="T28" i="40"/>
  <c r="T29" i="40"/>
  <c r="AD28" i="40"/>
  <c r="AB28" i="40"/>
  <c r="Z28" i="40"/>
  <c r="Y28" i="40"/>
  <c r="X28" i="40"/>
  <c r="W28" i="40"/>
  <c r="V28" i="40"/>
  <c r="AD27" i="40"/>
  <c r="AB27" i="40"/>
  <c r="Z27" i="40"/>
  <c r="Y27" i="40"/>
  <c r="X27" i="40"/>
  <c r="W27" i="40"/>
  <c r="V27" i="40"/>
  <c r="AD26" i="40"/>
  <c r="AB26" i="40"/>
  <c r="Z26" i="40"/>
  <c r="Y26" i="40"/>
  <c r="X26" i="40"/>
  <c r="W26" i="40"/>
  <c r="V26" i="40"/>
  <c r="Z20" i="29"/>
  <c r="Z19" i="29"/>
  <c r="D17" i="29"/>
  <c r="E17" i="29"/>
  <c r="Z17" i="29"/>
  <c r="Z18" i="29"/>
  <c r="M21" i="29"/>
  <c r="N21" i="29" a="1"/>
  <c r="N21" i="29"/>
  <c r="Z21" i="29"/>
  <c r="M22" i="29"/>
  <c r="N22" i="29" a="1"/>
  <c r="N22" i="29"/>
  <c r="Z22" i="29"/>
  <c r="M23" i="29"/>
  <c r="N23" i="29" a="1"/>
  <c r="N23" i="29"/>
  <c r="Z23" i="29"/>
  <c r="M24" i="29"/>
  <c r="N24" i="29" a="1"/>
  <c r="N24" i="29"/>
  <c r="Z24" i="29"/>
  <c r="M25" i="29"/>
  <c r="N25" i="29" a="1"/>
  <c r="N25" i="29"/>
  <c r="Z25" i="29"/>
  <c r="E34" i="29" a="1"/>
  <c r="E34" i="29"/>
  <c r="F34" i="29" a="1"/>
  <c r="F34" i="29"/>
  <c r="G34" i="29" a="1"/>
  <c r="G34" i="29"/>
  <c r="H34" i="29" a="1"/>
  <c r="H34" i="29"/>
  <c r="M34" i="29" a="1"/>
  <c r="M34" i="29"/>
  <c r="N34" i="29" a="1"/>
  <c r="N34" i="29"/>
  <c r="O34" i="29" a="1"/>
  <c r="O34" i="29"/>
  <c r="P34" i="29" a="1"/>
  <c r="P34" i="29"/>
  <c r="U34" i="29" a="1"/>
  <c r="U34" i="29"/>
  <c r="V34" i="29" a="1"/>
  <c r="V34" i="29"/>
  <c r="W34" i="29" a="1"/>
  <c r="W34" i="29"/>
  <c r="X34" i="29" a="1"/>
  <c r="X34" i="29"/>
  <c r="AC34" i="29" a="1"/>
  <c r="AC34" i="29"/>
  <c r="AD34" i="29" a="1"/>
  <c r="AD34" i="29"/>
  <c r="AE34" i="29" a="1"/>
  <c r="AE34" i="29"/>
  <c r="AF34" i="29" a="1"/>
  <c r="AF34" i="29"/>
  <c r="AK34" i="29" a="1"/>
  <c r="AK34" i="29"/>
  <c r="AL34" i="29" a="1"/>
  <c r="AL34" i="29"/>
  <c r="AM34" i="29" a="1"/>
  <c r="AM34" i="29"/>
  <c r="AN34" i="29" a="1"/>
  <c r="AN34" i="29"/>
  <c r="AS34" i="29" a="1"/>
  <c r="AS34" i="29"/>
  <c r="AT34" i="29" a="1"/>
  <c r="AT34" i="29"/>
  <c r="AU34" i="29" a="1"/>
  <c r="AU34" i="29"/>
  <c r="AV34" i="29" a="1"/>
  <c r="AV34" i="29"/>
  <c r="BA34" i="29" a="1"/>
  <c r="BA34" i="29"/>
  <c r="BB34" i="29" a="1"/>
  <c r="BB34" i="29"/>
  <c r="BC34" i="29" a="1"/>
  <c r="BC34" i="29"/>
  <c r="BD34" i="29" a="1"/>
  <c r="BD34" i="29"/>
  <c r="BI34" i="29" a="1"/>
  <c r="BI34" i="29"/>
  <c r="BJ34" i="29" a="1"/>
  <c r="BJ34" i="29"/>
  <c r="BK34" i="29" a="1"/>
  <c r="BK34" i="29"/>
  <c r="BL34" i="29" a="1"/>
  <c r="BL34" i="29"/>
  <c r="E35" i="29" a="1"/>
  <c r="E35" i="29"/>
  <c r="F35" i="29" a="1"/>
  <c r="F35" i="29"/>
  <c r="G35" i="29" a="1"/>
  <c r="G35" i="29"/>
  <c r="H35" i="29" a="1"/>
  <c r="H35" i="29"/>
  <c r="M35" i="29" a="1"/>
  <c r="M35" i="29"/>
  <c r="N35" i="29" a="1"/>
  <c r="N35" i="29"/>
  <c r="O35" i="29" a="1"/>
  <c r="O35" i="29"/>
  <c r="P35" i="29" a="1"/>
  <c r="P35" i="29"/>
  <c r="U35" i="29" a="1"/>
  <c r="U35" i="29"/>
  <c r="V35" i="29" a="1"/>
  <c r="V35" i="29"/>
  <c r="W35" i="29" a="1"/>
  <c r="W35" i="29"/>
  <c r="X35" i="29" a="1"/>
  <c r="X35" i="29"/>
  <c r="AC35" i="29" a="1"/>
  <c r="AC35" i="29"/>
  <c r="AD35" i="29" a="1"/>
  <c r="AD35" i="29"/>
  <c r="AE35" i="29" a="1"/>
  <c r="AE35" i="29"/>
  <c r="AF35" i="29" a="1"/>
  <c r="AF35" i="29"/>
  <c r="AK35" i="29" a="1"/>
  <c r="AK35" i="29"/>
  <c r="AL35" i="29" a="1"/>
  <c r="AL35" i="29"/>
  <c r="AM35" i="29" a="1"/>
  <c r="AM35" i="29"/>
  <c r="AN35" i="29" a="1"/>
  <c r="AN35" i="29"/>
  <c r="AS35" i="29" a="1"/>
  <c r="AS35" i="29"/>
  <c r="AT35" i="29" a="1"/>
  <c r="AT35" i="29"/>
  <c r="AU35" i="29" a="1"/>
  <c r="AU35" i="29"/>
  <c r="AV35" i="29" a="1"/>
  <c r="AV35" i="29"/>
  <c r="BA35" i="29" a="1"/>
  <c r="BA35" i="29"/>
  <c r="BB35" i="29" a="1"/>
  <c r="BB35" i="29"/>
  <c r="BC35" i="29" a="1"/>
  <c r="BC35" i="29"/>
  <c r="BD35" i="29" a="1"/>
  <c r="BD35" i="29"/>
  <c r="BI35" i="29" a="1"/>
  <c r="BI35" i="29"/>
  <c r="BJ35" i="29" a="1"/>
  <c r="BJ35" i="29"/>
  <c r="BK35" i="29" a="1"/>
  <c r="BK35" i="29"/>
  <c r="BL35" i="29" a="1"/>
  <c r="BL35" i="29"/>
  <c r="E36" i="29" a="1"/>
  <c r="E36" i="29"/>
  <c r="F36" i="29" a="1"/>
  <c r="F36" i="29"/>
  <c r="G36" i="29" a="1"/>
  <c r="G36" i="29"/>
  <c r="H36" i="29" a="1"/>
  <c r="H36" i="29"/>
  <c r="M36" i="29" a="1"/>
  <c r="M36" i="29"/>
  <c r="N36" i="29" a="1"/>
  <c r="N36" i="29"/>
  <c r="O36" i="29" a="1"/>
  <c r="O36" i="29"/>
  <c r="P36" i="29" a="1"/>
  <c r="P36" i="29"/>
  <c r="U36" i="29" a="1"/>
  <c r="U36" i="29"/>
  <c r="V36" i="29" a="1"/>
  <c r="V36" i="29"/>
  <c r="W36" i="29" a="1"/>
  <c r="W36" i="29"/>
  <c r="X36" i="29" a="1"/>
  <c r="X36" i="29"/>
  <c r="AC36" i="29" a="1"/>
  <c r="AC36" i="29"/>
  <c r="AD36" i="29" a="1"/>
  <c r="AD36" i="29"/>
  <c r="AE36" i="29" a="1"/>
  <c r="AE36" i="29"/>
  <c r="AF36" i="29" a="1"/>
  <c r="AF36" i="29"/>
  <c r="AK36" i="29" a="1"/>
  <c r="AK36" i="29"/>
  <c r="AL36" i="29" a="1"/>
  <c r="AL36" i="29"/>
  <c r="AM36" i="29" a="1"/>
  <c r="AM36" i="29"/>
  <c r="AN36" i="29" a="1"/>
  <c r="AN36" i="29"/>
  <c r="AS36" i="29" a="1"/>
  <c r="AS36" i="29"/>
  <c r="AT36" i="29" a="1"/>
  <c r="AT36" i="29"/>
  <c r="AU36" i="29" a="1"/>
  <c r="AU36" i="29"/>
  <c r="AV36" i="29" a="1"/>
  <c r="AV36" i="29"/>
  <c r="BA36" i="29" a="1"/>
  <c r="BA36" i="29"/>
  <c r="BB36" i="29" a="1"/>
  <c r="BB36" i="29"/>
  <c r="BC36" i="29" a="1"/>
  <c r="BC36" i="29"/>
  <c r="BD36" i="29" a="1"/>
  <c r="BD36" i="29"/>
  <c r="BI36" i="29" a="1"/>
  <c r="BI36" i="29"/>
  <c r="BJ36" i="29" a="1"/>
  <c r="BJ36" i="29"/>
  <c r="BK36" i="29" a="1"/>
  <c r="BK36" i="29"/>
  <c r="BL36" i="29" a="1"/>
  <c r="BL36" i="29"/>
  <c r="E37" i="29" a="1"/>
  <c r="E37" i="29"/>
  <c r="F37" i="29" a="1"/>
  <c r="F37" i="29"/>
  <c r="G37" i="29" a="1"/>
  <c r="G37" i="29"/>
  <c r="H37" i="29" a="1"/>
  <c r="H37" i="29"/>
  <c r="M37" i="29" a="1"/>
  <c r="M37" i="29"/>
  <c r="N37" i="29" a="1"/>
  <c r="N37" i="29"/>
  <c r="O37" i="29" a="1"/>
  <c r="O37" i="29"/>
  <c r="P37" i="29" a="1"/>
  <c r="P37" i="29"/>
  <c r="U37" i="29" a="1"/>
  <c r="U37" i="29"/>
  <c r="V37" i="29" a="1"/>
  <c r="V37" i="29"/>
  <c r="W37" i="29" a="1"/>
  <c r="W37" i="29"/>
  <c r="X37" i="29" a="1"/>
  <c r="X37" i="29"/>
  <c r="AC37" i="29" a="1"/>
  <c r="AC37" i="29"/>
  <c r="AD37" i="29" a="1"/>
  <c r="AD37" i="29"/>
  <c r="AE37" i="29" a="1"/>
  <c r="AE37" i="29"/>
  <c r="AF37" i="29" a="1"/>
  <c r="AF37" i="29"/>
  <c r="AK37" i="29" a="1"/>
  <c r="AK37" i="29"/>
  <c r="AL37" i="29" a="1"/>
  <c r="AL37" i="29"/>
  <c r="AM37" i="29" a="1"/>
  <c r="AM37" i="29"/>
  <c r="AN37" i="29" a="1"/>
  <c r="AN37" i="29"/>
  <c r="AS37" i="29" a="1"/>
  <c r="AS37" i="29"/>
  <c r="AT37" i="29" a="1"/>
  <c r="AT37" i="29"/>
  <c r="AU37" i="29" a="1"/>
  <c r="AU37" i="29"/>
  <c r="AV37" i="29" a="1"/>
  <c r="AV37" i="29"/>
  <c r="BA37" i="29" a="1"/>
  <c r="BA37" i="29"/>
  <c r="BB37" i="29" a="1"/>
  <c r="BB37" i="29"/>
  <c r="BC37" i="29" a="1"/>
  <c r="BC37" i="29"/>
  <c r="BD37" i="29" a="1"/>
  <c r="BD37" i="29"/>
  <c r="BI37" i="29" a="1"/>
  <c r="BI37" i="29"/>
  <c r="BJ37" i="29" a="1"/>
  <c r="BJ37" i="29"/>
  <c r="BK37" i="29" a="1"/>
  <c r="BK37" i="29"/>
  <c r="BL37" i="29" a="1"/>
  <c r="BL37" i="29"/>
  <c r="E38" i="29" a="1"/>
  <c r="E38" i="29"/>
  <c r="F38" i="29" a="1"/>
  <c r="F38" i="29"/>
  <c r="G38" i="29" a="1"/>
  <c r="G38" i="29"/>
  <c r="H38" i="29" a="1"/>
  <c r="H38" i="29"/>
  <c r="M38" i="29" a="1"/>
  <c r="M38" i="29"/>
  <c r="N38" i="29" a="1"/>
  <c r="N38" i="29"/>
  <c r="O38" i="29" a="1"/>
  <c r="O38" i="29"/>
  <c r="P38" i="29" a="1"/>
  <c r="P38" i="29"/>
  <c r="U38" i="29" a="1"/>
  <c r="U38" i="29"/>
  <c r="V38" i="29" a="1"/>
  <c r="V38" i="29"/>
  <c r="W38" i="29" a="1"/>
  <c r="W38" i="29"/>
  <c r="X38" i="29" a="1"/>
  <c r="X38" i="29"/>
  <c r="AC38" i="29" a="1"/>
  <c r="AC38" i="29"/>
  <c r="AD38" i="29" a="1"/>
  <c r="AD38" i="29"/>
  <c r="AE38" i="29" a="1"/>
  <c r="AE38" i="29"/>
  <c r="AF38" i="29" a="1"/>
  <c r="AF38" i="29"/>
  <c r="AK38" i="29" a="1"/>
  <c r="AK38" i="29"/>
  <c r="AL38" i="29" a="1"/>
  <c r="AL38" i="29"/>
  <c r="AM38" i="29" a="1"/>
  <c r="AM38" i="29"/>
  <c r="AN38" i="29" a="1"/>
  <c r="AN38" i="29"/>
  <c r="AS38" i="29" a="1"/>
  <c r="AS38" i="29"/>
  <c r="AT38" i="29" a="1"/>
  <c r="AT38" i="29"/>
  <c r="AU38" i="29" a="1"/>
  <c r="AU38" i="29"/>
  <c r="AV38" i="29" a="1"/>
  <c r="AV38" i="29"/>
  <c r="BA38" i="29" a="1"/>
  <c r="BA38" i="29"/>
  <c r="BB38" i="29" a="1"/>
  <c r="BB38" i="29"/>
  <c r="BC38" i="29" a="1"/>
  <c r="BC38" i="29"/>
  <c r="BD38" i="29" a="1"/>
  <c r="BD38" i="29"/>
  <c r="BI38" i="29" a="1"/>
  <c r="BI38" i="29"/>
  <c r="BJ38" i="29" a="1"/>
  <c r="BJ38" i="29"/>
  <c r="BK38" i="29" a="1"/>
  <c r="BK38" i="29"/>
  <c r="BL38" i="29" a="1"/>
  <c r="BL38" i="29"/>
  <c r="U28" i="40"/>
  <c r="H67" i="40"/>
  <c r="U29" i="40"/>
  <c r="H68" i="40"/>
  <c r="AD25" i="29"/>
  <c r="AG25" i="29"/>
  <c r="AH25" i="29"/>
  <c r="AD24" i="29"/>
  <c r="AG24" i="29"/>
  <c r="AH24" i="29"/>
  <c r="AD23" i="29"/>
  <c r="AG23" i="29"/>
  <c r="AH23" i="29"/>
  <c r="AD22" i="29"/>
  <c r="AG22" i="29"/>
  <c r="AH22" i="29"/>
  <c r="AD21" i="29"/>
  <c r="AG21" i="29"/>
  <c r="AH21" i="29"/>
  <c r="AD20" i="29"/>
  <c r="AG20" i="29"/>
  <c r="AH20" i="29"/>
  <c r="AD19" i="29"/>
  <c r="AG19" i="29"/>
  <c r="AH19" i="29"/>
  <c r="AD18" i="29"/>
  <c r="AG18" i="29"/>
  <c r="AH18" i="29"/>
  <c r="AD17" i="29"/>
  <c r="AG17" i="29"/>
  <c r="AH17" i="29"/>
  <c r="C8" i="29"/>
  <c r="C9" i="29"/>
  <c r="C10" i="29"/>
  <c r="C11" i="29"/>
  <c r="C12" i="29"/>
  <c r="AC27" i="40"/>
  <c r="AC28" i="40"/>
  <c r="AC29" i="40"/>
  <c r="K4" i="28"/>
  <c r="K13" i="28"/>
  <c r="L4" i="28"/>
  <c r="K17" i="28"/>
  <c r="L17" i="28"/>
  <c r="M17" i="28"/>
  <c r="N17" i="28" a="1"/>
  <c r="N17" i="28"/>
  <c r="O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M19" i="28"/>
  <c r="N19" i="28" a="1"/>
  <c r="N19" i="28"/>
  <c r="O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M20" i="28"/>
  <c r="N20" i="28" a="1"/>
  <c r="N20" i="28"/>
  <c r="O20" i="28"/>
  <c r="E33" i="28" a="1"/>
  <c r="E33" i="28"/>
  <c r="F33" i="28" a="1"/>
  <c r="F33" i="28"/>
  <c r="G33" i="28" a="1"/>
  <c r="H33" i="28" a="1"/>
  <c r="I33" i="28" a="1"/>
  <c r="J33" i="28" a="1"/>
  <c r="K33" i="28" a="1"/>
  <c r="L33" i="28" a="1"/>
  <c r="P20" i="28"/>
  <c r="M33" i="28" a="1"/>
  <c r="N33" i="28" a="1"/>
  <c r="O33" i="28" a="1"/>
  <c r="P33" i="28" a="1"/>
  <c r="Q33" i="28" a="1"/>
  <c r="R33" i="28" a="1"/>
  <c r="S33" i="28" a="1"/>
  <c r="T33" i="28" a="1"/>
  <c r="Q20" i="28"/>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AC33" i="40"/>
  <c r="Z25" i="28"/>
  <c r="N25" i="28" a="1"/>
  <c r="N25" i="28"/>
  <c r="M25" i="28"/>
  <c r="Z24" i="28"/>
  <c r="N24" i="28" a="1"/>
  <c r="N24" i="28"/>
  <c r="M24" i="28"/>
  <c r="Z23" i="28"/>
  <c r="N23" i="28" a="1"/>
  <c r="N23" i="28"/>
  <c r="M23" i="28"/>
  <c r="Z22" i="28"/>
  <c r="N22" i="28" a="1"/>
  <c r="N22" i="28"/>
  <c r="M22" i="28"/>
  <c r="Z21" i="28"/>
  <c r="N21" i="28" a="1"/>
  <c r="N21" i="28"/>
  <c r="M21" i="28"/>
  <c r="Z20" i="28"/>
  <c r="Z19" i="28"/>
  <c r="Z18" i="28"/>
  <c r="Z17" i="28"/>
  <c r="E17" i="28"/>
  <c r="D17" i="28"/>
  <c r="BK49" i="28" a="1"/>
  <c r="BK49" i="28"/>
  <c r="BJ49" i="28" a="1"/>
  <c r="BJ49" i="28"/>
  <c r="BI49" i="28" a="1"/>
  <c r="BI49" i="28"/>
  <c r="BD49" i="28" a="1"/>
  <c r="BD49" i="28"/>
  <c r="BC49" i="28" a="1"/>
  <c r="BC49" i="28"/>
  <c r="BB49" i="28" a="1"/>
  <c r="BB49" i="28"/>
  <c r="BA49" i="28" a="1"/>
  <c r="BA49" i="28"/>
  <c r="AV49" i="28" a="1"/>
  <c r="AV49" i="28"/>
  <c r="AU49" i="28" a="1"/>
  <c r="AU49" i="28"/>
  <c r="AT49" i="28" a="1"/>
  <c r="AT49" i="28"/>
  <c r="AS49" i="28" a="1"/>
  <c r="AS49" i="28"/>
  <c r="AN49" i="28" a="1"/>
  <c r="AN49" i="28"/>
  <c r="AM49" i="28" a="1"/>
  <c r="AM49" i="28"/>
  <c r="AL49" i="28" a="1"/>
  <c r="AL49" i="28"/>
  <c r="AK49" i="28" a="1"/>
  <c r="AK49" i="28"/>
  <c r="AF49" i="28" a="1"/>
  <c r="AF49" i="28"/>
  <c r="AE49" i="28" a="1"/>
  <c r="AE49" i="28"/>
  <c r="AD49" i="28" a="1"/>
  <c r="AD49" i="28"/>
  <c r="AC49" i="28" a="1"/>
  <c r="AC49" i="28"/>
  <c r="X49" i="28" a="1"/>
  <c r="X49" i="28"/>
  <c r="W49" i="28" a="1"/>
  <c r="W49" i="28"/>
  <c r="V49" i="28" a="1"/>
  <c r="V49" i="28"/>
  <c r="U49" i="28" a="1"/>
  <c r="U49" i="28"/>
  <c r="P49" i="28" a="1"/>
  <c r="P49" i="28"/>
  <c r="O49" i="28" a="1"/>
  <c r="O49" i="28"/>
  <c r="N49" i="28" a="1"/>
  <c r="N49" i="28"/>
  <c r="M49" i="28" a="1"/>
  <c r="M49" i="28"/>
  <c r="H49" i="28" a="1"/>
  <c r="H49" i="28"/>
  <c r="G49" i="28" a="1"/>
  <c r="G49" i="28"/>
  <c r="F49" i="28" a="1"/>
  <c r="F49" i="28"/>
  <c r="E49" i="28" a="1"/>
  <c r="E49" i="28"/>
  <c r="BK48" i="28" a="1"/>
  <c r="BK48" i="28"/>
  <c r="BJ48" i="28" a="1"/>
  <c r="BJ48" i="28"/>
  <c r="BI48" i="28" a="1"/>
  <c r="BI48" i="28"/>
  <c r="BD48" i="28" a="1"/>
  <c r="BD48" i="28"/>
  <c r="BC48" i="28" a="1"/>
  <c r="BC48" i="28"/>
  <c r="BB48" i="28" a="1"/>
  <c r="BB48" i="28"/>
  <c r="BA48" i="28" a="1"/>
  <c r="BA48" i="28"/>
  <c r="AV48" i="28" a="1"/>
  <c r="AV48" i="28"/>
  <c r="AU48" i="28" a="1"/>
  <c r="AU48" i="28"/>
  <c r="AT48" i="28" a="1"/>
  <c r="AT48" i="28"/>
  <c r="AS48" i="28" a="1"/>
  <c r="AS48" i="28"/>
  <c r="AN48" i="28" a="1"/>
  <c r="AN48" i="28"/>
  <c r="AM48" i="28" a="1"/>
  <c r="AM48" i="28"/>
  <c r="AL48" i="28" a="1"/>
  <c r="AL48" i="28"/>
  <c r="AK48" i="28" a="1"/>
  <c r="AK48" i="28"/>
  <c r="AF48" i="28" a="1"/>
  <c r="AF48" i="28"/>
  <c r="AE48" i="28" a="1"/>
  <c r="AE48" i="28"/>
  <c r="AD48" i="28" a="1"/>
  <c r="AD48" i="28"/>
  <c r="AC48" i="28" a="1"/>
  <c r="AC48" i="28"/>
  <c r="X48" i="28" a="1"/>
  <c r="X48" i="28"/>
  <c r="W48" i="28" a="1"/>
  <c r="W48" i="28"/>
  <c r="V48" i="28" a="1"/>
  <c r="V48" i="28"/>
  <c r="U48" i="28" a="1"/>
  <c r="U48" i="28"/>
  <c r="P48" i="28" a="1"/>
  <c r="P48" i="28"/>
  <c r="O48" i="28" a="1"/>
  <c r="O48" i="28"/>
  <c r="N48" i="28" a="1"/>
  <c r="N48" i="28"/>
  <c r="M48" i="28" a="1"/>
  <c r="M48" i="28"/>
  <c r="H48" i="28" a="1"/>
  <c r="H48" i="28"/>
  <c r="G48" i="28" a="1"/>
  <c r="G48" i="28"/>
  <c r="F48" i="28" a="1"/>
  <c r="F48" i="28"/>
  <c r="E48" i="28" a="1"/>
  <c r="E48" i="28"/>
  <c r="BK47" i="28" a="1"/>
  <c r="BK47" i="28"/>
  <c r="BJ47" i="28" a="1"/>
  <c r="BJ47" i="28"/>
  <c r="BI47" i="28" a="1"/>
  <c r="BI47" i="28"/>
  <c r="BD47" i="28" a="1"/>
  <c r="BD47" i="28"/>
  <c r="BC47" i="28" a="1"/>
  <c r="BC47" i="28"/>
  <c r="BB47" i="28" a="1"/>
  <c r="BB47" i="28"/>
  <c r="BA47" i="28" a="1"/>
  <c r="BA47" i="28"/>
  <c r="AV47" i="28" a="1"/>
  <c r="AV47" i="28"/>
  <c r="AU47" i="28" a="1"/>
  <c r="AU47" i="28"/>
  <c r="AT47" i="28" a="1"/>
  <c r="AT47" i="28"/>
  <c r="AS47" i="28" a="1"/>
  <c r="AS47" i="28"/>
  <c r="AN47" i="28" a="1"/>
  <c r="AN47" i="28"/>
  <c r="AM47" i="28" a="1"/>
  <c r="AM47" i="28"/>
  <c r="AL47" i="28" a="1"/>
  <c r="AL47" i="28"/>
  <c r="AK47" i="28" a="1"/>
  <c r="AK47" i="28"/>
  <c r="AF47" i="28" a="1"/>
  <c r="AF47" i="28"/>
  <c r="AE47" i="28" a="1"/>
  <c r="AE47" i="28"/>
  <c r="AD47" i="28" a="1"/>
  <c r="AD47" i="28"/>
  <c r="AC47" i="28" a="1"/>
  <c r="AC47" i="28"/>
  <c r="X47" i="28" a="1"/>
  <c r="X47" i="28"/>
  <c r="W47" i="28" a="1"/>
  <c r="W47" i="28"/>
  <c r="V47" i="28" a="1"/>
  <c r="V47" i="28"/>
  <c r="U47" i="28" a="1"/>
  <c r="U47" i="28"/>
  <c r="P47" i="28" a="1"/>
  <c r="P47" i="28"/>
  <c r="O47" i="28" a="1"/>
  <c r="O47" i="28"/>
  <c r="N47" i="28" a="1"/>
  <c r="N47" i="28"/>
  <c r="M47" i="28" a="1"/>
  <c r="M47" i="28"/>
  <c r="H47" i="28" a="1"/>
  <c r="H47" i="28"/>
  <c r="G47" i="28" a="1"/>
  <c r="G47" i="28"/>
  <c r="F47" i="28" a="1"/>
  <c r="F47" i="28"/>
  <c r="E47" i="28" a="1"/>
  <c r="E47" i="28"/>
  <c r="BK46" i="28" a="1"/>
  <c r="BK46" i="28"/>
  <c r="BJ46" i="28" a="1"/>
  <c r="BJ46" i="28"/>
  <c r="BI46" i="28" a="1"/>
  <c r="BI46" i="28"/>
  <c r="BD46" i="28" a="1"/>
  <c r="BD46" i="28"/>
  <c r="BC46" i="28" a="1"/>
  <c r="BC46" i="28"/>
  <c r="BB46" i="28" a="1"/>
  <c r="BB46" i="28"/>
  <c r="BA46" i="28" a="1"/>
  <c r="BA46" i="28"/>
  <c r="AV46" i="28" a="1"/>
  <c r="AV46" i="28"/>
  <c r="AU46" i="28" a="1"/>
  <c r="AU46" i="28"/>
  <c r="AT46" i="28" a="1"/>
  <c r="AT46" i="28"/>
  <c r="AS46" i="28" a="1"/>
  <c r="AS46" i="28"/>
  <c r="AN46" i="28" a="1"/>
  <c r="AN46" i="28"/>
  <c r="AM46" i="28" a="1"/>
  <c r="AM46" i="28"/>
  <c r="AL46" i="28" a="1"/>
  <c r="AL46" i="28"/>
  <c r="AK46" i="28" a="1"/>
  <c r="AK46" i="28"/>
  <c r="AF46" i="28" a="1"/>
  <c r="AF46" i="28"/>
  <c r="AE46" i="28" a="1"/>
  <c r="AE46" i="28"/>
  <c r="AD46" i="28" a="1"/>
  <c r="AD46" i="28"/>
  <c r="AC46" i="28" a="1"/>
  <c r="AC46" i="28"/>
  <c r="X46" i="28" a="1"/>
  <c r="X46" i="28"/>
  <c r="W46" i="28" a="1"/>
  <c r="W46" i="28"/>
  <c r="V46" i="28" a="1"/>
  <c r="V46" i="28"/>
  <c r="U46" i="28" a="1"/>
  <c r="U46" i="28"/>
  <c r="P46" i="28" a="1"/>
  <c r="P46" i="28"/>
  <c r="O46" i="28" a="1"/>
  <c r="O46" i="28"/>
  <c r="N46" i="28" a="1"/>
  <c r="N46" i="28"/>
  <c r="M46" i="28" a="1"/>
  <c r="M46" i="28"/>
  <c r="H46" i="28" a="1"/>
  <c r="H46" i="28"/>
  <c r="G46" i="28" a="1"/>
  <c r="G46" i="28"/>
  <c r="F46" i="28" a="1"/>
  <c r="F46" i="28"/>
  <c r="E46" i="28" a="1"/>
  <c r="E46" i="28"/>
  <c r="BK45" i="28" a="1"/>
  <c r="BK45" i="28"/>
  <c r="BJ45" i="28" a="1"/>
  <c r="BJ45" i="28"/>
  <c r="BI45" i="28" a="1"/>
  <c r="BI45" i="28"/>
  <c r="BD45" i="28" a="1"/>
  <c r="BD45" i="28"/>
  <c r="BC45" i="28" a="1"/>
  <c r="BC45" i="28"/>
  <c r="BB45" i="28" a="1"/>
  <c r="BB45" i="28"/>
  <c r="BA45" i="28" a="1"/>
  <c r="BA45" i="28"/>
  <c r="AV45" i="28" a="1"/>
  <c r="AV45" i="28"/>
  <c r="AU45" i="28" a="1"/>
  <c r="AU45" i="28"/>
  <c r="AT45" i="28" a="1"/>
  <c r="AT45" i="28"/>
  <c r="AS45" i="28" a="1"/>
  <c r="AS45" i="28"/>
  <c r="AN45" i="28" a="1"/>
  <c r="AN45" i="28"/>
  <c r="AM45" i="28" a="1"/>
  <c r="AM45" i="28"/>
  <c r="AL45" i="28" a="1"/>
  <c r="AL45" i="28"/>
  <c r="AK45" i="28" a="1"/>
  <c r="AK45" i="28"/>
  <c r="AF45" i="28" a="1"/>
  <c r="AF45" i="28"/>
  <c r="AE45" i="28" a="1"/>
  <c r="AE45" i="28"/>
  <c r="AD45" i="28" a="1"/>
  <c r="AD45" i="28"/>
  <c r="AC45" i="28" a="1"/>
  <c r="AC45" i="28"/>
  <c r="X45" i="28" a="1"/>
  <c r="X45" i="28"/>
  <c r="W45" i="28" a="1"/>
  <c r="W45" i="28"/>
  <c r="V45" i="28" a="1"/>
  <c r="V45" i="28"/>
  <c r="U45" i="28" a="1"/>
  <c r="U45" i="28"/>
  <c r="P45" i="28" a="1"/>
  <c r="P45" i="28"/>
  <c r="O45" i="28" a="1"/>
  <c r="O45" i="28"/>
  <c r="N45" i="28" a="1"/>
  <c r="N45" i="28"/>
  <c r="M45" i="28" a="1"/>
  <c r="M45" i="28"/>
  <c r="H45" i="28" a="1"/>
  <c r="H45" i="28"/>
  <c r="G45" i="28" a="1"/>
  <c r="G45" i="28"/>
  <c r="F45" i="28" a="1"/>
  <c r="F45" i="28"/>
  <c r="E45" i="28" a="1"/>
  <c r="E45" i="28"/>
  <c r="C5" i="28"/>
  <c r="AD36" i="40"/>
  <c r="AB36" i="40"/>
  <c r="Z36" i="40"/>
  <c r="Y36" i="40"/>
  <c r="X36" i="40"/>
  <c r="W36" i="40"/>
  <c r="V36" i="40"/>
  <c r="T33" i="40"/>
  <c r="C6" i="28"/>
  <c r="C7" i="28"/>
  <c r="T34" i="40"/>
  <c r="T35" i="40"/>
  <c r="T36" i="40"/>
  <c r="AD35" i="40"/>
  <c r="AB35" i="40"/>
  <c r="Z35" i="40"/>
  <c r="Y35" i="40"/>
  <c r="X35" i="40"/>
  <c r="W35" i="40"/>
  <c r="V35" i="40"/>
  <c r="AD34" i="40"/>
  <c r="AB34" i="40"/>
  <c r="Z34" i="40"/>
  <c r="Y34" i="40"/>
  <c r="X34" i="40"/>
  <c r="W34" i="40"/>
  <c r="V34" i="40"/>
  <c r="AD33" i="40"/>
  <c r="AB33" i="40"/>
  <c r="Z33" i="40"/>
  <c r="Y33" i="40"/>
  <c r="X33" i="40"/>
  <c r="W33" i="40"/>
  <c r="V33" i="40"/>
  <c r="E34" i="28" a="1"/>
  <c r="E34" i="28"/>
  <c r="F34" i="28" a="1"/>
  <c r="F34" i="28"/>
  <c r="G34" i="28" a="1"/>
  <c r="G34" i="28"/>
  <c r="H34" i="28" a="1"/>
  <c r="H34" i="28"/>
  <c r="M34" i="28" a="1"/>
  <c r="M34" i="28"/>
  <c r="N34" i="28" a="1"/>
  <c r="N34" i="28"/>
  <c r="O34" i="28" a="1"/>
  <c r="O34" i="28"/>
  <c r="P34" i="28" a="1"/>
  <c r="P34" i="28"/>
  <c r="U34" i="28" a="1"/>
  <c r="U34" i="28"/>
  <c r="V34" i="28" a="1"/>
  <c r="V34" i="28"/>
  <c r="W34" i="28" a="1"/>
  <c r="W34" i="28"/>
  <c r="X34" i="28" a="1"/>
  <c r="X34" i="28"/>
  <c r="AC34" i="28" a="1"/>
  <c r="AC34" i="28"/>
  <c r="AD34" i="28" a="1"/>
  <c r="AD34" i="28"/>
  <c r="AE34" i="28" a="1"/>
  <c r="AE34" i="28"/>
  <c r="AF34" i="28" a="1"/>
  <c r="AF34" i="28"/>
  <c r="AK34" i="28" a="1"/>
  <c r="AK34" i="28"/>
  <c r="AL34" i="28" a="1"/>
  <c r="AL34" i="28"/>
  <c r="AM34" i="28" a="1"/>
  <c r="AM34" i="28"/>
  <c r="AN34" i="28" a="1"/>
  <c r="AN34" i="28"/>
  <c r="AS34" i="28" a="1"/>
  <c r="AS34" i="28"/>
  <c r="AT34" i="28" a="1"/>
  <c r="AT34" i="28"/>
  <c r="AU34" i="28" a="1"/>
  <c r="AU34" i="28"/>
  <c r="AV34" i="28" a="1"/>
  <c r="AV34" i="28"/>
  <c r="BA34" i="28" a="1"/>
  <c r="BA34" i="28"/>
  <c r="BB34" i="28" a="1"/>
  <c r="BB34" i="28"/>
  <c r="BC34" i="28" a="1"/>
  <c r="BC34" i="28"/>
  <c r="BD34" i="28" a="1"/>
  <c r="BD34" i="28"/>
  <c r="BI34" i="28" a="1"/>
  <c r="BI34" i="28"/>
  <c r="BJ34" i="28" a="1"/>
  <c r="BJ34" i="28"/>
  <c r="BK34" i="28" a="1"/>
  <c r="BK34" i="28"/>
  <c r="BL34" i="28" a="1"/>
  <c r="BL34" i="28"/>
  <c r="E35" i="28" a="1"/>
  <c r="E35" i="28"/>
  <c r="F35" i="28" a="1"/>
  <c r="F35" i="28"/>
  <c r="G35" i="28" a="1"/>
  <c r="G35" i="28"/>
  <c r="H35" i="28" a="1"/>
  <c r="H35" i="28"/>
  <c r="M35" i="28" a="1"/>
  <c r="M35" i="28"/>
  <c r="N35" i="28" a="1"/>
  <c r="N35" i="28"/>
  <c r="O35" i="28" a="1"/>
  <c r="O35" i="28"/>
  <c r="P35" i="28" a="1"/>
  <c r="P35" i="28"/>
  <c r="U35" i="28" a="1"/>
  <c r="U35" i="28"/>
  <c r="V35" i="28" a="1"/>
  <c r="V35" i="28"/>
  <c r="W35" i="28" a="1"/>
  <c r="W35" i="28"/>
  <c r="X35" i="28" a="1"/>
  <c r="X35" i="28"/>
  <c r="AC35" i="28" a="1"/>
  <c r="AC35" i="28"/>
  <c r="AD35" i="28" a="1"/>
  <c r="AD35" i="28"/>
  <c r="AE35" i="28" a="1"/>
  <c r="AE35" i="28"/>
  <c r="AF35" i="28" a="1"/>
  <c r="AF35" i="28"/>
  <c r="AK35" i="28" a="1"/>
  <c r="AK35" i="28"/>
  <c r="AL35" i="28" a="1"/>
  <c r="AL35" i="28"/>
  <c r="AM35" i="28" a="1"/>
  <c r="AM35" i="28"/>
  <c r="AN35" i="28" a="1"/>
  <c r="AN35" i="28"/>
  <c r="AS35" i="28" a="1"/>
  <c r="AS35" i="28"/>
  <c r="AT35" i="28" a="1"/>
  <c r="AT35" i="28"/>
  <c r="AU35" i="28" a="1"/>
  <c r="AU35" i="28"/>
  <c r="AV35" i="28" a="1"/>
  <c r="AV35" i="28"/>
  <c r="BA35" i="28" a="1"/>
  <c r="BA35" i="28"/>
  <c r="BB35" i="28" a="1"/>
  <c r="BB35" i="28"/>
  <c r="BC35" i="28" a="1"/>
  <c r="BC35" i="28"/>
  <c r="BD35" i="28" a="1"/>
  <c r="BD35" i="28"/>
  <c r="BI35" i="28" a="1"/>
  <c r="BI35" i="28"/>
  <c r="BJ35" i="28" a="1"/>
  <c r="BJ35" i="28"/>
  <c r="BK35" i="28" a="1"/>
  <c r="BK35" i="28"/>
  <c r="BL35" i="28" a="1"/>
  <c r="BL35" i="28"/>
  <c r="E36" i="28" a="1"/>
  <c r="E36" i="28"/>
  <c r="F36" i="28" a="1"/>
  <c r="F36" i="28"/>
  <c r="G36" i="28" a="1"/>
  <c r="G36" i="28"/>
  <c r="H36" i="28" a="1"/>
  <c r="H36" i="28"/>
  <c r="M36" i="28" a="1"/>
  <c r="M36" i="28"/>
  <c r="N36" i="28" a="1"/>
  <c r="N36" i="28"/>
  <c r="O36" i="28" a="1"/>
  <c r="O36" i="28"/>
  <c r="P36" i="28" a="1"/>
  <c r="P36" i="28"/>
  <c r="U36" i="28" a="1"/>
  <c r="U36" i="28"/>
  <c r="V36" i="28" a="1"/>
  <c r="V36" i="28"/>
  <c r="W36" i="28" a="1"/>
  <c r="W36" i="28"/>
  <c r="X36" i="28" a="1"/>
  <c r="X36" i="28"/>
  <c r="AC36" i="28" a="1"/>
  <c r="AC36" i="28"/>
  <c r="AD36" i="28" a="1"/>
  <c r="AD36" i="28"/>
  <c r="AE36" i="28" a="1"/>
  <c r="AE36" i="28"/>
  <c r="AF36" i="28" a="1"/>
  <c r="AF36" i="28"/>
  <c r="AK36" i="28" a="1"/>
  <c r="AK36" i="28"/>
  <c r="AL36" i="28" a="1"/>
  <c r="AL36" i="28"/>
  <c r="AM36" i="28" a="1"/>
  <c r="AM36" i="28"/>
  <c r="AN36" i="28" a="1"/>
  <c r="AN36" i="28"/>
  <c r="AS36" i="28" a="1"/>
  <c r="AS36" i="28"/>
  <c r="AT36" i="28" a="1"/>
  <c r="AT36" i="28"/>
  <c r="AU36" i="28" a="1"/>
  <c r="AU36" i="28"/>
  <c r="AV36" i="28" a="1"/>
  <c r="AV36" i="28"/>
  <c r="BA36" i="28" a="1"/>
  <c r="BA36" i="28"/>
  <c r="BB36" i="28" a="1"/>
  <c r="BB36" i="28"/>
  <c r="BC36" i="28" a="1"/>
  <c r="BC36" i="28"/>
  <c r="BD36" i="28" a="1"/>
  <c r="BD36" i="28"/>
  <c r="BI36" i="28" a="1"/>
  <c r="BI36" i="28"/>
  <c r="BJ36" i="28" a="1"/>
  <c r="BJ36" i="28"/>
  <c r="BK36" i="28" a="1"/>
  <c r="BK36" i="28"/>
  <c r="BL36" i="28" a="1"/>
  <c r="BL36" i="28"/>
  <c r="E37" i="28" a="1"/>
  <c r="E37" i="28"/>
  <c r="F37" i="28" a="1"/>
  <c r="F37" i="28"/>
  <c r="G37" i="28" a="1"/>
  <c r="G37" i="28"/>
  <c r="H37" i="28" a="1"/>
  <c r="H37" i="28"/>
  <c r="M37" i="28" a="1"/>
  <c r="M37" i="28"/>
  <c r="N37" i="28" a="1"/>
  <c r="N37" i="28"/>
  <c r="O37" i="28" a="1"/>
  <c r="O37" i="28"/>
  <c r="P37" i="28" a="1"/>
  <c r="P37" i="28"/>
  <c r="U37" i="28" a="1"/>
  <c r="U37" i="28"/>
  <c r="V37" i="28" a="1"/>
  <c r="V37" i="28"/>
  <c r="W37" i="28" a="1"/>
  <c r="W37" i="28"/>
  <c r="X37" i="28" a="1"/>
  <c r="X37" i="28"/>
  <c r="AC37" i="28" a="1"/>
  <c r="AC37" i="28"/>
  <c r="AD37" i="28" a="1"/>
  <c r="AD37" i="28"/>
  <c r="AE37" i="28" a="1"/>
  <c r="AE37" i="28"/>
  <c r="AF37" i="28" a="1"/>
  <c r="AF37" i="28"/>
  <c r="AK37" i="28" a="1"/>
  <c r="AK37" i="28"/>
  <c r="AL37" i="28" a="1"/>
  <c r="AL37" i="28"/>
  <c r="AM37" i="28" a="1"/>
  <c r="AM37" i="28"/>
  <c r="AN37" i="28" a="1"/>
  <c r="AN37" i="28"/>
  <c r="AS37" i="28" a="1"/>
  <c r="AS37" i="28"/>
  <c r="AT37" i="28" a="1"/>
  <c r="AT37" i="28"/>
  <c r="AU37" i="28" a="1"/>
  <c r="AU37" i="28"/>
  <c r="AV37" i="28" a="1"/>
  <c r="AV37" i="28"/>
  <c r="BA37" i="28" a="1"/>
  <c r="BA37" i="28"/>
  <c r="BB37" i="28" a="1"/>
  <c r="BB37" i="28"/>
  <c r="BC37" i="28" a="1"/>
  <c r="BC37" i="28"/>
  <c r="BD37" i="28" a="1"/>
  <c r="BD37" i="28"/>
  <c r="BI37" i="28" a="1"/>
  <c r="BI37" i="28"/>
  <c r="BJ37" i="28" a="1"/>
  <c r="BJ37" i="28"/>
  <c r="BK37" i="28" a="1"/>
  <c r="BK37" i="28"/>
  <c r="BL37" i="28" a="1"/>
  <c r="BL37" i="28"/>
  <c r="E38" i="28" a="1"/>
  <c r="E38" i="28"/>
  <c r="F38" i="28" a="1"/>
  <c r="F38" i="28"/>
  <c r="G38" i="28" a="1"/>
  <c r="G38" i="28"/>
  <c r="H38" i="28" a="1"/>
  <c r="H38" i="28"/>
  <c r="M38" i="28" a="1"/>
  <c r="M38" i="28"/>
  <c r="N38" i="28" a="1"/>
  <c r="N38" i="28"/>
  <c r="O38" i="28" a="1"/>
  <c r="O38" i="28"/>
  <c r="P38" i="28" a="1"/>
  <c r="P38" i="28"/>
  <c r="U38" i="28" a="1"/>
  <c r="U38" i="28"/>
  <c r="V38" i="28" a="1"/>
  <c r="V38" i="28"/>
  <c r="W38" i="28" a="1"/>
  <c r="W38" i="28"/>
  <c r="X38" i="28" a="1"/>
  <c r="X38" i="28"/>
  <c r="AC38" i="28" a="1"/>
  <c r="AC38" i="28"/>
  <c r="AD38" i="28" a="1"/>
  <c r="AD38" i="28"/>
  <c r="AE38" i="28" a="1"/>
  <c r="AE38" i="28"/>
  <c r="AF38" i="28" a="1"/>
  <c r="AF38" i="28"/>
  <c r="AK38" i="28" a="1"/>
  <c r="AK38" i="28"/>
  <c r="AL38" i="28" a="1"/>
  <c r="AL38" i="28"/>
  <c r="AM38" i="28" a="1"/>
  <c r="AM38" i="28"/>
  <c r="AN38" i="28" a="1"/>
  <c r="AN38" i="28"/>
  <c r="AS38" i="28" a="1"/>
  <c r="AS38" i="28"/>
  <c r="AT38" i="28" a="1"/>
  <c r="AT38" i="28"/>
  <c r="AU38" i="28" a="1"/>
  <c r="AU38" i="28"/>
  <c r="AV38" i="28" a="1"/>
  <c r="AV38" i="28"/>
  <c r="BA38" i="28" a="1"/>
  <c r="BA38" i="28"/>
  <c r="BB38" i="28" a="1"/>
  <c r="BB38" i="28"/>
  <c r="BC38" i="28" a="1"/>
  <c r="BC38" i="28"/>
  <c r="BD38" i="28" a="1"/>
  <c r="BD38" i="28"/>
  <c r="BI38" i="28" a="1"/>
  <c r="BI38" i="28"/>
  <c r="BJ38" i="28" a="1"/>
  <c r="BJ38" i="28"/>
  <c r="BK38" i="28" a="1"/>
  <c r="BK38" i="28"/>
  <c r="BL38" i="28" a="1"/>
  <c r="BL38" i="28"/>
  <c r="U34" i="40"/>
  <c r="H62" i="40"/>
  <c r="U35" i="40"/>
  <c r="H63" i="40"/>
  <c r="U36" i="40"/>
  <c r="H64" i="40"/>
  <c r="U33" i="40"/>
  <c r="H61" i="40"/>
  <c r="AD25" i="28"/>
  <c r="AG25" i="28"/>
  <c r="AH25" i="28"/>
  <c r="AD24" i="28"/>
  <c r="AG24" i="28"/>
  <c r="AH24" i="28"/>
  <c r="AD23" i="28"/>
  <c r="AG23" i="28"/>
  <c r="AH23" i="28"/>
  <c r="AD22" i="28"/>
  <c r="AG22" i="28"/>
  <c r="AH22" i="28"/>
  <c r="AD21" i="28"/>
  <c r="AG21" i="28"/>
  <c r="AH21" i="28"/>
  <c r="AD20" i="28"/>
  <c r="AG20" i="28"/>
  <c r="AH20" i="28"/>
  <c r="AD19" i="28"/>
  <c r="AG19" i="28"/>
  <c r="AH19" i="28"/>
  <c r="AD18" i="28"/>
  <c r="AG18" i="28"/>
  <c r="AH18" i="28"/>
  <c r="AD17" i="28"/>
  <c r="AG17" i="28"/>
  <c r="AH17" i="28"/>
  <c r="C8" i="28"/>
  <c r="C9" i="28"/>
  <c r="C10" i="28"/>
  <c r="C11" i="28"/>
  <c r="C12" i="28"/>
  <c r="AC34" i="40"/>
  <c r="AC35" i="40"/>
  <c r="AC36" i="40"/>
  <c r="K4" i="27"/>
  <c r="K13" i="27"/>
  <c r="L4" i="27"/>
  <c r="K17" i="27"/>
  <c r="L17" i="27"/>
  <c r="M17" i="27"/>
  <c r="N17" i="27" a="1"/>
  <c r="N17" i="27"/>
  <c r="O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E33" i="27" a="1"/>
  <c r="E33" i="27"/>
  <c r="F33" i="27" a="1"/>
  <c r="F33" i="27"/>
  <c r="G33" i="27" a="1"/>
  <c r="H33" i="27" a="1"/>
  <c r="I33" i="27" a="1"/>
  <c r="J33" i="27" a="1"/>
  <c r="K33" i="27" a="1"/>
  <c r="L33" i="27" a="1"/>
  <c r="P20" i="27"/>
  <c r="M33" i="27" a="1"/>
  <c r="N33" i="27" a="1"/>
  <c r="O33" i="27" a="1"/>
  <c r="P33" i="27" a="1"/>
  <c r="Q33" i="27" a="1"/>
  <c r="R33" i="27" a="1"/>
  <c r="S33" i="27" a="1"/>
  <c r="T33" i="27" a="1"/>
  <c r="Q20" i="27"/>
  <c r="U33" i="27" a="1"/>
  <c r="V33" i="27" a="1"/>
  <c r="W33" i="27" a="1"/>
  <c r="X33" i="27" a="1"/>
  <c r="Y33" i="27" a="1"/>
  <c r="Z33" i="27" a="1"/>
  <c r="AA33" i="27" a="1"/>
  <c r="AB33" i="27" a="1"/>
  <c r="R20" i="27"/>
  <c r="AC33" i="27" a="1"/>
  <c r="AD33" i="27" a="1"/>
  <c r="AE33" i="27" a="1"/>
  <c r="AF33" i="27" a="1"/>
  <c r="AG33" i="27" a="1"/>
  <c r="AH33" i="27" a="1"/>
  <c r="AI33" i="27" a="1"/>
  <c r="AJ33" i="27" a="1"/>
  <c r="S20" i="27"/>
  <c r="AK33" i="27" a="1"/>
  <c r="AL33" i="27" a="1"/>
  <c r="AM33" i="27" a="1"/>
  <c r="AN33" i="27" a="1"/>
  <c r="AO33" i="27" a="1"/>
  <c r="AP33" i="27" a="1"/>
  <c r="AQ33" i="27" a="1"/>
  <c r="AR33" i="27" a="1"/>
  <c r="T20" i="27"/>
  <c r="AS33" i="27" a="1"/>
  <c r="AT33" i="27" a="1"/>
  <c r="AU33" i="27" a="1"/>
  <c r="AV33" i="27" a="1"/>
  <c r="AW33" i="27" a="1"/>
  <c r="AX33" i="27" a="1"/>
  <c r="AY33" i="27" a="1"/>
  <c r="AZ33" i="27" a="1"/>
  <c r="U20" i="27"/>
  <c r="BA33" i="27" a="1"/>
  <c r="BB33" i="27" a="1"/>
  <c r="BC33" i="27" a="1"/>
  <c r="BD33" i="27" a="1"/>
  <c r="BE33" i="27" a="1"/>
  <c r="BF33" i="27" a="1"/>
  <c r="BG33" i="27" a="1"/>
  <c r="BH33" i="27" a="1"/>
  <c r="V20" i="27"/>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X17" i="27"/>
  <c r="X18"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AC40" i="40"/>
  <c r="Z25" i="27"/>
  <c r="N25" i="27" a="1"/>
  <c r="N25" i="27"/>
  <c r="M25" i="27"/>
  <c r="Z24" i="27"/>
  <c r="N24" i="27" a="1"/>
  <c r="N24" i="27"/>
  <c r="M24" i="27"/>
  <c r="Z23" i="27"/>
  <c r="N23" i="27" a="1"/>
  <c r="N23" i="27"/>
  <c r="M23" i="27"/>
  <c r="Z22" i="27"/>
  <c r="N22" i="27" a="1"/>
  <c r="N22" i="27"/>
  <c r="M22" i="27"/>
  <c r="Z21" i="27"/>
  <c r="N21" i="27" a="1"/>
  <c r="N21" i="27"/>
  <c r="M21" i="27"/>
  <c r="Z20" i="27"/>
  <c r="Z19" i="27"/>
  <c r="Z18" i="27"/>
  <c r="Z17" i="27"/>
  <c r="E17" i="27"/>
  <c r="D17" i="27"/>
  <c r="BK49" i="27" a="1"/>
  <c r="BK49" i="27"/>
  <c r="BJ49" i="27" a="1"/>
  <c r="BJ49" i="27"/>
  <c r="BI49" i="27" a="1"/>
  <c r="BI49" i="27"/>
  <c r="BD49" i="27" a="1"/>
  <c r="BD49" i="27"/>
  <c r="BC49" i="27" a="1"/>
  <c r="BC49" i="27"/>
  <c r="BB49" i="27" a="1"/>
  <c r="BB49" i="27"/>
  <c r="BA49" i="27" a="1"/>
  <c r="BA49" i="27"/>
  <c r="AV49" i="27" a="1"/>
  <c r="AV49" i="27"/>
  <c r="AU49" i="27" a="1"/>
  <c r="AU49" i="27"/>
  <c r="AT49" i="27" a="1"/>
  <c r="AT49" i="27"/>
  <c r="AS49" i="27" a="1"/>
  <c r="AS49" i="27"/>
  <c r="AN49" i="27" a="1"/>
  <c r="AN49" i="27"/>
  <c r="AM49" i="27" a="1"/>
  <c r="AM49" i="27"/>
  <c r="AL49" i="27" a="1"/>
  <c r="AL49" i="27"/>
  <c r="AK49" i="27" a="1"/>
  <c r="AK49" i="27"/>
  <c r="AF49" i="27" a="1"/>
  <c r="AF49" i="27"/>
  <c r="AE49" i="27" a="1"/>
  <c r="AE49" i="27"/>
  <c r="AD49" i="27" a="1"/>
  <c r="AD49" i="27"/>
  <c r="AC49" i="27" a="1"/>
  <c r="AC49" i="27"/>
  <c r="X49" i="27" a="1"/>
  <c r="X49" i="27"/>
  <c r="W49" i="27" a="1"/>
  <c r="W49" i="27"/>
  <c r="V49" i="27" a="1"/>
  <c r="V49" i="27"/>
  <c r="U49" i="27" a="1"/>
  <c r="U49" i="27"/>
  <c r="P49" i="27" a="1"/>
  <c r="P49" i="27"/>
  <c r="O49" i="27" a="1"/>
  <c r="O49" i="27"/>
  <c r="N49" i="27" a="1"/>
  <c r="N49" i="27"/>
  <c r="M49" i="27" a="1"/>
  <c r="M49" i="27"/>
  <c r="H49" i="27" a="1"/>
  <c r="H49" i="27"/>
  <c r="G49" i="27" a="1"/>
  <c r="G49" i="27"/>
  <c r="F49" i="27" a="1"/>
  <c r="F49" i="27"/>
  <c r="E49" i="27" a="1"/>
  <c r="E49" i="27"/>
  <c r="BK48" i="27" a="1"/>
  <c r="BK48" i="27"/>
  <c r="BJ48" i="27" a="1"/>
  <c r="BJ48" i="27"/>
  <c r="BI48" i="27" a="1"/>
  <c r="BI48" i="27"/>
  <c r="BD48" i="27" a="1"/>
  <c r="BD48" i="27"/>
  <c r="BC48" i="27" a="1"/>
  <c r="BC48" i="27"/>
  <c r="BB48" i="27" a="1"/>
  <c r="BB48" i="27"/>
  <c r="BA48" i="27" a="1"/>
  <c r="BA48" i="27"/>
  <c r="AV48" i="27" a="1"/>
  <c r="AV48" i="27"/>
  <c r="AU48" i="27" a="1"/>
  <c r="AU48" i="27"/>
  <c r="AT48" i="27" a="1"/>
  <c r="AT48" i="27"/>
  <c r="AS48" i="27" a="1"/>
  <c r="AS48" i="27"/>
  <c r="AN48" i="27" a="1"/>
  <c r="AN48" i="27"/>
  <c r="AM48" i="27" a="1"/>
  <c r="AM48" i="27"/>
  <c r="AL48" i="27" a="1"/>
  <c r="AL48" i="27"/>
  <c r="AK48" i="27" a="1"/>
  <c r="AK48" i="27"/>
  <c r="AF48" i="27" a="1"/>
  <c r="AF48" i="27"/>
  <c r="AE48" i="27" a="1"/>
  <c r="AE48" i="27"/>
  <c r="AD48" i="27" a="1"/>
  <c r="AD48" i="27"/>
  <c r="AC48" i="27" a="1"/>
  <c r="AC48" i="27"/>
  <c r="X48" i="27" a="1"/>
  <c r="X48" i="27"/>
  <c r="W48" i="27" a="1"/>
  <c r="W48" i="27"/>
  <c r="V48" i="27" a="1"/>
  <c r="V48" i="27"/>
  <c r="U48" i="27" a="1"/>
  <c r="U48" i="27"/>
  <c r="P48" i="27" a="1"/>
  <c r="P48" i="27"/>
  <c r="O48" i="27" a="1"/>
  <c r="O48" i="27"/>
  <c r="N48" i="27" a="1"/>
  <c r="N48" i="27"/>
  <c r="M48" i="27" a="1"/>
  <c r="M48" i="27"/>
  <c r="H48" i="27" a="1"/>
  <c r="H48" i="27"/>
  <c r="G48" i="27" a="1"/>
  <c r="G48" i="27"/>
  <c r="F48" i="27" a="1"/>
  <c r="F48" i="27"/>
  <c r="E48" i="27" a="1"/>
  <c r="E48" i="27"/>
  <c r="BK47" i="27" a="1"/>
  <c r="BK47" i="27"/>
  <c r="BJ47" i="27" a="1"/>
  <c r="BJ47" i="27"/>
  <c r="BI47" i="27" a="1"/>
  <c r="BI47" i="27"/>
  <c r="BD47" i="27" a="1"/>
  <c r="BD47" i="27"/>
  <c r="BC47" i="27" a="1"/>
  <c r="BC47" i="27"/>
  <c r="BB47" i="27" a="1"/>
  <c r="BB47" i="27"/>
  <c r="BA47" i="27" a="1"/>
  <c r="BA47" i="27"/>
  <c r="AV47" i="27" a="1"/>
  <c r="AV47" i="27"/>
  <c r="AU47" i="27" a="1"/>
  <c r="AU47" i="27"/>
  <c r="AT47" i="27" a="1"/>
  <c r="AT47" i="27"/>
  <c r="AS47" i="27" a="1"/>
  <c r="AS47" i="27"/>
  <c r="AN47" i="27" a="1"/>
  <c r="AN47" i="27"/>
  <c r="AM47" i="27" a="1"/>
  <c r="AM47" i="27"/>
  <c r="AL47" i="27" a="1"/>
  <c r="AL47" i="27"/>
  <c r="AK47" i="27" a="1"/>
  <c r="AK47" i="27"/>
  <c r="AF47" i="27" a="1"/>
  <c r="AF47" i="27"/>
  <c r="AE47" i="27" a="1"/>
  <c r="AE47" i="27"/>
  <c r="AD47" i="27" a="1"/>
  <c r="AD47" i="27"/>
  <c r="AC47" i="27" a="1"/>
  <c r="AC47" i="27"/>
  <c r="X47" i="27" a="1"/>
  <c r="X47" i="27"/>
  <c r="W47" i="27" a="1"/>
  <c r="W47" i="27"/>
  <c r="V47" i="27" a="1"/>
  <c r="V47" i="27"/>
  <c r="U47" i="27" a="1"/>
  <c r="U47" i="27"/>
  <c r="P47" i="27" a="1"/>
  <c r="P47" i="27"/>
  <c r="O47" i="27" a="1"/>
  <c r="O47" i="27"/>
  <c r="N47" i="27" a="1"/>
  <c r="N47" i="27"/>
  <c r="M47" i="27" a="1"/>
  <c r="M47" i="27"/>
  <c r="H47" i="27" a="1"/>
  <c r="H47" i="27"/>
  <c r="G47" i="27" a="1"/>
  <c r="G47" i="27"/>
  <c r="F47" i="27" a="1"/>
  <c r="F47" i="27"/>
  <c r="E47" i="27" a="1"/>
  <c r="E47" i="27"/>
  <c r="BK46" i="27" a="1"/>
  <c r="BK46" i="27"/>
  <c r="BJ46" i="27" a="1"/>
  <c r="BJ46" i="27"/>
  <c r="BI46" i="27" a="1"/>
  <c r="BI46" i="27"/>
  <c r="BD46" i="27" a="1"/>
  <c r="BD46" i="27"/>
  <c r="BC46" i="27" a="1"/>
  <c r="BC46" i="27"/>
  <c r="BB46" i="27" a="1"/>
  <c r="BB46" i="27"/>
  <c r="BA46" i="27" a="1"/>
  <c r="BA46" i="27"/>
  <c r="AV46" i="27" a="1"/>
  <c r="AV46" i="27"/>
  <c r="AU46" i="27" a="1"/>
  <c r="AU46" i="27"/>
  <c r="AT46" i="27" a="1"/>
  <c r="AT46" i="27"/>
  <c r="AS46" i="27" a="1"/>
  <c r="AS46" i="27"/>
  <c r="AN46" i="27" a="1"/>
  <c r="AN46" i="27"/>
  <c r="AM46" i="27" a="1"/>
  <c r="AM46" i="27"/>
  <c r="AL46" i="27" a="1"/>
  <c r="AL46" i="27"/>
  <c r="AK46" i="27" a="1"/>
  <c r="AK46" i="27"/>
  <c r="AF46" i="27" a="1"/>
  <c r="AF46" i="27"/>
  <c r="AE46" i="27" a="1"/>
  <c r="AE46" i="27"/>
  <c r="AD46" i="27" a="1"/>
  <c r="AD46" i="27"/>
  <c r="AC46" i="27" a="1"/>
  <c r="AC46" i="27"/>
  <c r="X46" i="27" a="1"/>
  <c r="X46" i="27"/>
  <c r="W46" i="27" a="1"/>
  <c r="W46" i="27"/>
  <c r="V46" i="27" a="1"/>
  <c r="V46" i="27"/>
  <c r="U46" i="27" a="1"/>
  <c r="U46" i="27"/>
  <c r="P46" i="27" a="1"/>
  <c r="P46" i="27"/>
  <c r="O46" i="27" a="1"/>
  <c r="O46" i="27"/>
  <c r="N46" i="27" a="1"/>
  <c r="N46" i="27"/>
  <c r="M46" i="27" a="1"/>
  <c r="M46" i="27"/>
  <c r="H46" i="27" a="1"/>
  <c r="H46" i="27"/>
  <c r="G46" i="27" a="1"/>
  <c r="G46" i="27"/>
  <c r="F46" i="27" a="1"/>
  <c r="F46" i="27"/>
  <c r="E46" i="27" a="1"/>
  <c r="E46" i="27"/>
  <c r="BK45" i="27" a="1"/>
  <c r="BK45" i="27"/>
  <c r="BJ45" i="27" a="1"/>
  <c r="BJ45" i="27"/>
  <c r="BI45" i="27" a="1"/>
  <c r="BI45" i="27"/>
  <c r="BD45" i="27" a="1"/>
  <c r="BD45" i="27"/>
  <c r="BC45" i="27" a="1"/>
  <c r="BC45" i="27"/>
  <c r="BB45" i="27" a="1"/>
  <c r="BB45" i="27"/>
  <c r="BA45" i="27" a="1"/>
  <c r="BA45" i="27"/>
  <c r="AV45" i="27" a="1"/>
  <c r="AV45" i="27"/>
  <c r="AU45" i="27" a="1"/>
  <c r="AU45" i="27"/>
  <c r="AT45" i="27" a="1"/>
  <c r="AT45" i="27"/>
  <c r="AS45" i="27" a="1"/>
  <c r="AS45" i="27"/>
  <c r="AN45" i="27" a="1"/>
  <c r="AN45" i="27"/>
  <c r="AM45" i="27" a="1"/>
  <c r="AM45" i="27"/>
  <c r="AL45" i="27" a="1"/>
  <c r="AL45" i="27"/>
  <c r="AK45" i="27" a="1"/>
  <c r="AK45" i="27"/>
  <c r="AF45" i="27" a="1"/>
  <c r="AF45" i="27"/>
  <c r="AE45" i="27" a="1"/>
  <c r="AE45" i="27"/>
  <c r="AD45" i="27" a="1"/>
  <c r="AD45" i="27"/>
  <c r="AC45" i="27" a="1"/>
  <c r="AC45" i="27"/>
  <c r="X45" i="27" a="1"/>
  <c r="X45" i="27"/>
  <c r="W45" i="27" a="1"/>
  <c r="W45" i="27"/>
  <c r="V45" i="27" a="1"/>
  <c r="V45" i="27"/>
  <c r="U45" i="27" a="1"/>
  <c r="U45" i="27"/>
  <c r="P45" i="27" a="1"/>
  <c r="P45" i="27"/>
  <c r="O45" i="27" a="1"/>
  <c r="O45" i="27"/>
  <c r="N45" i="27" a="1"/>
  <c r="N45" i="27"/>
  <c r="M45" i="27" a="1"/>
  <c r="M45" i="27"/>
  <c r="H45" i="27" a="1"/>
  <c r="H45" i="27"/>
  <c r="G45" i="27" a="1"/>
  <c r="G45" i="27"/>
  <c r="F45" i="27" a="1"/>
  <c r="F45" i="27"/>
  <c r="E45" i="27" a="1"/>
  <c r="E45" i="27"/>
  <c r="C5" i="27"/>
  <c r="C6" i="27"/>
  <c r="AD43" i="40"/>
  <c r="AB43" i="40"/>
  <c r="Z43" i="40"/>
  <c r="Y43" i="40"/>
  <c r="X43" i="40"/>
  <c r="W43" i="40"/>
  <c r="V43" i="40"/>
  <c r="T40" i="40"/>
  <c r="T41" i="40"/>
  <c r="C7" i="27"/>
  <c r="T42" i="40"/>
  <c r="T43" i="40"/>
  <c r="AD42" i="40"/>
  <c r="AB42" i="40"/>
  <c r="Z42" i="40"/>
  <c r="Y42" i="40"/>
  <c r="X42" i="40"/>
  <c r="W42" i="40"/>
  <c r="V42" i="40"/>
  <c r="AD41" i="40"/>
  <c r="AB41" i="40"/>
  <c r="Z41" i="40"/>
  <c r="Y41" i="40"/>
  <c r="X41" i="40"/>
  <c r="W41" i="40"/>
  <c r="V41" i="40"/>
  <c r="AD40" i="40"/>
  <c r="AB40" i="40"/>
  <c r="Z40" i="40"/>
  <c r="Y40" i="40"/>
  <c r="X40" i="40"/>
  <c r="W40" i="40"/>
  <c r="V40" i="40"/>
  <c r="E34" i="27" a="1"/>
  <c r="E34" i="27"/>
  <c r="F34" i="27" a="1"/>
  <c r="F34" i="27"/>
  <c r="G34" i="27" a="1"/>
  <c r="G34" i="27"/>
  <c r="H34" i="27" a="1"/>
  <c r="H34" i="27"/>
  <c r="M34" i="27" a="1"/>
  <c r="M34" i="27"/>
  <c r="N34" i="27" a="1"/>
  <c r="N34" i="27"/>
  <c r="O34" i="27" a="1"/>
  <c r="O34" i="27"/>
  <c r="P34" i="27" a="1"/>
  <c r="P34" i="27"/>
  <c r="U34" i="27" a="1"/>
  <c r="U34" i="27"/>
  <c r="V34" i="27" a="1"/>
  <c r="V34" i="27"/>
  <c r="W34" i="27" a="1"/>
  <c r="W34" i="27"/>
  <c r="X34" i="27" a="1"/>
  <c r="X34" i="27"/>
  <c r="AC34" i="27" a="1"/>
  <c r="AC34" i="27"/>
  <c r="AD34" i="27" a="1"/>
  <c r="AD34" i="27"/>
  <c r="AE34" i="27" a="1"/>
  <c r="AE34" i="27"/>
  <c r="AF34" i="27" a="1"/>
  <c r="AF34" i="27"/>
  <c r="AK34" i="27" a="1"/>
  <c r="AK34" i="27"/>
  <c r="AL34" i="27" a="1"/>
  <c r="AL34" i="27"/>
  <c r="AM34" i="27" a="1"/>
  <c r="AM34" i="27"/>
  <c r="AN34" i="27" a="1"/>
  <c r="AN34" i="27"/>
  <c r="AS34" i="27" a="1"/>
  <c r="AS34" i="27"/>
  <c r="AT34" i="27" a="1"/>
  <c r="AT34" i="27"/>
  <c r="AU34" i="27" a="1"/>
  <c r="AU34" i="27"/>
  <c r="AV34" i="27" a="1"/>
  <c r="AV34" i="27"/>
  <c r="BA34" i="27" a="1"/>
  <c r="BA34" i="27"/>
  <c r="BB34" i="27" a="1"/>
  <c r="BB34" i="27"/>
  <c r="BC34" i="27" a="1"/>
  <c r="BC34" i="27"/>
  <c r="BD34" i="27" a="1"/>
  <c r="BD34" i="27"/>
  <c r="BI34" i="27" a="1"/>
  <c r="BI34" i="27"/>
  <c r="BJ34" i="27" a="1"/>
  <c r="BJ34" i="27"/>
  <c r="BK34" i="27" a="1"/>
  <c r="BK34" i="27"/>
  <c r="BL34" i="27" a="1"/>
  <c r="BL34" i="27"/>
  <c r="E35" i="27" a="1"/>
  <c r="E35" i="27"/>
  <c r="F35" i="27" a="1"/>
  <c r="F35" i="27"/>
  <c r="G35" i="27" a="1"/>
  <c r="G35" i="27"/>
  <c r="H35" i="27" a="1"/>
  <c r="H35" i="27"/>
  <c r="M35" i="27" a="1"/>
  <c r="M35" i="27"/>
  <c r="N35" i="27" a="1"/>
  <c r="N35" i="27"/>
  <c r="O35" i="27" a="1"/>
  <c r="O35" i="27"/>
  <c r="P35" i="27" a="1"/>
  <c r="P35" i="27"/>
  <c r="U35" i="27" a="1"/>
  <c r="U35" i="27"/>
  <c r="V35" i="27" a="1"/>
  <c r="V35" i="27"/>
  <c r="W35" i="27" a="1"/>
  <c r="W35" i="27"/>
  <c r="X35" i="27" a="1"/>
  <c r="X35" i="27"/>
  <c r="AC35" i="27" a="1"/>
  <c r="AC35" i="27"/>
  <c r="AD35" i="27" a="1"/>
  <c r="AD35" i="27"/>
  <c r="AE35" i="27" a="1"/>
  <c r="AE35" i="27"/>
  <c r="AF35" i="27" a="1"/>
  <c r="AF35" i="27"/>
  <c r="AK35" i="27" a="1"/>
  <c r="AK35" i="27"/>
  <c r="AL35" i="27" a="1"/>
  <c r="AL35" i="27"/>
  <c r="AM35" i="27" a="1"/>
  <c r="AM35" i="27"/>
  <c r="AN35" i="27" a="1"/>
  <c r="AN35" i="27"/>
  <c r="AS35" i="27" a="1"/>
  <c r="AS35" i="27"/>
  <c r="AT35" i="27" a="1"/>
  <c r="AT35" i="27"/>
  <c r="AU35" i="27" a="1"/>
  <c r="AU35" i="27"/>
  <c r="AV35" i="27" a="1"/>
  <c r="AV35" i="27"/>
  <c r="BA35" i="27" a="1"/>
  <c r="BA35" i="27"/>
  <c r="BB35" i="27" a="1"/>
  <c r="BB35" i="27"/>
  <c r="BC35" i="27" a="1"/>
  <c r="BC35" i="27"/>
  <c r="BD35" i="27" a="1"/>
  <c r="BD35" i="27"/>
  <c r="BI35" i="27" a="1"/>
  <c r="BI35" i="27"/>
  <c r="BJ35" i="27" a="1"/>
  <c r="BJ35" i="27"/>
  <c r="BK35" i="27" a="1"/>
  <c r="BK35" i="27"/>
  <c r="BL35" i="27" a="1"/>
  <c r="BL35" i="27"/>
  <c r="E36" i="27" a="1"/>
  <c r="E36" i="27"/>
  <c r="F36" i="27" a="1"/>
  <c r="F36" i="27"/>
  <c r="G36" i="27" a="1"/>
  <c r="G36" i="27"/>
  <c r="H36" i="27" a="1"/>
  <c r="H36" i="27"/>
  <c r="M36" i="27" a="1"/>
  <c r="M36" i="27"/>
  <c r="N36" i="27" a="1"/>
  <c r="N36" i="27"/>
  <c r="O36" i="27" a="1"/>
  <c r="O36" i="27"/>
  <c r="P36" i="27" a="1"/>
  <c r="P36" i="27"/>
  <c r="U36" i="27" a="1"/>
  <c r="U36" i="27"/>
  <c r="V36" i="27" a="1"/>
  <c r="V36" i="27"/>
  <c r="W36" i="27" a="1"/>
  <c r="W36" i="27"/>
  <c r="X36" i="27" a="1"/>
  <c r="X36" i="27"/>
  <c r="AC36" i="27" a="1"/>
  <c r="AC36" i="27"/>
  <c r="AD36" i="27" a="1"/>
  <c r="AD36" i="27"/>
  <c r="AE36" i="27" a="1"/>
  <c r="AE36" i="27"/>
  <c r="AF36" i="27" a="1"/>
  <c r="AF36" i="27"/>
  <c r="AK36" i="27" a="1"/>
  <c r="AK36" i="27"/>
  <c r="AL36" i="27" a="1"/>
  <c r="AL36" i="27"/>
  <c r="AM36" i="27" a="1"/>
  <c r="AM36" i="27"/>
  <c r="AN36" i="27" a="1"/>
  <c r="AN36" i="27"/>
  <c r="AS36" i="27" a="1"/>
  <c r="AS36" i="27"/>
  <c r="AT36" i="27" a="1"/>
  <c r="AT36" i="27"/>
  <c r="AU36" i="27" a="1"/>
  <c r="AU36" i="27"/>
  <c r="AV36" i="27" a="1"/>
  <c r="AV36" i="27"/>
  <c r="BA36" i="27" a="1"/>
  <c r="BA36" i="27"/>
  <c r="BB36" i="27" a="1"/>
  <c r="BB36" i="27"/>
  <c r="BC36" i="27" a="1"/>
  <c r="BC36" i="27"/>
  <c r="BD36" i="27" a="1"/>
  <c r="BD36" i="27"/>
  <c r="BI36" i="27" a="1"/>
  <c r="BI36" i="27"/>
  <c r="BJ36" i="27" a="1"/>
  <c r="BJ36" i="27"/>
  <c r="BK36" i="27" a="1"/>
  <c r="BK36" i="27"/>
  <c r="BL36" i="27" a="1"/>
  <c r="BL36" i="27"/>
  <c r="E37" i="27" a="1"/>
  <c r="E37" i="27"/>
  <c r="F37" i="27" a="1"/>
  <c r="F37" i="27"/>
  <c r="G37" i="27" a="1"/>
  <c r="G37" i="27"/>
  <c r="H37" i="27" a="1"/>
  <c r="H37" i="27"/>
  <c r="M37" i="27" a="1"/>
  <c r="M37" i="27"/>
  <c r="N37" i="27" a="1"/>
  <c r="N37" i="27"/>
  <c r="O37" i="27" a="1"/>
  <c r="O37" i="27"/>
  <c r="P37" i="27" a="1"/>
  <c r="P37" i="27"/>
  <c r="U37" i="27" a="1"/>
  <c r="U37" i="27"/>
  <c r="V37" i="27" a="1"/>
  <c r="V37" i="27"/>
  <c r="W37" i="27" a="1"/>
  <c r="W37" i="27"/>
  <c r="X37" i="27" a="1"/>
  <c r="X37" i="27"/>
  <c r="AC37" i="27" a="1"/>
  <c r="AC37" i="27"/>
  <c r="AD37" i="27" a="1"/>
  <c r="AD37" i="27"/>
  <c r="AE37" i="27" a="1"/>
  <c r="AE37" i="27"/>
  <c r="AF37" i="27" a="1"/>
  <c r="AF37" i="27"/>
  <c r="AK37" i="27" a="1"/>
  <c r="AK37" i="27"/>
  <c r="AL37" i="27" a="1"/>
  <c r="AL37" i="27"/>
  <c r="AM37" i="27" a="1"/>
  <c r="AM37" i="27"/>
  <c r="AN37" i="27" a="1"/>
  <c r="AN37" i="27"/>
  <c r="AS37" i="27" a="1"/>
  <c r="AS37" i="27"/>
  <c r="AT37" i="27" a="1"/>
  <c r="AT37" i="27"/>
  <c r="AU37" i="27" a="1"/>
  <c r="AU37" i="27"/>
  <c r="AV37" i="27" a="1"/>
  <c r="AV37" i="27"/>
  <c r="BA37" i="27" a="1"/>
  <c r="BA37" i="27"/>
  <c r="BB37" i="27" a="1"/>
  <c r="BB37" i="27"/>
  <c r="BC37" i="27" a="1"/>
  <c r="BC37" i="27"/>
  <c r="BD37" i="27" a="1"/>
  <c r="BD37" i="27"/>
  <c r="BI37" i="27" a="1"/>
  <c r="BI37" i="27"/>
  <c r="BJ37" i="27" a="1"/>
  <c r="BJ37" i="27"/>
  <c r="BK37" i="27" a="1"/>
  <c r="BK37" i="27"/>
  <c r="BL37" i="27" a="1"/>
  <c r="BL37" i="27"/>
  <c r="E38" i="27" a="1"/>
  <c r="E38" i="27"/>
  <c r="F38" i="27" a="1"/>
  <c r="F38" i="27"/>
  <c r="G38" i="27" a="1"/>
  <c r="G38" i="27"/>
  <c r="H38" i="27" a="1"/>
  <c r="H38" i="27"/>
  <c r="M38" i="27" a="1"/>
  <c r="M38" i="27"/>
  <c r="N38" i="27" a="1"/>
  <c r="N38" i="27"/>
  <c r="O38" i="27" a="1"/>
  <c r="O38" i="27"/>
  <c r="P38" i="27" a="1"/>
  <c r="P38" i="27"/>
  <c r="U38" i="27" a="1"/>
  <c r="U38" i="27"/>
  <c r="V38" i="27" a="1"/>
  <c r="V38" i="27"/>
  <c r="W38" i="27" a="1"/>
  <c r="W38" i="27"/>
  <c r="X38" i="27" a="1"/>
  <c r="X38" i="27"/>
  <c r="AC38" i="27" a="1"/>
  <c r="AC38" i="27"/>
  <c r="AD38" i="27" a="1"/>
  <c r="AD38" i="27"/>
  <c r="AE38" i="27" a="1"/>
  <c r="AE38" i="27"/>
  <c r="AF38" i="27" a="1"/>
  <c r="AF38" i="27"/>
  <c r="AK38" i="27" a="1"/>
  <c r="AK38" i="27"/>
  <c r="AL38" i="27" a="1"/>
  <c r="AL38" i="27"/>
  <c r="AM38" i="27" a="1"/>
  <c r="AM38" i="27"/>
  <c r="AN38" i="27" a="1"/>
  <c r="AN38" i="27"/>
  <c r="AS38" i="27" a="1"/>
  <c r="AS38" i="27"/>
  <c r="AT38" i="27" a="1"/>
  <c r="AT38" i="27"/>
  <c r="AU38" i="27" a="1"/>
  <c r="AU38" i="27"/>
  <c r="AV38" i="27" a="1"/>
  <c r="AV38" i="27"/>
  <c r="BA38" i="27" a="1"/>
  <c r="BA38" i="27"/>
  <c r="BB38" i="27" a="1"/>
  <c r="BB38" i="27"/>
  <c r="BC38" i="27" a="1"/>
  <c r="BC38" i="27"/>
  <c r="BD38" i="27" a="1"/>
  <c r="BD38" i="27"/>
  <c r="BI38" i="27" a="1"/>
  <c r="BI38" i="27"/>
  <c r="BJ38" i="27" a="1"/>
  <c r="BJ38" i="27"/>
  <c r="BK38" i="27" a="1"/>
  <c r="BK38" i="27"/>
  <c r="BL38" i="27" a="1"/>
  <c r="BL38" i="27"/>
  <c r="U41" i="40"/>
  <c r="H58" i="40"/>
  <c r="U42" i="40"/>
  <c r="H59" i="40"/>
  <c r="U43" i="40"/>
  <c r="H60" i="40"/>
  <c r="U40" i="40"/>
  <c r="H57" i="40"/>
  <c r="AD25" i="27"/>
  <c r="AG25" i="27"/>
  <c r="AH25" i="27"/>
  <c r="AD24" i="27"/>
  <c r="AG24" i="27"/>
  <c r="AH24" i="27"/>
  <c r="AD23" i="27"/>
  <c r="AG23" i="27"/>
  <c r="AH23" i="27"/>
  <c r="AD22" i="27"/>
  <c r="AG22" i="27"/>
  <c r="AH22" i="27"/>
  <c r="AD21" i="27"/>
  <c r="AG21" i="27"/>
  <c r="AH21" i="27"/>
  <c r="AD20" i="27"/>
  <c r="AG20" i="27"/>
  <c r="AH20" i="27"/>
  <c r="AD19" i="27"/>
  <c r="AG19" i="27"/>
  <c r="AH19" i="27"/>
  <c r="AD18" i="27"/>
  <c r="AG18" i="27"/>
  <c r="AH18" i="27"/>
  <c r="AD17" i="27"/>
  <c r="AG17" i="27"/>
  <c r="AH17" i="27"/>
  <c r="C8" i="27"/>
  <c r="C9" i="27"/>
  <c r="C10" i="27"/>
  <c r="C11" i="27"/>
  <c r="C12" i="27"/>
  <c r="AC41" i="40"/>
  <c r="AC42" i="40"/>
  <c r="AC43" i="40"/>
  <c r="K4" i="26"/>
  <c r="K5" i="26"/>
  <c r="K6" i="26"/>
  <c r="K7" i="26"/>
  <c r="K13" i="26"/>
  <c r="L4" i="26"/>
  <c r="K17" i="26"/>
  <c r="L17" i="26"/>
  <c r="L5" i="26"/>
  <c r="K18" i="26"/>
  <c r="L18" i="26"/>
  <c r="L6" i="26"/>
  <c r="K19" i="26"/>
  <c r="L19" i="26"/>
  <c r="L7" i="26"/>
  <c r="K20" i="26"/>
  <c r="L20" i="26"/>
  <c r="M17" i="26"/>
  <c r="N17" i="26" a="1"/>
  <c r="N17" i="26"/>
  <c r="O17" i="26"/>
  <c r="E30" i="26" a="1"/>
  <c r="E30" i="26"/>
  <c r="F30" i="26" a="1"/>
  <c r="F30" i="26"/>
  <c r="G30" i="26" a="1"/>
  <c r="H30" i="26" a="1"/>
  <c r="I30" i="26" a="1"/>
  <c r="J30" i="26" a="1"/>
  <c r="K30" i="26" a="1"/>
  <c r="L30" i="26" a="1"/>
  <c r="P17" i="26"/>
  <c r="M30" i="26" a="1"/>
  <c r="N30" i="26" a="1"/>
  <c r="O30" i="26" a="1"/>
  <c r="P30" i="26" a="1"/>
  <c r="Q30" i="26" a="1"/>
  <c r="R30" i="26" a="1"/>
  <c r="S30" i="26" a="1"/>
  <c r="T30" i="26" a="1"/>
  <c r="Q17" i="26"/>
  <c r="U30" i="26" a="1"/>
  <c r="V30" i="26" a="1"/>
  <c r="W30" i="26" a="1"/>
  <c r="X30" i="26" a="1"/>
  <c r="Y30" i="26" a="1"/>
  <c r="Z30" i="26" a="1"/>
  <c r="AA30" i="26" a="1"/>
  <c r="AB30" i="26" a="1"/>
  <c r="R17" i="26"/>
  <c r="AC30" i="26" a="1"/>
  <c r="AD30" i="26" a="1"/>
  <c r="AE30" i="26" a="1"/>
  <c r="AF30" i="26" a="1"/>
  <c r="AG30" i="26" a="1"/>
  <c r="AH30" i="26" a="1"/>
  <c r="AI30" i="26" a="1"/>
  <c r="AJ30" i="26" a="1"/>
  <c r="S17" i="26"/>
  <c r="AK30" i="26" a="1"/>
  <c r="AL30" i="26" a="1"/>
  <c r="AM30" i="26" a="1"/>
  <c r="AN30" i="26" a="1"/>
  <c r="AO30" i="26" a="1"/>
  <c r="AP30" i="26" a="1"/>
  <c r="AQ30" i="26" a="1"/>
  <c r="AR30" i="26" a="1"/>
  <c r="T17" i="26"/>
  <c r="AS30" i="26" a="1"/>
  <c r="AT30" i="26" a="1"/>
  <c r="AU30" i="26" a="1"/>
  <c r="AV30" i="26" a="1"/>
  <c r="AW30" i="26" a="1"/>
  <c r="AX30" i="26" a="1"/>
  <c r="AY30" i="26" a="1"/>
  <c r="AZ30" i="26" a="1"/>
  <c r="U17" i="26"/>
  <c r="BA30" i="26" a="1"/>
  <c r="BB30" i="26" a="1"/>
  <c r="BC30" i="26" a="1"/>
  <c r="BD30" i="26" a="1"/>
  <c r="BE30" i="26" a="1"/>
  <c r="BF30" i="26" a="1"/>
  <c r="BG30" i="26" a="1"/>
  <c r="BH30" i="26" a="1"/>
  <c r="V17" i="26"/>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M18" i="26"/>
  <c r="N18" i="26" a="1"/>
  <c r="N18" i="26"/>
  <c r="O18" i="26"/>
  <c r="E31" i="26" a="1"/>
  <c r="E31" i="26"/>
  <c r="F31" i="26" a="1"/>
  <c r="F31" i="26"/>
  <c r="G31" i="26" a="1"/>
  <c r="H31" i="26" a="1"/>
  <c r="I31" i="26" a="1"/>
  <c r="J31" i="26" a="1"/>
  <c r="K31" i="26" a="1"/>
  <c r="L31" i="26" a="1"/>
  <c r="P18" i="26"/>
  <c r="M31" i="26" a="1"/>
  <c r="N31" i="26" a="1"/>
  <c r="O31" i="26" a="1"/>
  <c r="P31" i="26" a="1"/>
  <c r="Q31" i="26" a="1"/>
  <c r="R31" i="26" a="1"/>
  <c r="S31" i="26" a="1"/>
  <c r="T31" i="26" a="1"/>
  <c r="Q18" i="26"/>
  <c r="U31" i="26" a="1"/>
  <c r="V31" i="26" a="1"/>
  <c r="W31" i="26" a="1"/>
  <c r="X31" i="26" a="1"/>
  <c r="Y31" i="26" a="1"/>
  <c r="Z31" i="26" a="1"/>
  <c r="AA31" i="26" a="1"/>
  <c r="AB31" i="26" a="1"/>
  <c r="R18" i="26"/>
  <c r="AC31" i="26" a="1"/>
  <c r="AD31" i="26" a="1"/>
  <c r="AE31" i="26" a="1"/>
  <c r="AF31" i="26" a="1"/>
  <c r="AG31" i="26" a="1"/>
  <c r="AH31" i="26" a="1"/>
  <c r="AI31" i="26" a="1"/>
  <c r="AJ31" i="26" a="1"/>
  <c r="S18" i="26"/>
  <c r="AK31" i="26" a="1"/>
  <c r="AL31" i="26" a="1"/>
  <c r="AM31" i="26" a="1"/>
  <c r="AN31" i="26" a="1"/>
  <c r="AO31" i="26" a="1"/>
  <c r="AP31" i="26" a="1"/>
  <c r="AQ31" i="26" a="1"/>
  <c r="AR31" i="26" a="1"/>
  <c r="T18" i="26"/>
  <c r="AS31" i="26" a="1"/>
  <c r="AT31" i="26" a="1"/>
  <c r="AU31" i="26" a="1"/>
  <c r="AV31" i="26" a="1"/>
  <c r="AW31" i="26" a="1"/>
  <c r="AX31" i="26" a="1"/>
  <c r="AY31" i="26" a="1"/>
  <c r="AZ31" i="26" a="1"/>
  <c r="U18" i="26"/>
  <c r="BA31" i="26" a="1"/>
  <c r="BB31" i="26" a="1"/>
  <c r="BC31" i="26" a="1"/>
  <c r="BD31" i="26" a="1"/>
  <c r="BE31" i="26" a="1"/>
  <c r="BF31" i="26" a="1"/>
  <c r="BG31" i="26" a="1"/>
  <c r="BH31" i="26" a="1"/>
  <c r="V18" i="26"/>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M19" i="26"/>
  <c r="N19" i="26" a="1"/>
  <c r="N19" i="26"/>
  <c r="O19" i="26"/>
  <c r="E32" i="26" a="1"/>
  <c r="E32" i="26"/>
  <c r="F32" i="26" a="1"/>
  <c r="F32" i="26"/>
  <c r="G32" i="26" a="1"/>
  <c r="H32" i="26" a="1"/>
  <c r="I32" i="26" a="1"/>
  <c r="J32" i="26" a="1"/>
  <c r="K32" i="26" a="1"/>
  <c r="L32" i="26" a="1"/>
  <c r="P19" i="26"/>
  <c r="M32" i="26" a="1"/>
  <c r="N32" i="26" a="1"/>
  <c r="O32" i="26" a="1"/>
  <c r="P32" i="26" a="1"/>
  <c r="Q32" i="26" a="1"/>
  <c r="R32" i="26" a="1"/>
  <c r="S32" i="26" a="1"/>
  <c r="T32" i="26" a="1"/>
  <c r="Q19" i="26"/>
  <c r="U32" i="26" a="1"/>
  <c r="V32" i="26" a="1"/>
  <c r="W32" i="26" a="1"/>
  <c r="X32" i="26" a="1"/>
  <c r="Y32" i="26" a="1"/>
  <c r="Z32" i="26" a="1"/>
  <c r="AA32" i="26" a="1"/>
  <c r="AB32" i="26" a="1"/>
  <c r="R19" i="26"/>
  <c r="AC32" i="26" a="1"/>
  <c r="AD32" i="26" a="1"/>
  <c r="AE32" i="26" a="1"/>
  <c r="AF32" i="26" a="1"/>
  <c r="AG32" i="26" a="1"/>
  <c r="AH32" i="26" a="1"/>
  <c r="AI32" i="26" a="1"/>
  <c r="AJ32" i="26" a="1"/>
  <c r="S19" i="26"/>
  <c r="AK32" i="26" a="1"/>
  <c r="AL32" i="26" a="1"/>
  <c r="AM32" i="26" a="1"/>
  <c r="AN32" i="26" a="1"/>
  <c r="AO32" i="26" a="1"/>
  <c r="AP32" i="26" a="1"/>
  <c r="AQ32" i="26" a="1"/>
  <c r="AR32" i="26" a="1"/>
  <c r="T19" i="26"/>
  <c r="AS32" i="26" a="1"/>
  <c r="AT32" i="26" a="1"/>
  <c r="AU32" i="26" a="1"/>
  <c r="AV32" i="26" a="1"/>
  <c r="AW32" i="26" a="1"/>
  <c r="AX32" i="26" a="1"/>
  <c r="AY32" i="26" a="1"/>
  <c r="AZ32" i="26" a="1"/>
  <c r="U19" i="26"/>
  <c r="BA32" i="26" a="1"/>
  <c r="BB32" i="26" a="1"/>
  <c r="BC32" i="26" a="1"/>
  <c r="BD32" i="26" a="1"/>
  <c r="BE32" i="26" a="1"/>
  <c r="BF32" i="26" a="1"/>
  <c r="BG32" i="26" a="1"/>
  <c r="BH32" i="26" a="1"/>
  <c r="V19" i="26"/>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M20" i="26"/>
  <c r="N20" i="26" a="1"/>
  <c r="N20" i="26"/>
  <c r="O20" i="26"/>
  <c r="E33" i="26" a="1"/>
  <c r="E33" i="26"/>
  <c r="F33" i="26" a="1"/>
  <c r="F33" i="26"/>
  <c r="G33" i="26" a="1"/>
  <c r="H33" i="26" a="1"/>
  <c r="I33" i="26" a="1"/>
  <c r="J33" i="26" a="1"/>
  <c r="K33" i="26" a="1"/>
  <c r="L33" i="26" a="1"/>
  <c r="P20" i="26"/>
  <c r="M33" i="26" a="1"/>
  <c r="N33" i="26" a="1"/>
  <c r="O33" i="26" a="1"/>
  <c r="P33" i="26" a="1"/>
  <c r="Q33" i="26" a="1"/>
  <c r="R33" i="26" a="1"/>
  <c r="S33" i="26" a="1"/>
  <c r="T33" i="26" a="1"/>
  <c r="Q20" i="26"/>
  <c r="U33" i="26" a="1"/>
  <c r="V33" i="26" a="1"/>
  <c r="W33" i="26" a="1"/>
  <c r="X33" i="26" a="1"/>
  <c r="Y33" i="26" a="1"/>
  <c r="Z33" i="26" a="1"/>
  <c r="AA33" i="26" a="1"/>
  <c r="AB33" i="26" a="1"/>
  <c r="R20" i="26"/>
  <c r="AC33" i="26" a="1"/>
  <c r="AD33" i="26" a="1"/>
  <c r="AE33" i="26" a="1"/>
  <c r="AF33" i="26" a="1"/>
  <c r="AG33" i="26" a="1"/>
  <c r="AH33" i="26" a="1"/>
  <c r="AI33" i="26" a="1"/>
  <c r="AJ33" i="26" a="1"/>
  <c r="S20" i="26"/>
  <c r="AK33" i="26" a="1"/>
  <c r="AL33" i="26" a="1"/>
  <c r="AM33" i="26" a="1"/>
  <c r="AN33" i="26" a="1"/>
  <c r="AO33" i="26" a="1"/>
  <c r="AP33" i="26" a="1"/>
  <c r="AQ33" i="26" a="1"/>
  <c r="AR33" i="26" a="1"/>
  <c r="T20" i="26"/>
  <c r="AS33" i="26" a="1"/>
  <c r="AT33" i="26" a="1"/>
  <c r="AU33" i="26" a="1"/>
  <c r="AV33" i="26" a="1"/>
  <c r="AW33" i="26" a="1"/>
  <c r="AX33" i="26" a="1"/>
  <c r="AY33" i="26" a="1"/>
  <c r="AZ33" i="26" a="1"/>
  <c r="U20" i="26"/>
  <c r="BA33" i="26" a="1"/>
  <c r="BB33" i="26" a="1"/>
  <c r="BC33" i="26" a="1"/>
  <c r="BD33" i="26" a="1"/>
  <c r="BE33" i="26" a="1"/>
  <c r="BF33" i="26" a="1"/>
  <c r="BG33" i="26" a="1"/>
  <c r="BH33" i="26" a="1"/>
  <c r="V20" i="26"/>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X17" i="26"/>
  <c r="X18"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C5" i="26"/>
  <c r="C6" i="26"/>
  <c r="AC50" i="40"/>
  <c r="C7" i="26"/>
  <c r="AC49" i="40"/>
  <c r="AC48" i="40"/>
  <c r="Z25" i="26"/>
  <c r="N25" i="26" a="1"/>
  <c r="N25" i="26"/>
  <c r="M25" i="26"/>
  <c r="Z24" i="26"/>
  <c r="N24" i="26" a="1"/>
  <c r="N24" i="26"/>
  <c r="M24" i="26"/>
  <c r="Z23" i="26"/>
  <c r="N23" i="26" a="1"/>
  <c r="N23" i="26"/>
  <c r="M23" i="26"/>
  <c r="Z22" i="26"/>
  <c r="N22" i="26" a="1"/>
  <c r="N22" i="26"/>
  <c r="M22" i="26"/>
  <c r="Z21" i="26"/>
  <c r="N21" i="26" a="1"/>
  <c r="N21" i="26"/>
  <c r="M21" i="26"/>
  <c r="Z20" i="26"/>
  <c r="Z19" i="26"/>
  <c r="Z18" i="26"/>
  <c r="Z17" i="26"/>
  <c r="E17" i="26"/>
  <c r="D17" i="26"/>
  <c r="C12" i="26"/>
  <c r="C11" i="26"/>
  <c r="C10" i="26"/>
  <c r="C9" i="26"/>
  <c r="C8" i="26"/>
  <c r="V47" i="40"/>
  <c r="W47" i="40"/>
  <c r="X47" i="40"/>
  <c r="Y47" i="40"/>
  <c r="Z47" i="40"/>
  <c r="AB47" i="40"/>
  <c r="AD47" i="40"/>
  <c r="V48" i="40"/>
  <c r="W48" i="40"/>
  <c r="X48" i="40"/>
  <c r="Y48" i="40"/>
  <c r="Z48" i="40"/>
  <c r="AB48" i="40"/>
  <c r="AD48" i="40"/>
  <c r="V49" i="40"/>
  <c r="W49" i="40"/>
  <c r="X49" i="40"/>
  <c r="Y49" i="40"/>
  <c r="Z49" i="40"/>
  <c r="AB49" i="40"/>
  <c r="AD49" i="40"/>
  <c r="T47" i="40"/>
  <c r="T48" i="40"/>
  <c r="T49" i="40"/>
  <c r="T50" i="40"/>
  <c r="V50" i="40"/>
  <c r="W50" i="40"/>
  <c r="X50" i="40"/>
  <c r="Y50" i="40"/>
  <c r="Z50" i="40"/>
  <c r="AB50" i="40"/>
  <c r="AD50" i="40"/>
  <c r="U47" i="40"/>
  <c r="H53" i="40"/>
  <c r="U48" i="40"/>
  <c r="H54" i="40"/>
  <c r="U49" i="40"/>
  <c r="H55" i="40"/>
  <c r="U50" i="40"/>
  <c r="H56" i="40"/>
  <c r="AD25" i="26"/>
  <c r="AG25" i="26"/>
  <c r="AH25" i="26"/>
  <c r="AD24" i="26"/>
  <c r="AG24" i="26"/>
  <c r="AH24" i="26"/>
  <c r="AD23" i="26"/>
  <c r="AG23" i="26"/>
  <c r="AH23" i="26"/>
  <c r="AD22" i="26"/>
  <c r="AG22" i="26"/>
  <c r="AH22" i="26"/>
  <c r="AD21" i="26"/>
  <c r="AG21" i="26"/>
  <c r="AH21" i="26"/>
  <c r="AD20" i="26"/>
  <c r="AG20" i="26"/>
  <c r="AH20" i="26"/>
  <c r="AD19" i="26"/>
  <c r="AG19" i="26"/>
  <c r="AH19" i="26"/>
  <c r="AD18" i="26"/>
  <c r="AG18" i="26"/>
  <c r="AH18" i="26"/>
  <c r="AD17" i="26"/>
  <c r="AG17" i="26"/>
  <c r="AH17" i="26"/>
  <c r="BK49" i="26" a="1"/>
  <c r="BK49" i="26"/>
  <c r="BJ49" i="26" a="1"/>
  <c r="BJ49" i="26"/>
  <c r="BI49" i="26" a="1"/>
  <c r="BI49" i="26"/>
  <c r="BD49" i="26" a="1"/>
  <c r="BD49" i="26"/>
  <c r="BC49" i="26" a="1"/>
  <c r="BC49" i="26"/>
  <c r="BB49" i="26" a="1"/>
  <c r="BB49" i="26"/>
  <c r="BA49" i="26" a="1"/>
  <c r="BA49" i="26"/>
  <c r="AV49" i="26" a="1"/>
  <c r="AV49" i="26"/>
  <c r="AU49" i="26" a="1"/>
  <c r="AU49" i="26"/>
  <c r="AT49" i="26" a="1"/>
  <c r="AT49" i="26"/>
  <c r="AS49" i="26" a="1"/>
  <c r="AS49" i="26"/>
  <c r="AN49" i="26" a="1"/>
  <c r="AN49" i="26"/>
  <c r="AM49" i="26" a="1"/>
  <c r="AM49" i="26"/>
  <c r="AL49" i="26" a="1"/>
  <c r="AL49" i="26"/>
  <c r="AK49" i="26" a="1"/>
  <c r="AK49" i="26"/>
  <c r="AF49" i="26" a="1"/>
  <c r="AF49" i="26"/>
  <c r="AE49" i="26" a="1"/>
  <c r="AE49" i="26"/>
  <c r="AD49" i="26" a="1"/>
  <c r="AD49" i="26"/>
  <c r="AC49" i="26" a="1"/>
  <c r="AC49" i="26"/>
  <c r="X49" i="26" a="1"/>
  <c r="X49" i="26"/>
  <c r="W49" i="26" a="1"/>
  <c r="W49" i="26"/>
  <c r="V49" i="26" a="1"/>
  <c r="V49" i="26"/>
  <c r="U49" i="26" a="1"/>
  <c r="U49" i="26"/>
  <c r="P49" i="26" a="1"/>
  <c r="P49" i="26"/>
  <c r="O49" i="26" a="1"/>
  <c r="O49" i="26"/>
  <c r="N49" i="26" a="1"/>
  <c r="N49" i="26"/>
  <c r="M49" i="26" a="1"/>
  <c r="M49" i="26"/>
  <c r="H49" i="26" a="1"/>
  <c r="H49" i="26"/>
  <c r="G49" i="26" a="1"/>
  <c r="G49" i="26"/>
  <c r="F49" i="26" a="1"/>
  <c r="F49" i="26"/>
  <c r="BL38" i="26" a="1"/>
  <c r="BL38" i="26"/>
  <c r="BK38" i="26" a="1"/>
  <c r="BK38" i="26"/>
  <c r="BJ38" i="26" a="1"/>
  <c r="BJ38" i="26"/>
  <c r="BI38" i="26" a="1"/>
  <c r="BI38" i="26"/>
  <c r="BD38" i="26" a="1"/>
  <c r="BD38" i="26"/>
  <c r="BC38" i="26" a="1"/>
  <c r="BC38" i="26"/>
  <c r="BB38" i="26" a="1"/>
  <c r="BB38" i="26"/>
  <c r="BA38" i="26" a="1"/>
  <c r="BA38" i="26"/>
  <c r="AV38" i="26" a="1"/>
  <c r="AV38" i="26"/>
  <c r="AU38" i="26" a="1"/>
  <c r="AU38" i="26"/>
  <c r="AT38" i="26" a="1"/>
  <c r="AT38" i="26"/>
  <c r="AS38" i="26" a="1"/>
  <c r="AS38" i="26"/>
  <c r="AN38" i="26" a="1"/>
  <c r="AN38" i="26"/>
  <c r="AM38" i="26" a="1"/>
  <c r="AM38" i="26"/>
  <c r="AL38" i="26" a="1"/>
  <c r="AL38" i="26"/>
  <c r="AK38" i="26" a="1"/>
  <c r="AK38" i="26"/>
  <c r="AF38" i="26" a="1"/>
  <c r="AF38" i="26"/>
  <c r="AE38" i="26" a="1"/>
  <c r="AE38" i="26"/>
  <c r="AD38" i="26" a="1"/>
  <c r="AD38" i="26"/>
  <c r="AC38" i="26" a="1"/>
  <c r="AC38" i="26"/>
  <c r="X38" i="26" a="1"/>
  <c r="X38" i="26"/>
  <c r="W38" i="26" a="1"/>
  <c r="W38" i="26"/>
  <c r="V38" i="26" a="1"/>
  <c r="V38" i="26"/>
  <c r="U38" i="26" a="1"/>
  <c r="U38" i="26"/>
  <c r="P38" i="26" a="1"/>
  <c r="P38" i="26"/>
  <c r="O38" i="26" a="1"/>
  <c r="O38" i="26"/>
  <c r="N38" i="26" a="1"/>
  <c r="N38" i="26"/>
  <c r="M38" i="26" a="1"/>
  <c r="M38" i="26"/>
  <c r="H38" i="26" a="1"/>
  <c r="H38" i="26"/>
  <c r="G38" i="26" a="1"/>
  <c r="G38" i="26"/>
  <c r="F38" i="26" a="1"/>
  <c r="F38" i="26"/>
  <c r="BK48" i="26" a="1"/>
  <c r="BK48" i="26"/>
  <c r="BJ48" i="26" a="1"/>
  <c r="BJ48" i="26"/>
  <c r="BI48" i="26" a="1"/>
  <c r="BI48" i="26"/>
  <c r="BD48" i="26" a="1"/>
  <c r="BD48" i="26"/>
  <c r="BC48" i="26" a="1"/>
  <c r="BC48" i="26"/>
  <c r="BB48" i="26" a="1"/>
  <c r="BB48" i="26"/>
  <c r="BA48" i="26" a="1"/>
  <c r="BA48" i="26"/>
  <c r="AV48" i="26" a="1"/>
  <c r="AV48" i="26"/>
  <c r="AU48" i="26" a="1"/>
  <c r="AU48" i="26"/>
  <c r="AT48" i="26" a="1"/>
  <c r="AT48" i="26"/>
  <c r="AS48" i="26" a="1"/>
  <c r="AS48" i="26"/>
  <c r="AN48" i="26" a="1"/>
  <c r="AN48" i="26"/>
  <c r="AM48" i="26" a="1"/>
  <c r="AM48" i="26"/>
  <c r="AL48" i="26" a="1"/>
  <c r="AL48" i="26"/>
  <c r="AK48" i="26" a="1"/>
  <c r="AK48" i="26"/>
  <c r="AF48" i="26" a="1"/>
  <c r="AF48" i="26"/>
  <c r="AE48" i="26" a="1"/>
  <c r="AE48" i="26"/>
  <c r="AD48" i="26" a="1"/>
  <c r="AD48" i="26"/>
  <c r="AC48" i="26" a="1"/>
  <c r="AC48" i="26"/>
  <c r="X48" i="26" a="1"/>
  <c r="X48" i="26"/>
  <c r="W48" i="26" a="1"/>
  <c r="W48" i="26"/>
  <c r="V48" i="26" a="1"/>
  <c r="V48" i="26"/>
  <c r="U48" i="26" a="1"/>
  <c r="U48" i="26"/>
  <c r="P48" i="26" a="1"/>
  <c r="P48" i="26"/>
  <c r="O48" i="26" a="1"/>
  <c r="O48" i="26"/>
  <c r="N48" i="26" a="1"/>
  <c r="N48" i="26"/>
  <c r="M48" i="26" a="1"/>
  <c r="M48" i="26"/>
  <c r="H48" i="26" a="1"/>
  <c r="H48" i="26"/>
  <c r="G48" i="26" a="1"/>
  <c r="G48" i="26"/>
  <c r="F48" i="26" a="1"/>
  <c r="F48" i="26"/>
  <c r="BL37" i="26" a="1"/>
  <c r="BL37" i="26"/>
  <c r="BK37" i="26" a="1"/>
  <c r="BK37" i="26"/>
  <c r="BJ37" i="26" a="1"/>
  <c r="BJ37" i="26"/>
  <c r="BI37" i="26" a="1"/>
  <c r="BI37" i="26"/>
  <c r="BD37" i="26" a="1"/>
  <c r="BD37" i="26"/>
  <c r="BC37" i="26" a="1"/>
  <c r="BC37" i="26"/>
  <c r="BB37" i="26" a="1"/>
  <c r="BB37" i="26"/>
  <c r="BA37" i="26" a="1"/>
  <c r="BA37" i="26"/>
  <c r="AV37" i="26" a="1"/>
  <c r="AV37" i="26"/>
  <c r="AU37" i="26" a="1"/>
  <c r="AU37" i="26"/>
  <c r="AT37" i="26" a="1"/>
  <c r="AT37" i="26"/>
  <c r="AS37" i="26" a="1"/>
  <c r="AS37" i="26"/>
  <c r="AN37" i="26" a="1"/>
  <c r="AN37" i="26"/>
  <c r="AM37" i="26" a="1"/>
  <c r="AM37" i="26"/>
  <c r="AL37" i="26" a="1"/>
  <c r="AL37" i="26"/>
  <c r="AK37" i="26" a="1"/>
  <c r="AK37" i="26"/>
  <c r="AF37" i="26" a="1"/>
  <c r="AF37" i="26"/>
  <c r="AE37" i="26" a="1"/>
  <c r="AE37" i="26"/>
  <c r="AD37" i="26" a="1"/>
  <c r="AD37" i="26"/>
  <c r="AC37" i="26" a="1"/>
  <c r="AC37" i="26"/>
  <c r="X37" i="26" a="1"/>
  <c r="X37" i="26"/>
  <c r="W37" i="26" a="1"/>
  <c r="W37" i="26"/>
  <c r="V37" i="26" a="1"/>
  <c r="V37" i="26"/>
  <c r="U37" i="26" a="1"/>
  <c r="U37" i="26"/>
  <c r="P37" i="26" a="1"/>
  <c r="P37" i="26"/>
  <c r="O37" i="26" a="1"/>
  <c r="O37" i="26"/>
  <c r="N37" i="26" a="1"/>
  <c r="N37" i="26"/>
  <c r="M37" i="26" a="1"/>
  <c r="M37" i="26"/>
  <c r="H37" i="26" a="1"/>
  <c r="H37" i="26"/>
  <c r="G37" i="26" a="1"/>
  <c r="G37" i="26"/>
  <c r="F37" i="26" a="1"/>
  <c r="F37" i="26"/>
  <c r="BK47" i="26" a="1"/>
  <c r="BK47" i="26"/>
  <c r="BJ47" i="26" a="1"/>
  <c r="BJ47" i="26"/>
  <c r="BI47" i="26" a="1"/>
  <c r="BI47" i="26"/>
  <c r="BD47" i="26" a="1"/>
  <c r="BD47" i="26"/>
  <c r="BC47" i="26" a="1"/>
  <c r="BC47" i="26"/>
  <c r="BB47" i="26" a="1"/>
  <c r="BB47" i="26"/>
  <c r="BA47" i="26" a="1"/>
  <c r="BA47" i="26"/>
  <c r="AV47" i="26" a="1"/>
  <c r="AV47" i="26"/>
  <c r="AU47" i="26" a="1"/>
  <c r="AU47" i="26"/>
  <c r="AT47" i="26" a="1"/>
  <c r="AT47" i="26"/>
  <c r="AS47" i="26" a="1"/>
  <c r="AS47" i="26"/>
  <c r="AN47" i="26" a="1"/>
  <c r="AN47" i="26"/>
  <c r="AM47" i="26" a="1"/>
  <c r="AM47" i="26"/>
  <c r="AL47" i="26" a="1"/>
  <c r="AL47" i="26"/>
  <c r="AK47" i="26" a="1"/>
  <c r="AK47" i="26"/>
  <c r="AF47" i="26" a="1"/>
  <c r="AF47" i="26"/>
  <c r="AE47" i="26" a="1"/>
  <c r="AE47" i="26"/>
  <c r="AD47" i="26" a="1"/>
  <c r="AD47" i="26"/>
  <c r="AC47" i="26" a="1"/>
  <c r="AC47" i="26"/>
  <c r="X47" i="26" a="1"/>
  <c r="X47" i="26"/>
  <c r="W47" i="26" a="1"/>
  <c r="W47" i="26"/>
  <c r="V47" i="26" a="1"/>
  <c r="V47" i="26"/>
  <c r="U47" i="26" a="1"/>
  <c r="U47" i="26"/>
  <c r="P47" i="26" a="1"/>
  <c r="P47" i="26"/>
  <c r="O47" i="26" a="1"/>
  <c r="O47" i="26"/>
  <c r="N47" i="26" a="1"/>
  <c r="N47" i="26"/>
  <c r="M47" i="26" a="1"/>
  <c r="M47" i="26"/>
  <c r="H47" i="26" a="1"/>
  <c r="H47" i="26"/>
  <c r="G47" i="26" a="1"/>
  <c r="G47" i="26"/>
  <c r="F47" i="26" a="1"/>
  <c r="F47" i="26"/>
  <c r="BL36" i="26" a="1"/>
  <c r="BL36" i="26"/>
  <c r="BK36" i="26" a="1"/>
  <c r="BK36" i="26"/>
  <c r="BJ36" i="26" a="1"/>
  <c r="BJ36" i="26"/>
  <c r="BI36" i="26" a="1"/>
  <c r="BI36" i="26"/>
  <c r="BD36" i="26" a="1"/>
  <c r="BD36" i="26"/>
  <c r="BC36" i="26" a="1"/>
  <c r="BC36" i="26"/>
  <c r="BB36" i="26" a="1"/>
  <c r="BB36" i="26"/>
  <c r="BA36" i="26" a="1"/>
  <c r="BA36" i="26"/>
  <c r="AV36" i="26" a="1"/>
  <c r="AV36" i="26"/>
  <c r="AU36" i="26" a="1"/>
  <c r="AU36" i="26"/>
  <c r="AT36" i="26" a="1"/>
  <c r="AT36" i="26"/>
  <c r="AS36" i="26" a="1"/>
  <c r="AS36" i="26"/>
  <c r="AN36" i="26" a="1"/>
  <c r="AN36" i="26"/>
  <c r="AM36" i="26" a="1"/>
  <c r="AM36" i="26"/>
  <c r="AL36" i="26" a="1"/>
  <c r="AL36" i="26"/>
  <c r="AK36" i="26" a="1"/>
  <c r="AK36" i="26"/>
  <c r="AF36" i="26" a="1"/>
  <c r="AF36" i="26"/>
  <c r="AE36" i="26" a="1"/>
  <c r="AE36" i="26"/>
  <c r="AD36" i="26" a="1"/>
  <c r="AD36" i="26"/>
  <c r="AC36" i="26" a="1"/>
  <c r="AC36" i="26"/>
  <c r="X36" i="26" a="1"/>
  <c r="X36" i="26"/>
  <c r="W36" i="26" a="1"/>
  <c r="W36" i="26"/>
  <c r="V36" i="26" a="1"/>
  <c r="V36" i="26"/>
  <c r="U36" i="26" a="1"/>
  <c r="U36" i="26"/>
  <c r="P36" i="26" a="1"/>
  <c r="P36" i="26"/>
  <c r="O36" i="26" a="1"/>
  <c r="O36" i="26"/>
  <c r="N36" i="26" a="1"/>
  <c r="N36" i="26"/>
  <c r="M36" i="26" a="1"/>
  <c r="M36" i="26"/>
  <c r="H36" i="26" a="1"/>
  <c r="H36" i="26"/>
  <c r="G36" i="26" a="1"/>
  <c r="G36" i="26"/>
  <c r="F36" i="26" a="1"/>
  <c r="F36" i="26"/>
  <c r="BK46" i="26" a="1"/>
  <c r="BK46" i="26"/>
  <c r="BJ46" i="26" a="1"/>
  <c r="BJ46" i="26"/>
  <c r="BI46" i="26" a="1"/>
  <c r="BI46" i="26"/>
  <c r="BD46" i="26" a="1"/>
  <c r="BD46" i="26"/>
  <c r="BC46" i="26" a="1"/>
  <c r="BC46" i="26"/>
  <c r="BB46" i="26" a="1"/>
  <c r="BB46" i="26"/>
  <c r="BA46" i="26" a="1"/>
  <c r="BA46" i="26"/>
  <c r="AV46" i="26" a="1"/>
  <c r="AV46" i="26"/>
  <c r="AU46" i="26" a="1"/>
  <c r="AU46" i="26"/>
  <c r="AT46" i="26" a="1"/>
  <c r="AT46" i="26"/>
  <c r="AS46" i="26" a="1"/>
  <c r="AS46" i="26"/>
  <c r="AN46" i="26" a="1"/>
  <c r="AN46" i="26"/>
  <c r="AM46" i="26" a="1"/>
  <c r="AM46" i="26"/>
  <c r="AL46" i="26" a="1"/>
  <c r="AL46" i="26"/>
  <c r="AK46" i="26" a="1"/>
  <c r="AK46" i="26"/>
  <c r="AF46" i="26" a="1"/>
  <c r="AF46" i="26"/>
  <c r="AE46" i="26" a="1"/>
  <c r="AE46" i="26"/>
  <c r="AD46" i="26" a="1"/>
  <c r="AD46" i="26"/>
  <c r="AC46" i="26" a="1"/>
  <c r="AC46" i="26"/>
  <c r="X46" i="26" a="1"/>
  <c r="X46" i="26"/>
  <c r="W46" i="26" a="1"/>
  <c r="W46" i="26"/>
  <c r="V46" i="26" a="1"/>
  <c r="V46" i="26"/>
  <c r="U46" i="26" a="1"/>
  <c r="U46" i="26"/>
  <c r="P46" i="26" a="1"/>
  <c r="P46" i="26"/>
  <c r="O46" i="26" a="1"/>
  <c r="O46" i="26"/>
  <c r="N46" i="26" a="1"/>
  <c r="N46" i="26"/>
  <c r="M46" i="26" a="1"/>
  <c r="M46" i="26"/>
  <c r="H46" i="26" a="1"/>
  <c r="H46" i="26"/>
  <c r="G46" i="26" a="1"/>
  <c r="G46" i="26"/>
  <c r="F46" i="26" a="1"/>
  <c r="F46" i="26"/>
  <c r="BL35" i="26" a="1"/>
  <c r="BL35" i="26"/>
  <c r="BK35" i="26" a="1"/>
  <c r="BK35" i="26"/>
  <c r="BJ35" i="26" a="1"/>
  <c r="BJ35" i="26"/>
  <c r="BI35" i="26" a="1"/>
  <c r="BI35" i="26"/>
  <c r="BD35" i="26" a="1"/>
  <c r="BD35" i="26"/>
  <c r="BC35" i="26" a="1"/>
  <c r="BC35" i="26"/>
  <c r="BB35" i="26" a="1"/>
  <c r="BB35" i="26"/>
  <c r="BA35" i="26" a="1"/>
  <c r="BA35" i="26"/>
  <c r="AV35" i="26" a="1"/>
  <c r="AV35" i="26"/>
  <c r="AU35" i="26" a="1"/>
  <c r="AU35" i="26"/>
  <c r="AT35" i="26" a="1"/>
  <c r="AT35" i="26"/>
  <c r="AS35" i="26" a="1"/>
  <c r="AS35" i="26"/>
  <c r="AN35" i="26" a="1"/>
  <c r="AN35" i="26"/>
  <c r="AM35" i="26" a="1"/>
  <c r="AM35" i="26"/>
  <c r="AL35" i="26" a="1"/>
  <c r="AL35" i="26"/>
  <c r="AK35" i="26" a="1"/>
  <c r="AK35" i="26"/>
  <c r="AF35" i="26" a="1"/>
  <c r="AF35" i="26"/>
  <c r="AE35" i="26" a="1"/>
  <c r="AE35" i="26"/>
  <c r="AD35" i="26" a="1"/>
  <c r="AD35" i="26"/>
  <c r="AC35" i="26" a="1"/>
  <c r="AC35" i="26"/>
  <c r="X35" i="26" a="1"/>
  <c r="X35" i="26"/>
  <c r="W35" i="26" a="1"/>
  <c r="W35" i="26"/>
  <c r="V35" i="26" a="1"/>
  <c r="V35" i="26"/>
  <c r="U35" i="26" a="1"/>
  <c r="U35" i="26"/>
  <c r="P35" i="26" a="1"/>
  <c r="P35" i="26"/>
  <c r="O35" i="26" a="1"/>
  <c r="O35" i="26"/>
  <c r="N35" i="26" a="1"/>
  <c r="N35" i="26"/>
  <c r="M35" i="26" a="1"/>
  <c r="M35" i="26"/>
  <c r="H35" i="26" a="1"/>
  <c r="H35" i="26"/>
  <c r="G35" i="26" a="1"/>
  <c r="G35" i="26"/>
  <c r="F35" i="26" a="1"/>
  <c r="F35" i="26"/>
  <c r="BK45" i="26" a="1"/>
  <c r="BK45" i="26"/>
  <c r="BJ45" i="26" a="1"/>
  <c r="BJ45" i="26"/>
  <c r="BI45" i="26" a="1"/>
  <c r="BI45" i="26"/>
  <c r="BD45" i="26" a="1"/>
  <c r="BD45" i="26"/>
  <c r="BC45" i="26" a="1"/>
  <c r="BC45" i="26"/>
  <c r="BB45" i="26" a="1"/>
  <c r="BB45" i="26"/>
  <c r="BA45" i="26" a="1"/>
  <c r="BA45" i="26"/>
  <c r="AV45" i="26" a="1"/>
  <c r="AV45" i="26"/>
  <c r="AU45" i="26" a="1"/>
  <c r="AU45" i="26"/>
  <c r="AT45" i="26" a="1"/>
  <c r="AT45" i="26"/>
  <c r="AS45" i="26" a="1"/>
  <c r="AS45" i="26"/>
  <c r="AN45" i="26" a="1"/>
  <c r="AN45" i="26"/>
  <c r="AM45" i="26" a="1"/>
  <c r="AM45" i="26"/>
  <c r="AL45" i="26" a="1"/>
  <c r="AL45" i="26"/>
  <c r="AK45" i="26" a="1"/>
  <c r="AK45" i="26"/>
  <c r="AF45" i="26" a="1"/>
  <c r="AF45" i="26"/>
  <c r="AE45" i="26" a="1"/>
  <c r="AE45" i="26"/>
  <c r="AD45" i="26" a="1"/>
  <c r="AD45" i="26"/>
  <c r="AC45" i="26" a="1"/>
  <c r="AC45" i="26"/>
  <c r="X45" i="26" a="1"/>
  <c r="X45" i="26"/>
  <c r="W45" i="26" a="1"/>
  <c r="W45" i="26"/>
  <c r="V45" i="26" a="1"/>
  <c r="V45" i="26"/>
  <c r="U45" i="26" a="1"/>
  <c r="U45" i="26"/>
  <c r="P45" i="26" a="1"/>
  <c r="P45" i="26"/>
  <c r="O45" i="26" a="1"/>
  <c r="O45" i="26"/>
  <c r="N45" i="26" a="1"/>
  <c r="N45" i="26"/>
  <c r="M45" i="26" a="1"/>
  <c r="M45" i="26"/>
  <c r="H45" i="26" a="1"/>
  <c r="H45" i="26"/>
  <c r="G45" i="26" a="1"/>
  <c r="G45" i="26"/>
  <c r="F45" i="26" a="1"/>
  <c r="F45" i="26"/>
  <c r="BL34" i="26" a="1"/>
  <c r="BL34" i="26"/>
  <c r="BK34" i="26" a="1"/>
  <c r="BK34" i="26"/>
  <c r="BJ34" i="26" a="1"/>
  <c r="BJ34" i="26"/>
  <c r="BI34" i="26" a="1"/>
  <c r="BI34" i="26"/>
  <c r="BD34" i="26" a="1"/>
  <c r="BD34" i="26"/>
  <c r="BC34" i="26" a="1"/>
  <c r="BC34" i="26"/>
  <c r="BB34" i="26" a="1"/>
  <c r="BB34" i="26"/>
  <c r="BA34" i="26" a="1"/>
  <c r="BA34" i="26"/>
  <c r="AV34" i="26" a="1"/>
  <c r="AV34" i="26"/>
  <c r="AU34" i="26" a="1"/>
  <c r="AU34" i="26"/>
  <c r="AT34" i="26" a="1"/>
  <c r="AT34" i="26"/>
  <c r="AS34" i="26" a="1"/>
  <c r="AS34" i="26"/>
  <c r="AN34" i="26" a="1"/>
  <c r="AN34" i="26"/>
  <c r="AM34" i="26" a="1"/>
  <c r="AM34" i="26"/>
  <c r="AL34" i="26" a="1"/>
  <c r="AL34" i="26"/>
  <c r="AK34" i="26" a="1"/>
  <c r="AK34" i="26"/>
  <c r="AF34" i="26" a="1"/>
  <c r="AF34" i="26"/>
  <c r="AE34" i="26" a="1"/>
  <c r="AE34" i="26"/>
  <c r="AD34" i="26" a="1"/>
  <c r="AD34" i="26"/>
  <c r="AC34" i="26" a="1"/>
  <c r="AC34" i="26"/>
  <c r="X34" i="26" a="1"/>
  <c r="X34" i="26"/>
  <c r="W34" i="26" a="1"/>
  <c r="W34" i="26"/>
  <c r="V34" i="26" a="1"/>
  <c r="V34" i="26"/>
  <c r="U34" i="26" a="1"/>
  <c r="U34" i="26"/>
  <c r="P34" i="26" a="1"/>
  <c r="P34" i="26"/>
  <c r="O34" i="26" a="1"/>
  <c r="O34" i="26"/>
  <c r="N34" i="26" a="1"/>
  <c r="N34" i="26"/>
  <c r="M34" i="26" a="1"/>
  <c r="M34" i="26"/>
  <c r="H34" i="26" a="1"/>
  <c r="H34" i="26"/>
  <c r="G34" i="26" a="1"/>
  <c r="G34" i="26"/>
  <c r="F34" i="26" a="1"/>
  <c r="F34" i="26"/>
  <c r="E49" i="26" a="1"/>
  <c r="E49" i="26"/>
  <c r="E38" i="26" a="1"/>
  <c r="E38" i="26"/>
  <c r="E48" i="26" a="1"/>
  <c r="E48" i="26"/>
  <c r="E37" i="26" a="1"/>
  <c r="E37" i="26"/>
  <c r="E47" i="26" a="1"/>
  <c r="E47" i="26"/>
  <c r="E36" i="26" a="1"/>
  <c r="E36" i="26"/>
  <c r="E46" i="26" a="1"/>
  <c r="E46" i="26"/>
  <c r="E35" i="26" a="1"/>
  <c r="E35" i="26"/>
  <c r="E45" i="26" a="1"/>
  <c r="E45" i="26"/>
  <c r="E34" i="26" a="1"/>
  <c r="E34" i="26"/>
  <c r="AC47" i="40"/>
  <c r="E20" i="26"/>
  <c r="E19" i="26"/>
  <c r="E18" i="26"/>
  <c r="D18" i="26"/>
  <c r="D19" i="26"/>
  <c r="D20" i="26"/>
</calcChain>
</file>

<file path=xl/sharedStrings.xml><?xml version="1.0" encoding="utf-8"?>
<sst xmlns="http://schemas.openxmlformats.org/spreadsheetml/2006/main" count="2423" uniqueCount="429">
  <si>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</si>
  <si>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</si>
  <si>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</si>
  <si>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</si>
  <si>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</si>
  <si>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</si>
  <si>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</si>
  <si>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</si>
  <si>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</si>
  <si>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</si>
  <si>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</si>
  <si>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</si>
  <si>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</si>
  <si>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</si>
  <si>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</si>
  <si>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</si>
  <si>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</si>
  <si>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</si>
  <si>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</si>
  <si>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</si>
  <si>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</si>
  <si>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</si>
  <si>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</si>
  <si>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</si>
  <si>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</si>
  <si>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</si>
  <si>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</si>
  <si>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</si>
  <si>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</si>
  <si>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</si>
  <si>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</si>
  <si>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</si>
  <si>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</si>
  <si>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</si>
  <si>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</si>
  <si>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</si>
  <si>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</si>
  <si>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</si>
  <si>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</si>
  <si>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</si>
  <si>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</si>
  <si>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</si>
  <si>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</si>
  <si>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</si>
  <si>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</si>
  <si>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</si>
  <si>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</si>
  <si>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</si>
  <si>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</si>
  <si>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</si>
  <si>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</si>
  <si>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</si>
  <si>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</si>
  <si>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</si>
  <si>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</si>
  <si>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</si>
  <si>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</si>
  <si>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</si>
  <si>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</si>
  <si>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</si>
  <si>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</si>
  <si>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</si>
  <si>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</si>
  <si>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</si>
  <si>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</si>
  <si>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</si>
  <si>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</si>
  <si>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</si>
  <si>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</si>
  <si>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</si>
  <si>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</si>
  <si>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</si>
  <si>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</si>
  <si>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</si>
  <si>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</si>
  <si>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</si>
  <si>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</si>
  <si>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</si>
  <si>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</si>
  <si>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</si>
  <si>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</si>
  <si>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</si>
  <si>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</si>
  <si>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</si>
  <si>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</si>
  <si>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</si>
  <si>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</si>
  <si>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</si>
  <si>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</si>
  <si>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</si>
  <si>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</si>
  <si>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</si>
  <si>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</si>
  <si>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</si>
  <si>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</si>
  <si>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</si>
  <si>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</si>
  <si>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</si>
  <si>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</si>
  <si>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</si>
  <si>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</si>
  <si>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</si>
  <si>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</si>
  <si>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</si>
  <si>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</si>
  <si>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</si>
  <si>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</si>
  <si>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</si>
  <si>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</si>
  <si>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</si>
  <si>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</si>
  <si>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</si>
  <si>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</si>
  <si>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</si>
  <si>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</si>
  <si>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</si>
  <si>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</si>
  <si>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</si>
  <si>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</si>
  <si>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</si>
  <si>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</si>
  <si>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</si>
  <si>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</si>
  <si>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</si>
  <si>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</si>
  <si>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</si>
  <si>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</si>
  <si>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</si>
  <si>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</si>
  <si>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</si>
  <si>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</si>
  <si>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</si>
  <si>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</si>
  <si>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</si>
  <si>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</si>
  <si>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</si>
  <si>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</si>
  <si>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</si>
  <si>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</si>
  <si>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</si>
  <si>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</si>
  <si>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</si>
  <si>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</si>
  <si>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</si>
  <si>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</si>
  <si>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</si>
  <si>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</si>
  <si>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</si>
  <si>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</si>
  <si>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</si>
  <si>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</si>
  <si>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</si>
  <si>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</si>
  <si>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</si>
  <si>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</si>
  <si>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</si>
  <si>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</si>
  <si>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</si>
  <si>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</si>
  <si>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</si>
  <si>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</si>
  <si>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</si>
  <si>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</si>
  <si>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</si>
  <si>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</si>
  <si>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</si>
  <si>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</si>
  <si>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</si>
  <si>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</si>
  <si>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</si>
  <si>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</si>
  <si>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</si>
  <si>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</si>
  <si>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</si>
  <si>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</si>
  <si>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</si>
  <si>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</si>
  <si>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</si>
  <si>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</si>
  <si>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</si>
  <si>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</si>
  <si>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</si>
  <si>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</si>
  <si>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</si>
  <si>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</si>
  <si>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</si>
  <si>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</si>
  <si>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</si>
  <si>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</si>
  <si>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</si>
  <si>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</si>
  <si>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</si>
  <si>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</si>
  <si>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</si>
  <si>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</si>
  <si>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</si>
  <si>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</si>
  <si>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</si>
  <si>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</si>
  <si>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</si>
  <si>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</si>
  <si>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</si>
  <si>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</si>
  <si>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</si>
  <si>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</si>
  <si>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</si>
  <si>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</si>
  <si>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</si>
  <si>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</si>
  <si>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</si>
  <si>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</si>
  <si>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</si>
  <si>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Start:</t>
  </si>
  <si>
    <t>Beginn:</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</si>
  <si>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</si>
  <si>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</si>
  <si>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</si>
  <si>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</si>
  <si>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</si>
  <si>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</si>
  <si>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</si>
  <si>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</si>
  <si>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</si>
  <si>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</si>
  <si>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</si>
  <si>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</si>
  <si>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</si>
  <si>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</si>
  <si>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</si>
  <si>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</si>
  <si>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</si>
  <si>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</si>
  <si>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</si>
  <si>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</si>
  <si>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</si>
  <si>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</si>
  <si>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</si>
  <si>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</si>
  <si>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</si>
  <si>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</si>
  <si>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</si>
  <si>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</si>
  <si>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</si>
  <si>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</si>
  <si>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</si>
  <si>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</si>
  <si>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</si>
  <si>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</si>
  <si>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</si>
  <si>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</si>
  <si>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</si>
  <si>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</si>
  <si>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</si>
  <si>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</si>
  <si>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</si>
  <si>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</si>
  <si>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</si>
  <si>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</si>
  <si>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</si>
  <si>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</si>
  <si>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</si>
  <si>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</si>
  <si>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</si>
  <si>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</si>
  <si>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</si>
  <si>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</si>
  <si>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</si>
  <si>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</si>
  <si>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</si>
  <si>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</si>
  <si>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</si>
  <si>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</si>
  <si>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</si>
  <si>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</si>
  <si>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</si>
  <si>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</si>
  <si>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</si>
  <si>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</si>
  <si>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</si>
  <si>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</si>
  <si>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</si>
  <si>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</si>
  <si>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</si>
  <si>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</si>
  <si>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</si>
  <si>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</si>
  <si>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</si>
  <si>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</si>
  <si>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</si>
  <si>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</si>
  <si>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</si>
  <si>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</si>
  <si>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</si>
  <si>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</si>
  <si>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</si>
  <si>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</si>
  <si>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</si>
  <si>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</si>
  <si>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</si>
  <si>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</si>
  <si>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</si>
  <si>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</si>
  <si>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</si>
  <si>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</si>
  <si>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</si>
  <si>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</si>
  <si>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</si>
  <si>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</si>
  <si>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</si>
  <si>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</si>
  <si>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</si>
  <si>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</si>
  <si>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</si>
  <si>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</si>
  <si>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</si>
  <si>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</si>
  <si>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</si>
  <si>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</si>
  <si>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</si>
  <si>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</si>
  <si>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</si>
  <si>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</si>
  <si>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</si>
  <si>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</si>
  <si>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</si>
  <si>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</si>
  <si>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</si>
  <si>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</si>
  <si>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</si>
  <si>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</si>
  <si>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</si>
  <si>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</si>
  <si>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</si>
  <si>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</si>
  <si>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</si>
  <si>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</si>
  <si>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</si>
  <si>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</si>
  <si>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</si>
  <si>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</si>
  <si>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</si>
  <si>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</si>
  <si>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</si>
  <si>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</si>
  <si>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</si>
  <si>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</si>
  <si>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</si>
  <si>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</si>
  <si>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</si>
  <si>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</si>
  <si>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</si>
  <si>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</si>
  <si>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</si>
  <si>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</si>
  <si>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</si>
  <si>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</si>
  <si>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</si>
  <si>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</si>
  <si>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</si>
  <si>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</si>
  <si>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</si>
  <si>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</si>
  <si>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</si>
  <si>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</si>
  <si>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</si>
  <si>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</si>
  <si>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</si>
  <si>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</si>
  <si>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erz. Pkte.</t>
  </si>
  <si>
    <t>PF</t>
  </si>
  <si>
    <t>Sätze</t>
  </si>
  <si>
    <t>sets</t>
  </si>
  <si>
    <t>1. Satz</t>
  </si>
  <si>
    <t>2. Satz</t>
  </si>
  <si>
    <t>1st set</t>
  </si>
  <si>
    <t>2nd set</t>
  </si>
  <si>
    <t>W (sets)</t>
  </si>
  <si>
    <t>Bälle</t>
  </si>
  <si>
    <t>balls</t>
  </si>
  <si>
    <t>Sets won</t>
  </si>
  <si>
    <t>result</t>
  </si>
  <si>
    <t>3. Satz</t>
  </si>
  <si>
    <t>3rd set</t>
  </si>
  <si>
    <t>Sieger</t>
  </si>
  <si>
    <t>Winner</t>
  </si>
  <si>
    <t>invalid 1</t>
  </si>
  <si>
    <t>invalid 2</t>
  </si>
  <si>
    <t>invalid 3</t>
  </si>
  <si>
    <t>Won sets</t>
  </si>
  <si>
    <t>Pts+ GD</t>
  </si>
  <si>
    <t>Tie-Break</t>
  </si>
  <si>
    <t>Tie break</t>
  </si>
  <si>
    <t>Rote Schrift bedeutet, dass die Rangfolge auch mit dem direkten Vergleich nicht geklärt ist. Ein Entscheidungsspiel oder Los muss hier entscheiden.</t>
  </si>
  <si>
    <t>Red font means that the ranking is not clear even with the direct comparison. A playoff match or drawing of lots must decide here.</t>
  </si>
  <si>
    <t>Tie break prel. round</t>
  </si>
  <si>
    <t>Tie Break Endrunde 4</t>
  </si>
  <si>
    <t>Tie break final round 4</t>
  </si>
  <si>
    <t>Team IDs</t>
  </si>
  <si>
    <t>Team-Kürzel</t>
  </si>
  <si>
    <t>e.g.  A2 - A4</t>
  </si>
  <si>
    <t>z.B.  A2 - A4</t>
  </si>
  <si>
    <t>Quot.</t>
  </si>
  <si>
    <t>Ball difference or ball quotient</t>
  </si>
  <si>
    <t>Balldifferenz oder Ballquotient</t>
  </si>
  <si>
    <t>Ball difference</t>
  </si>
  <si>
    <t>Balldifferenz</t>
  </si>
  <si>
    <t>Ball quotient</t>
  </si>
  <si>
    <t>Ballquotient</t>
  </si>
  <si>
    <t>max quot.</t>
  </si>
  <si>
    <t>Diff./Quot.</t>
  </si>
  <si>
    <t>Nr of dec places</t>
  </si>
  <si>
    <t>Ballpunkte</t>
  </si>
  <si>
    <t>Satzpunkte</t>
  </si>
  <si>
    <t>Set points</t>
  </si>
  <si>
    <t>Ball points</t>
  </si>
  <si>
    <t>Ball/Set points</t>
  </si>
  <si>
    <t>Anzeige in den Kreuztabellen der Vorrunde:</t>
  </si>
  <si>
    <t>Display in the crosstabs of the preliminary round:</t>
  </si>
  <si>
    <t>winner</t>
  </si>
  <si>
    <t>looser</t>
  </si>
  <si>
    <t>3rd set?</t>
  </si>
  <si>
    <t>valid 1 + 2</t>
  </si>
  <si>
    <t>valid 3</t>
  </si>
  <si>
    <t>Diff/Quot</t>
  </si>
  <si>
    <t>Sets lost</t>
  </si>
  <si>
    <t>Schiedsrichter</t>
  </si>
  <si>
    <t>Referee</t>
  </si>
  <si>
    <t>Version  1.3
13.04.2025</t>
  </si>
  <si>
    <t>Internationales U10-Turnier am 13.04.2025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</si>
</sst>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3"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30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right style="thin">
        <color theme="2" tint="-0.24994659260841701"/>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right style="thin">
        <color theme="2" tint="-0.499984740745262"/>
      </right>
      <top style="thick">
        <color theme="2" tint="-0.499984740745262"/>
      </top>
      <bottom style="thin">
        <color theme="2" tint="-0.24994659260841701"/>
      </bottom>
      <diagonal/>
    </border>
    <border>
      <left/>
      <right style="thin">
        <color theme="2" tint="-0.499984740745262"/>
      </right>
      <top style="thin">
        <color theme="2" tint="-0.24994659260841701"/>
      </top>
      <bottom style="thick">
        <color theme="2" tint="-0.499984740745262"/>
      </bottom>
      <diagonal/>
    </border>
    <border>
      <left/>
      <right style="thin">
        <color theme="2" tint="-0.499984740745262"/>
      </right>
      <top style="thick">
        <color theme="2" tint="-0.499984740745262"/>
      </top>
      <bottom style="thick">
        <color theme="2" tint="-0.499984740745262"/>
      </bottom>
      <diagonal/>
    </border>
    <border>
      <left style="thin">
        <color theme="2" tint="-0.499984740745262"/>
      </left>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thin">
        <color theme="2" tint="-0.499984740745262"/>
      </right>
      <top style="thin">
        <color theme="2" tint="-0.499984740745262"/>
      </top>
      <bottom style="thin">
        <color theme="2" tint="-0.24994659260841701"/>
      </bottom>
      <diagonal/>
    </border>
    <border>
      <left/>
      <right style="thin">
        <color theme="2" tint="-0.499984740745262"/>
      </right>
      <top style="thin">
        <color theme="2" tint="-0.24994659260841701"/>
      </top>
      <bottom style="thin">
        <color theme="2" tint="-0.24994659260841701"/>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right style="medium">
        <color theme="2" tint="-0.499984740745262"/>
      </right>
      <top style="thin">
        <color theme="2" tint="-0.24994659260841701"/>
      </top>
      <bottom/>
      <diagonal/>
    </border>
    <border>
      <left style="thick">
        <color theme="2" tint="-0.499984740745262"/>
      </left>
      <right style="medium">
        <color theme="2" tint="-0.499984740745262"/>
      </right>
      <top/>
      <bottom style="thin">
        <color theme="2" tint="-0.24994659260841701"/>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thin">
        <color theme="2" tint="-0.499984740745262"/>
      </top>
      <bottom style="medium">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ck">
        <color theme="7"/>
      </left>
      <right/>
      <top/>
      <bottom/>
      <diagonal/>
    </border>
    <border>
      <left/>
      <right style="thick">
        <color theme="9" tint="0.39991454817346722"/>
      </right>
      <top style="thick">
        <color theme="9" tint="0.39994506668294322"/>
      </top>
      <bottom/>
      <diagonal/>
    </border>
    <border>
      <left/>
      <right style="thick">
        <color theme="9" tint="0.39991454817346722"/>
      </right>
      <top/>
      <bottom style="thick">
        <color theme="9" tint="0.39994506668294322"/>
      </bottom>
      <diagonal/>
    </border>
    <border>
      <left style="medium">
        <color theme="2" tint="-0.499984740745262"/>
      </left>
      <right style="medium">
        <color theme="2" tint="-0.499984740745262"/>
      </right>
      <top style="medium">
        <color theme="2" tint="-0.499984740745262"/>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499984740745262"/>
      </left>
      <right/>
      <top/>
      <bottom style="thin">
        <color theme="2" tint="-0.24994659260841701"/>
      </bottom>
      <diagonal/>
    </border>
    <border>
      <left/>
      <right style="thick">
        <color theme="9" tint="0.39988402966399123"/>
      </right>
      <top style="thick">
        <color theme="9" tint="0.39991454817346722"/>
      </top>
      <bottom/>
      <diagonal/>
    </border>
    <border>
      <left/>
      <right style="thick">
        <color theme="9" tint="0.39988402966399123"/>
      </right>
      <top/>
      <bottom style="thick">
        <color theme="9" tint="0.39991454817346722"/>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1012">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32" xfId="0" applyFont="1" applyBorder="1" applyAlignment="1">
      <alignment horizontal="center" vertical="center" shrinkToFit="1"/>
    </xf>
    <xf numFmtId="0" fontId="53" fillId="0" borderId="133" xfId="0" applyFont="1" applyBorder="1" applyAlignment="1">
      <alignment horizontal="center" vertical="center" shrinkToFit="1"/>
    </xf>
    <xf numFmtId="0" fontId="53"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4" fillId="0" borderId="0" xfId="0" applyFont="1" applyAlignment="1" applyProtection="1"/>
    <xf numFmtId="0" fontId="56" fillId="0" borderId="76"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18" fillId="0" borderId="0" xfId="0" applyFont="1" applyAlignment="1">
      <alignment vertical="center"/>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1"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2" xfId="0" applyFont="1" applyFill="1" applyBorder="1" applyAlignment="1" applyProtection="1">
      <alignment horizontal="center" vertical="center"/>
      <protection locked="0"/>
    </xf>
    <xf numFmtId="0" fontId="20" fillId="10" borderId="203"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6" xfId="0" applyFont="1" applyBorder="1" applyAlignment="1">
      <alignment horizontal="center" vertical="center"/>
    </xf>
    <xf numFmtId="0" fontId="20" fillId="0" borderId="207" xfId="0" applyFont="1" applyBorder="1" applyAlignment="1">
      <alignment horizontal="left" vertical="center"/>
    </xf>
    <xf numFmtId="0" fontId="20" fillId="0" borderId="149" xfId="0" applyFont="1" applyBorder="1" applyAlignment="1">
      <alignment horizontal="center" vertical="center"/>
    </xf>
    <xf numFmtId="0" fontId="20" fillId="0" borderId="208" xfId="0" applyFont="1" applyBorder="1" applyAlignment="1">
      <alignment horizontal="left" vertical="center"/>
    </xf>
    <xf numFmtId="0" fontId="20" fillId="10" borderId="207"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09"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10" xfId="0" applyFont="1" applyBorder="1" applyAlignment="1">
      <alignment horizontal="left" vertical="center"/>
    </xf>
    <xf numFmtId="0" fontId="20" fillId="0" borderId="12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1" xfId="0" applyFont="1" applyFill="1" applyBorder="1" applyAlignment="1" applyProtection="1">
      <alignment horizontal="center" vertical="center"/>
      <protection locked="0"/>
    </xf>
    <xf numFmtId="0" fontId="20" fillId="10" borderId="212"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3"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0"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6"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0" fillId="0" borderId="223"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horizontal="center" vertical="top"/>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165" fontId="28" fillId="0" borderId="0" xfId="0" applyNumberFormat="1" applyFont="1" applyBorder="1" applyAlignment="1">
      <alignment wrapTex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10"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57" xfId="0" applyFont="1" applyFill="1" applyBorder="1" applyAlignment="1" applyProtection="1">
      <alignment horizontal="right" vertical="center"/>
      <protection locked="0"/>
    </xf>
    <xf numFmtId="0" fontId="21" fillId="15" borderId="201" xfId="0" applyFont="1" applyFill="1" applyBorder="1" applyAlignment="1" applyProtection="1"/>
    <xf numFmtId="0" fontId="21" fillId="15" borderId="156" xfId="0" applyFont="1" applyFill="1" applyBorder="1" applyAlignment="1" applyProtection="1"/>
    <xf numFmtId="0" fontId="14" fillId="9" borderId="157"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0" fontId="6" fillId="0" borderId="49" xfId="0" applyFont="1" applyBorder="1" applyAlignment="1">
      <alignment horizontal="left" vertical="center" shrinkToFit="1"/>
    </xf>
    <xf numFmtId="164" fontId="15" fillId="0" borderId="51" xfId="0" applyNumberFormat="1" applyFont="1" applyBorder="1" applyAlignment="1">
      <alignment horizontal="center" vertical="center" shrinkToFit="1"/>
    </xf>
    <xf numFmtId="0" fontId="6" fillId="0" borderId="52" xfId="0" applyFont="1" applyBorder="1" applyAlignment="1">
      <alignment horizontal="left"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210"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8" xfId="0" applyFont="1" applyFill="1" applyBorder="1" applyAlignment="1">
      <alignment horizontal="center" vertical="center" shrinkToFit="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39"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Fill="1" applyBorder="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8" fillId="0" borderId="0" xfId="0" applyFont="1" applyAlignment="1">
      <alignment horizontal="center" vertical="center" wrapText="1"/>
    </xf>
    <xf numFmtId="0" fontId="21" fillId="0" borderId="76" xfId="0" applyFont="1" applyBorder="1" applyAlignment="1">
      <alignment horizontal="center" vertical="center"/>
    </xf>
    <xf numFmtId="0" fontId="21" fillId="0" borderId="0" xfId="0" applyFont="1" applyAlignment="1">
      <alignment horizontal="center"/>
    </xf>
    <xf numFmtId="0" fontId="4" fillId="0" borderId="240"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4" fillId="0" borderId="0" xfId="0" applyFont="1" applyFill="1" applyBorder="1" applyAlignment="1"/>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206" xfId="0" applyNumberFormat="1" applyFont="1" applyBorder="1" applyAlignment="1">
      <alignment horizontal="center" vertical="center"/>
    </xf>
    <xf numFmtId="0" fontId="23" fillId="0" borderId="206" xfId="0" applyNumberFormat="1" applyFont="1" applyBorder="1" applyAlignment="1">
      <alignment horizontal="center" vertical="center"/>
    </xf>
    <xf numFmtId="0" fontId="21" fillId="17" borderId="207"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left" vertical="center"/>
    </xf>
    <xf numFmtId="0" fontId="20" fillId="0" borderId="207" xfId="0" applyFont="1" applyBorder="1" applyAlignment="1">
      <alignment horizontal="left" vertical="center" shrinkToFit="1"/>
    </xf>
    <xf numFmtId="0" fontId="20" fillId="0" borderId="149" xfId="0" applyFont="1" applyBorder="1" applyAlignment="1">
      <alignment horizontal="center" vertical="center" shrinkToFit="1"/>
    </xf>
    <xf numFmtId="0" fontId="20" fillId="0" borderId="149" xfId="0" applyFont="1" applyBorder="1" applyAlignment="1">
      <alignment horizontal="left" vertical="center" shrinkToFit="1"/>
    </xf>
    <xf numFmtId="0" fontId="20" fillId="10" borderId="207"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3" fillId="0" borderId="242" xfId="0" applyNumberFormat="1" applyFont="1" applyBorder="1" applyAlignment="1">
      <alignment horizontal="center" vertical="center"/>
    </xf>
    <xf numFmtId="0" fontId="21" fillId="17" borderId="243" xfId="0" applyFont="1" applyFill="1" applyBorder="1" applyAlignment="1" applyProtection="1">
      <alignment horizontal="right" vertical="center"/>
    </xf>
    <xf numFmtId="0" fontId="21" fillId="17" borderId="244" xfId="0" applyFont="1" applyFill="1" applyBorder="1" applyAlignment="1" applyProtection="1">
      <alignment horizontal="center" vertical="center"/>
    </xf>
    <xf numFmtId="0" fontId="21" fillId="17" borderId="245" xfId="0" applyFont="1" applyFill="1" applyBorder="1" applyAlignment="1" applyProtection="1">
      <alignment horizontal="left" vertical="center"/>
    </xf>
    <xf numFmtId="0" fontId="20" fillId="0" borderId="243" xfId="0" applyFont="1" applyBorder="1" applyAlignment="1">
      <alignment horizontal="left" vertical="center" shrinkToFit="1"/>
    </xf>
    <xf numFmtId="0" fontId="20" fillId="0" borderId="244" xfId="0" applyFont="1" applyBorder="1" applyAlignment="1">
      <alignment horizontal="center" vertical="center" shrinkToFit="1"/>
    </xf>
    <xf numFmtId="0" fontId="20" fillId="0" borderId="244" xfId="0" applyFont="1" applyBorder="1" applyAlignment="1">
      <alignment horizontal="left" vertical="center" shrinkToFit="1"/>
    </xf>
    <xf numFmtId="0" fontId="20" fillId="10" borderId="243" xfId="0" applyFont="1" applyFill="1" applyBorder="1" applyAlignment="1" applyProtection="1">
      <alignment horizontal="right" vertical="center"/>
      <protection locked="0"/>
    </xf>
    <xf numFmtId="0" fontId="20" fillId="10" borderId="244"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7" xfId="0" applyFont="1" applyBorder="1" applyAlignment="1">
      <alignment horizontal="left" vertical="center" shrinkToFit="1"/>
    </xf>
    <xf numFmtId="0" fontId="20" fillId="0" borderId="61" xfId="0" applyFont="1" applyBorder="1" applyAlignment="1">
      <alignment horizontal="center" vertical="center" shrinkToFit="1"/>
    </xf>
    <xf numFmtId="0" fontId="20" fillId="0" borderId="61"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55"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0" fillId="0" borderId="121"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60" xfId="0" applyFont="1" applyBorder="1" applyAlignment="1">
      <alignment horizontal="center" vertical="center" shrinkToFit="1"/>
    </xf>
    <xf numFmtId="0" fontId="20" fillId="0" borderId="54" xfId="0" applyFont="1" applyBorder="1" applyAlignment="1">
      <alignment horizontal="left" vertical="center" shrinkToFit="1"/>
    </xf>
    <xf numFmtId="0" fontId="20" fillId="0" borderId="56" xfId="0" applyFont="1" applyBorder="1" applyAlignment="1">
      <alignment horizontal="left" vertical="center" shrinkToFit="1"/>
    </xf>
    <xf numFmtId="0" fontId="20" fillId="10" borderId="208" xfId="0" applyFont="1" applyFill="1" applyBorder="1" applyAlignment="1" applyProtection="1">
      <alignment horizontal="left" vertical="center"/>
      <protection locked="0"/>
    </xf>
    <xf numFmtId="0" fontId="20" fillId="10" borderId="245" xfId="0" applyFont="1" applyFill="1" applyBorder="1" applyAlignment="1" applyProtection="1">
      <alignment horizontal="left" vertical="center"/>
      <protection locked="0"/>
    </xf>
    <xf numFmtId="0" fontId="20" fillId="10" borderId="243"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6" xfId="0" applyFont="1" applyFill="1" applyBorder="1" applyAlignment="1">
      <alignment vertical="center"/>
    </xf>
    <xf numFmtId="165" fontId="21" fillId="0" borderId="76" xfId="0" applyNumberFormat="1" applyFont="1" applyFill="1" applyBorder="1" applyAlignment="1">
      <alignment vertical="center"/>
    </xf>
    <xf numFmtId="0" fontId="23" fillId="0" borderId="227"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23" fillId="0" borderId="241" xfId="0" applyNumberFormat="1" applyFont="1" applyBorder="1" applyAlignment="1">
      <alignment horizontal="center" vertical="center"/>
    </xf>
    <xf numFmtId="0" fontId="23" fillId="0" borderId="66"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167" fontId="23" fillId="0" borderId="242" xfId="0" applyNumberFormat="1" applyFont="1" applyBorder="1" applyAlignment="1">
      <alignment horizontal="center" vertical="center"/>
    </xf>
    <xf numFmtId="0" fontId="20" fillId="0" borderId="228" xfId="0" applyFont="1" applyBorder="1" applyAlignment="1">
      <alignment horizontal="left" vertical="center"/>
    </xf>
    <xf numFmtId="0" fontId="20" fillId="0" borderId="31" xfId="0" applyFont="1" applyBorder="1" applyAlignment="1">
      <alignment horizontal="center" vertical="center"/>
    </xf>
    <xf numFmtId="0" fontId="20" fillId="0" borderId="247" xfId="0" applyFont="1" applyBorder="1" applyAlignment="1">
      <alignment horizontal="left" vertical="center"/>
    </xf>
    <xf numFmtId="0" fontId="20" fillId="0" borderId="0" xfId="0" applyNumberFormat="1" applyFont="1" applyBorder="1" applyAlignment="1">
      <alignment horizontal="left" vertical="center"/>
    </xf>
    <xf numFmtId="0" fontId="21" fillId="0" borderId="205" xfId="0" applyFont="1" applyBorder="1" applyAlignment="1">
      <alignment horizontal="center"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8" fillId="0" borderId="0" xfId="0" applyFont="1" applyBorder="1" applyAlignment="1">
      <alignment vertical="center"/>
    </xf>
    <xf numFmtId="14" fontId="59" fillId="0" borderId="0" xfId="0" applyNumberFormat="1" applyFont="1" applyBorder="1" applyAlignment="1">
      <alignment vertical="center"/>
    </xf>
    <xf numFmtId="0" fontId="59" fillId="0" borderId="0" xfId="0" applyFont="1" applyBorder="1" applyAlignment="1">
      <alignment vertical="center"/>
    </xf>
    <xf numFmtId="0" fontId="60" fillId="0" borderId="0" xfId="0" applyFont="1" applyFill="1" applyBorder="1" applyAlignment="1">
      <alignment vertical="center"/>
    </xf>
    <xf numFmtId="0" fontId="68" fillId="0" borderId="248" xfId="0" applyNumberFormat="1" applyFont="1" applyBorder="1" applyAlignment="1">
      <alignment horizontal="center" vertical="center"/>
    </xf>
    <xf numFmtId="0" fontId="68" fillId="0" borderId="249" xfId="0" applyNumberFormat="1" applyFont="1" applyBorder="1" applyAlignment="1">
      <alignment horizontal="center" vertical="center"/>
    </xf>
    <xf numFmtId="0" fontId="68" fillId="0" borderId="250"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14" xfId="0" applyFont="1" applyFill="1" applyBorder="1" applyAlignment="1" applyProtection="1">
      <alignment horizontal="center" vertical="center"/>
      <protection locked="0"/>
    </xf>
    <xf numFmtId="0" fontId="4" fillId="0" borderId="215" xfId="0" applyFont="1" applyFill="1" applyBorder="1" applyAlignment="1" applyProtection="1">
      <alignment horizontal="center" vertical="center"/>
      <protection locked="0"/>
    </xf>
    <xf numFmtId="0" fontId="4" fillId="0" borderId="221" xfId="0" applyFont="1" applyFill="1" applyBorder="1" applyAlignment="1" applyProtection="1">
      <alignment horizontal="center" vertical="center"/>
      <protection locked="0"/>
    </xf>
    <xf numFmtId="0" fontId="4" fillId="0" borderId="216"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22" xfId="0" applyFont="1" applyFill="1" applyBorder="1" applyAlignment="1" applyProtection="1">
      <alignment horizontal="center" vertical="center"/>
      <protection locked="0"/>
    </xf>
    <xf numFmtId="0" fontId="4" fillId="0" borderId="224" xfId="0" applyFont="1" applyFill="1" applyBorder="1" applyAlignment="1" applyProtection="1">
      <alignment horizontal="center" vertical="center"/>
      <protection locked="0"/>
    </xf>
    <xf numFmtId="0" fontId="4" fillId="0" borderId="225" xfId="0" applyFont="1" applyFill="1" applyBorder="1" applyAlignment="1" applyProtection="1">
      <alignment horizontal="center" vertical="center"/>
      <protection locked="0"/>
    </xf>
    <xf numFmtId="0" fontId="4" fillId="0" borderId="226" xfId="0" applyFont="1" applyFill="1" applyBorder="1" applyAlignment="1" applyProtection="1">
      <alignment horizontal="center" vertical="center"/>
      <protection locked="0"/>
    </xf>
    <xf numFmtId="0" fontId="0" fillId="0" borderId="259" xfId="0" applyBorder="1"/>
    <xf numFmtId="0" fontId="0" fillId="0" borderId="259" xfId="0" applyBorder="1" applyAlignment="1">
      <alignment horizontal="center"/>
    </xf>
    <xf numFmtId="0" fontId="4" fillId="0" borderId="259" xfId="0" applyFont="1" applyBorder="1"/>
    <xf numFmtId="0" fontId="0" fillId="0" borderId="260" xfId="0" applyBorder="1" applyAlignment="1">
      <alignment horizontal="center"/>
    </xf>
    <xf numFmtId="0" fontId="23" fillId="0" borderId="55" xfId="0" applyNumberFormat="1" applyFont="1" applyBorder="1" applyAlignment="1">
      <alignment horizontal="center" vertical="center"/>
    </xf>
    <xf numFmtId="165" fontId="18" fillId="0" borderId="0" xfId="0" applyNumberFormat="1" applyFont="1" applyAlignment="1">
      <alignment horizontal="right" inden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1" fillId="17" borderId="61" xfId="0" applyFont="1" applyFill="1" applyBorder="1" applyAlignment="1" applyProtection="1">
      <alignment horizontal="center" vertical="center"/>
    </xf>
    <xf numFmtId="0" fontId="0" fillId="0" borderId="0" xfId="0" applyNumberFormat="1" applyAlignment="1">
      <alignment horizontal="center" vertical="center"/>
    </xf>
    <xf numFmtId="0" fontId="68" fillId="0" borderId="0" xfId="0" applyNumberFormat="1" applyFont="1" applyFill="1" applyBorder="1" applyAlignment="1">
      <alignment horizontal="center" vertical="center"/>
    </xf>
    <xf numFmtId="167" fontId="24" fillId="0" borderId="76" xfId="0" applyNumberFormat="1" applyFont="1" applyBorder="1" applyAlignment="1">
      <alignment horizontal="left"/>
    </xf>
    <xf numFmtId="0" fontId="0" fillId="0" borderId="0" xfId="0" applyNumberFormat="1" applyAlignment="1">
      <alignment vertical="center"/>
    </xf>
    <xf numFmtId="0" fontId="18" fillId="0" borderId="42" xfId="0" applyFont="1" applyBorder="1"/>
    <xf numFmtId="0" fontId="18" fillId="0" borderId="0" xfId="0" applyFont="1" applyBorder="1"/>
    <xf numFmtId="0" fontId="21" fillId="15" borderId="74" xfId="0" applyFont="1" applyFill="1" applyBorder="1" applyAlignment="1" applyProtection="1"/>
    <xf numFmtId="0" fontId="18" fillId="15" borderId="236" xfId="0" applyFont="1" applyFill="1" applyBorder="1" applyAlignment="1" applyProtection="1">
      <alignment horizontal="left" vertical="center" indent="1" shrinkToFit="1"/>
    </xf>
    <xf numFmtId="0" fontId="18" fillId="15" borderId="151" xfId="0" applyFont="1" applyFill="1" applyBorder="1" applyAlignment="1" applyProtection="1">
      <alignment horizontal="left" vertical="center" indent="1" shrinkToFit="1"/>
    </xf>
    <xf numFmtId="0" fontId="18" fillId="15" borderId="200" xfId="0" applyFont="1" applyFill="1" applyBorder="1" applyAlignment="1" applyProtection="1">
      <alignment horizontal="left" vertical="center" indent="1" shrinkToFit="1"/>
    </xf>
    <xf numFmtId="167" fontId="51" fillId="15" borderId="154" xfId="0" applyNumberFormat="1" applyFont="1" applyFill="1" applyBorder="1" applyAlignment="1" applyProtection="1">
      <alignment horizontal="right" vertical="center" indent="1"/>
    </xf>
    <xf numFmtId="167" fontId="51" fillId="15" borderId="60" xfId="0" applyNumberFormat="1" applyFont="1" applyFill="1" applyBorder="1" applyAlignment="1" applyProtection="1">
      <alignment horizontal="right" vertical="center" indent="1"/>
    </xf>
    <xf numFmtId="167" fontId="51" fillId="15" borderId="61" xfId="0" applyNumberFormat="1" applyFont="1" applyFill="1" applyBorder="1" applyAlignment="1" applyProtection="1">
      <alignment horizontal="right" vertical="center" indent="1"/>
    </xf>
    <xf numFmtId="0" fontId="60" fillId="0" borderId="261" xfId="0" applyFont="1" applyFill="1" applyBorder="1" applyAlignment="1"/>
    <xf numFmtId="0" fontId="60" fillId="0" borderId="262" xfId="0" applyFont="1" applyFill="1" applyBorder="1" applyAlignment="1">
      <alignment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0" fillId="9" borderId="120" xfId="0" applyFont="1" applyFill="1" applyBorder="1" applyAlignment="1">
      <alignment horizontal="center" vertical="center"/>
    </xf>
    <xf numFmtId="0" fontId="21" fillId="0" borderId="132"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200"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47" xfId="0" applyFont="1" applyBorder="1" applyAlignment="1">
      <alignment horizontal="center" vertical="center" shrinkToFit="1"/>
    </xf>
    <xf numFmtId="0" fontId="6" fillId="0" borderId="143" xfId="0" applyFont="1" applyBorder="1" applyAlignment="1">
      <alignment horizontal="left" vertical="center" shrinkToFit="1"/>
    </xf>
    <xf numFmtId="0" fontId="68" fillId="0" borderId="45" xfId="0" applyNumberFormat="1" applyFont="1" applyBorder="1" applyAlignment="1">
      <alignment horizontal="center" vertical="center"/>
    </xf>
    <xf numFmtId="0" fontId="6" fillId="0" borderId="143" xfId="0" applyFont="1" applyBorder="1" applyAlignment="1">
      <alignment horizontal="right" vertical="center" shrinkToFit="1"/>
    </xf>
    <xf numFmtId="0" fontId="6" fillId="0" borderId="143" xfId="0" applyFont="1" applyBorder="1" applyAlignment="1">
      <alignment horizontal="center" vertical="center"/>
    </xf>
    <xf numFmtId="0" fontId="6" fillId="0" borderId="49" xfId="0" applyFont="1" applyBorder="1" applyAlignment="1">
      <alignment horizontal="right" vertical="center" shrinkToFit="1"/>
    </xf>
    <xf numFmtId="0" fontId="6" fillId="0" borderId="49" xfId="0" applyFont="1" applyBorder="1" applyAlignment="1">
      <alignment horizontal="center" vertical="center"/>
    </xf>
    <xf numFmtId="0" fontId="6" fillId="0" borderId="52" xfId="0" applyFont="1" applyBorder="1" applyAlignment="1">
      <alignment horizontal="right" vertical="center" shrinkToFit="1"/>
    </xf>
    <xf numFmtId="0" fontId="6" fillId="0" borderId="52" xfId="0" applyFont="1" applyBorder="1" applyAlignment="1">
      <alignment horizontal="center" vertical="center"/>
    </xf>
    <xf numFmtId="164" fontId="6" fillId="0" borderId="147" xfId="0" applyNumberFormat="1" applyFont="1" applyBorder="1" applyAlignment="1">
      <alignment horizontal="center" vertical="center" shrinkToFit="1"/>
    </xf>
    <xf numFmtId="164" fontId="6" fillId="0" borderId="48" xfId="0" applyNumberFormat="1" applyFont="1" applyBorder="1" applyAlignment="1">
      <alignment horizontal="center" vertical="center" shrinkToFit="1"/>
    </xf>
    <xf numFmtId="164" fontId="6" fillId="0" borderId="51" xfId="0" applyNumberFormat="1" applyFont="1" applyBorder="1" applyAlignment="1">
      <alignment horizontal="center" vertical="center" shrinkToFit="1"/>
    </xf>
    <xf numFmtId="0" fontId="58" fillId="0" borderId="269" xfId="0" applyFont="1" applyBorder="1" applyAlignment="1">
      <alignment vertical="center"/>
    </xf>
    <xf numFmtId="14" fontId="59" fillId="0" borderId="269" xfId="0" applyNumberFormat="1" applyFont="1" applyBorder="1" applyAlignment="1">
      <alignment vertical="center"/>
    </xf>
    <xf numFmtId="0" fontId="59" fillId="0" borderId="269" xfId="0" applyFont="1" applyBorder="1" applyAlignment="1">
      <alignment vertical="center"/>
    </xf>
    <xf numFmtId="0" fontId="21" fillId="0" borderId="0" xfId="0" applyFont="1" applyFill="1" applyBorder="1" applyAlignment="1">
      <alignment horizontal="center" vertical="center"/>
    </xf>
    <xf numFmtId="0" fontId="21" fillId="0" borderId="272"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73"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74" xfId="1" applyNumberFormat="1" applyFont="1" applyFill="1" applyBorder="1" applyAlignment="1" applyProtection="1">
      <alignment vertical="center"/>
      <protection hidden="1"/>
    </xf>
    <xf numFmtId="0" fontId="7" fillId="0" borderId="274"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horizontal="center" vertical="center"/>
      <protection hidden="1"/>
    </xf>
    <xf numFmtId="0" fontId="18" fillId="0" borderId="0" xfId="0" applyFont="1" applyAlignment="1">
      <alignment horizontal="center" vertical="center" wrapText="1"/>
    </xf>
    <xf numFmtId="0" fontId="7" fillId="0" borderId="275" xfId="0" applyNumberFormat="1" applyFont="1" applyFill="1" applyBorder="1" applyAlignment="1" applyProtection="1">
      <alignment horizontal="center" vertical="center"/>
      <protection hidden="1"/>
    </xf>
    <xf numFmtId="0" fontId="7" fillId="0" borderId="276" xfId="0" applyNumberFormat="1" applyFont="1" applyFill="1" applyBorder="1" applyAlignment="1" applyProtection="1">
      <alignment horizontal="center" vertical="center"/>
      <protection hidden="1"/>
    </xf>
    <xf numFmtId="0" fontId="7" fillId="0" borderId="276" xfId="0" applyNumberFormat="1" applyFont="1" applyFill="1" applyBorder="1" applyAlignment="1" applyProtection="1">
      <alignment vertical="center"/>
      <protection hidden="1"/>
    </xf>
    <xf numFmtId="0" fontId="7" fillId="0" borderId="277"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167" fontId="21" fillId="0" borderId="0" xfId="0" applyNumberFormat="1" applyFont="1" applyFill="1" applyBorder="1" applyAlignment="1">
      <alignment vertical="center"/>
    </xf>
    <xf numFmtId="0" fontId="51" fillId="0" borderId="0" xfId="0" applyFont="1" applyAlignment="1">
      <alignment horizontal="left" vertical="center"/>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210" xfId="0" applyFont="1" applyFill="1" applyBorder="1" applyAlignment="1" applyProtection="1">
      <alignment horizontal="right" vertical="center"/>
      <protection locked="0"/>
    </xf>
    <xf numFmtId="0" fontId="20" fillId="10" borderId="212" xfId="0" applyFont="1" applyFill="1" applyBorder="1" applyAlignment="1" applyProtection="1">
      <alignment horizontal="left" vertical="center"/>
      <protection locked="0"/>
    </xf>
    <xf numFmtId="0" fontId="20" fillId="10" borderId="74" xfId="0" applyFont="1" applyFill="1" applyBorder="1" applyAlignment="1" applyProtection="1">
      <alignment horizontal="left" vertical="center"/>
      <protection locked="0"/>
    </xf>
    <xf numFmtId="0" fontId="20" fillId="10" borderId="201" xfId="0" applyFont="1" applyFill="1" applyBorder="1" applyAlignment="1" applyProtection="1">
      <alignment horizontal="left" vertical="center"/>
      <protection locked="0"/>
    </xf>
    <xf numFmtId="0" fontId="20" fillId="10" borderId="278" xfId="0" applyFont="1" applyFill="1" applyBorder="1" applyAlignment="1" applyProtection="1">
      <alignment horizontal="center" vertical="center"/>
      <protection locked="0"/>
    </xf>
    <xf numFmtId="0" fontId="20" fillId="10" borderId="279" xfId="0" applyFont="1" applyFill="1" applyBorder="1" applyAlignment="1" applyProtection="1">
      <alignment horizontal="center" vertical="center"/>
      <protection locked="0"/>
    </xf>
    <xf numFmtId="0" fontId="20" fillId="10" borderId="280" xfId="0" applyFont="1" applyFill="1" applyBorder="1" applyAlignment="1" applyProtection="1">
      <alignment horizontal="center" vertical="center"/>
      <protection locked="0"/>
    </xf>
    <xf numFmtId="0" fontId="20" fillId="10" borderId="209" xfId="0" applyFont="1" applyFill="1" applyBorder="1" applyAlignment="1" applyProtection="1">
      <alignment horizontal="right" vertical="center"/>
      <protection locked="0"/>
    </xf>
    <xf numFmtId="0" fontId="20" fillId="10" borderId="203" xfId="0" applyFont="1" applyFill="1" applyBorder="1" applyAlignment="1" applyProtection="1">
      <alignment horizontal="right" vertical="center"/>
      <protection locked="0"/>
    </xf>
    <xf numFmtId="0" fontId="20" fillId="10" borderId="281" xfId="0" applyFont="1" applyFill="1" applyBorder="1" applyAlignment="1" applyProtection="1">
      <alignment horizontal="right" vertical="center"/>
      <protection locked="0"/>
    </xf>
    <xf numFmtId="0" fontId="20" fillId="10" borderId="150" xfId="0" applyFont="1" applyFill="1" applyBorder="1" applyAlignment="1" applyProtection="1">
      <alignment horizontal="left" vertical="center"/>
      <protection locked="0"/>
    </xf>
    <xf numFmtId="0" fontId="20" fillId="10" borderId="246" xfId="0" applyFont="1" applyFill="1" applyBorder="1" applyAlignment="1" applyProtection="1">
      <alignment horizontal="left" vertical="center"/>
      <protection locked="0"/>
    </xf>
    <xf numFmtId="0" fontId="69" fillId="0" borderId="0" xfId="0" applyFont="1" applyAlignment="1">
      <alignment horizontal="center"/>
    </xf>
    <xf numFmtId="0" fontId="20" fillId="10" borderId="153" xfId="0" applyFont="1" applyFill="1" applyBorder="1" applyAlignment="1" applyProtection="1">
      <alignment horizontal="center" vertical="center"/>
      <protection locked="0"/>
    </xf>
    <xf numFmtId="0" fontId="30" fillId="9" borderId="282" xfId="0" applyFont="1" applyFill="1" applyBorder="1" applyAlignment="1">
      <alignment horizontal="center" vertical="center"/>
    </xf>
    <xf numFmtId="0" fontId="20" fillId="0" borderId="283" xfId="0" applyFont="1" applyBorder="1" applyAlignment="1">
      <alignment horizontal="center" vertical="center" shrinkToFit="1"/>
    </xf>
    <xf numFmtId="0" fontId="20" fillId="0" borderId="284" xfId="0" applyFont="1" applyBorder="1" applyAlignment="1">
      <alignment horizontal="center" vertical="center" shrinkToFit="1"/>
    </xf>
    <xf numFmtId="0" fontId="20" fillId="0" borderId="285" xfId="0" applyFont="1" applyBorder="1" applyAlignment="1">
      <alignment horizontal="center" vertical="center" shrinkToFit="1"/>
    </xf>
    <xf numFmtId="0" fontId="70" fillId="0" borderId="0" xfId="0" applyFont="1" applyAlignment="1">
      <alignment horizontal="center" vertical="center"/>
    </xf>
    <xf numFmtId="0" fontId="54" fillId="0" borderId="0" xfId="0" applyFont="1" applyBorder="1" applyAlignment="1">
      <alignment horizontal="center"/>
    </xf>
    <xf numFmtId="0" fontId="64" fillId="0" borderId="0" xfId="0" applyFont="1" applyAlignment="1">
      <alignment wrapText="1"/>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54" fillId="0" borderId="0" xfId="0" applyFont="1" applyFill="1" applyBorder="1" applyAlignment="1">
      <alignment horizontal="center"/>
    </xf>
    <xf numFmtId="0" fontId="14" fillId="0" borderId="0" xfId="0" applyFont="1" applyFill="1" applyBorder="1" applyAlignment="1">
      <alignment vertical="center" shrinkToFit="1"/>
    </xf>
    <xf numFmtId="20" fontId="20" fillId="10" borderId="153" xfId="0" applyNumberFormat="1" applyFont="1" applyFill="1" applyBorder="1" applyAlignment="1" applyProtection="1">
      <alignment horizontal="center" vertical="center"/>
      <protection locked="0"/>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15" fillId="0" borderId="0" xfId="0" applyFont="1" applyAlignment="1">
      <alignment horizontal="center"/>
    </xf>
    <xf numFmtId="0" fontId="12" fillId="0" borderId="0" xfId="0" applyNumberFormat="1" applyFont="1" applyFill="1" applyBorder="1" applyAlignment="1" applyProtection="1">
      <alignment horizontal="center" vertical="center"/>
      <protection hidden="1"/>
    </xf>
    <xf numFmtId="0" fontId="20" fillId="10" borderId="149" xfId="0" applyFont="1" applyFill="1" applyBorder="1" applyAlignment="1" applyProtection="1">
      <alignment horizontal="center" vertical="center"/>
    </xf>
    <xf numFmtId="0" fontId="20" fillId="10" borderId="244" xfId="0" applyFont="1" applyFill="1" applyBorder="1" applyAlignment="1" applyProtection="1">
      <alignment horizontal="center" vertical="center"/>
    </xf>
    <xf numFmtId="0" fontId="20" fillId="10" borderId="286" xfId="0" applyFont="1" applyFill="1" applyBorder="1" applyAlignment="1" applyProtection="1">
      <alignment horizontal="center" vertical="center"/>
      <protection locked="0"/>
    </xf>
    <xf numFmtId="0" fontId="20" fillId="10" borderId="287" xfId="0" applyFont="1" applyFill="1" applyBorder="1" applyAlignment="1" applyProtection="1">
      <alignment horizontal="center" vertical="center"/>
      <protection locked="0"/>
    </xf>
    <xf numFmtId="0" fontId="21" fillId="17" borderId="61" xfId="0" applyFont="1" applyFill="1" applyBorder="1" applyAlignment="1" applyProtection="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0" fillId="10" borderId="154" xfId="0" applyFont="1" applyFill="1" applyBorder="1" applyAlignment="1" applyProtection="1">
      <alignment horizontal="left" vertical="center"/>
      <protection locked="0"/>
    </xf>
    <xf numFmtId="0" fontId="20" fillId="10" borderId="60" xfId="0" applyFont="1" applyFill="1" applyBorder="1" applyAlignment="1" applyProtection="1">
      <alignment horizontal="left" vertical="center"/>
      <protection locked="0"/>
    </xf>
    <xf numFmtId="0" fontId="58" fillId="0" borderId="0" xfId="0" applyFont="1" applyFill="1" applyBorder="1" applyAlignment="1">
      <alignment vertical="center"/>
    </xf>
    <xf numFmtId="14" fontId="59" fillId="0" borderId="0" xfId="0" applyNumberFormat="1" applyFont="1" applyFill="1" applyBorder="1" applyAlignment="1">
      <alignment vertical="center"/>
    </xf>
    <xf numFmtId="0" fontId="59" fillId="0" borderId="0" xfId="0" applyFont="1" applyFill="1" applyBorder="1" applyAlignment="1">
      <alignment vertical="center"/>
    </xf>
    <xf numFmtId="0" fontId="64" fillId="0" borderId="0" xfId="0" applyFont="1" applyFill="1" applyBorder="1" applyAlignment="1">
      <alignment wrapText="1"/>
    </xf>
    <xf numFmtId="0" fontId="19" fillId="0" borderId="240" xfId="0" applyFont="1" applyFill="1" applyBorder="1" applyAlignment="1">
      <alignment vertical="center" shrinkToFit="1"/>
    </xf>
    <xf numFmtId="0" fontId="6" fillId="0" borderId="288" xfId="0" applyFont="1" applyFill="1" applyBorder="1" applyAlignment="1" applyProtection="1">
      <alignment horizontal="center" vertical="center"/>
    </xf>
    <xf numFmtId="0" fontId="6" fillId="0" borderId="289" xfId="0" applyFont="1" applyFill="1" applyBorder="1" applyAlignment="1" applyProtection="1">
      <alignment horizontal="center" vertical="center"/>
    </xf>
    <xf numFmtId="0" fontId="6" fillId="0" borderId="29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0" fillId="0" borderId="240" xfId="0" applyFont="1" applyFill="1" applyBorder="1" applyAlignment="1" applyProtection="1">
      <alignment vertical="center" shrinkToFit="1"/>
    </xf>
    <xf numFmtId="0" fontId="6" fillId="0" borderId="291" xfId="0" applyFont="1" applyFill="1" applyBorder="1" applyAlignment="1" applyProtection="1">
      <alignment horizontal="center" vertical="center"/>
    </xf>
    <xf numFmtId="0" fontId="6" fillId="0" borderId="292" xfId="0" applyFont="1" applyFill="1" applyBorder="1" applyAlignment="1" applyProtection="1">
      <alignment horizontal="center" vertical="center"/>
    </xf>
    <xf numFmtId="0" fontId="6" fillId="0" borderId="293"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right" vertical="center" indent="1"/>
      <protection hidden="1"/>
    </xf>
    <xf numFmtId="0" fontId="7" fillId="0" borderId="0" xfId="0" applyNumberFormat="1" applyFont="1" applyFill="1" applyBorder="1" applyAlignment="1" applyProtection="1">
      <alignment horizontal="left" vertical="center"/>
      <protection hidden="1"/>
    </xf>
    <xf numFmtId="0"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vertical="center"/>
      <protection hidden="1"/>
    </xf>
    <xf numFmtId="3" fontId="7" fillId="0" borderId="0" xfId="0" applyNumberFormat="1" applyFont="1" applyFill="1" applyBorder="1" applyAlignment="1" applyProtection="1">
      <alignment horizontal="right" vertical="center"/>
      <protection hidden="1"/>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154" xfId="0" applyFont="1" applyFill="1" applyBorder="1" applyAlignment="1" applyProtection="1">
      <alignment horizontal="left" vertical="center"/>
    </xf>
    <xf numFmtId="0" fontId="20" fillId="10" borderId="60" xfId="0" applyFont="1" applyFill="1" applyBorder="1" applyAlignment="1" applyProtection="1">
      <alignment horizontal="left" vertical="center"/>
    </xf>
    <xf numFmtId="0" fontId="20" fillId="10" borderId="61" xfId="0" applyFont="1" applyFill="1" applyBorder="1" applyAlignment="1" applyProtection="1">
      <alignment horizontal="left" vertical="center"/>
    </xf>
    <xf numFmtId="0" fontId="20" fillId="10" borderId="127" xfId="0" applyFont="1" applyFill="1" applyBorder="1" applyAlignment="1" applyProtection="1">
      <alignment horizontal="center" vertical="center"/>
    </xf>
    <xf numFmtId="0" fontId="0" fillId="0" borderId="0" xfId="0" applyAlignment="1">
      <alignment horizontal="center" vertical="center"/>
    </xf>
    <xf numFmtId="0" fontId="12"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48" fillId="0" borderId="0" xfId="0" applyFont="1" applyAlignment="1">
      <alignment horizontal="center"/>
    </xf>
    <xf numFmtId="0" fontId="0" fillId="0" borderId="0" xfId="0" applyAlignment="1">
      <alignment horizontal="center" vertical="center"/>
    </xf>
    <xf numFmtId="0" fontId="7" fillId="0" borderId="0" xfId="0" applyNumberFormat="1" applyFont="1" applyFill="1" applyBorder="1" applyAlignment="1" applyProtection="1">
      <alignment horizontal="center" vertical="center"/>
      <protection hidden="1"/>
    </xf>
    <xf numFmtId="0" fontId="72" fillId="0" borderId="0" xfId="0" applyFont="1"/>
    <xf numFmtId="0" fontId="72" fillId="0" borderId="0" xfId="0" applyFont="1" applyAlignment="1">
      <alignment horizontal="center"/>
    </xf>
    <xf numFmtId="0" fontId="7" fillId="0" borderId="0" xfId="0" applyNumberFormat="1" applyFont="1" applyFill="1" applyBorder="1" applyAlignment="1" applyProtection="1">
      <alignment horizontal="center" vertical="center"/>
      <protection hidden="1"/>
    </xf>
    <xf numFmtId="0" fontId="25" fillId="0" borderId="0" xfId="0" applyFont="1" applyAlignment="1">
      <alignment horizontal="center"/>
    </xf>
    <xf numFmtId="0" fontId="14" fillId="9" borderId="120" xfId="0" applyFont="1" applyFill="1" applyBorder="1" applyAlignment="1">
      <alignment horizontal="center" vertical="center"/>
    </xf>
    <xf numFmtId="0" fontId="18" fillId="0" borderId="0" xfId="0" applyFont="1" applyAlignment="1">
      <alignment horizontal="center" vertical="center" wrapText="1"/>
    </xf>
    <xf numFmtId="0" fontId="14" fillId="9" borderId="118" xfId="0" applyFont="1" applyFill="1" applyBorder="1" applyAlignment="1">
      <alignment horizontal="center" vertical="center"/>
    </xf>
    <xf numFmtId="0" fontId="41" fillId="0" borderId="0" xfId="0" applyNumberFormat="1" applyFont="1" applyFill="1" applyBorder="1" applyAlignment="1" applyProtection="1">
      <alignment vertical="center"/>
      <protection hidden="1"/>
    </xf>
    <xf numFmtId="0" fontId="21" fillId="10" borderId="138"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294" xfId="0" applyFont="1" applyFill="1" applyBorder="1" applyAlignment="1" applyProtection="1">
      <alignment horizontal="center"/>
      <protection locked="0"/>
    </xf>
    <xf numFmtId="0" fontId="19" fillId="9" borderId="296" xfId="0" applyFont="1" applyFill="1" applyBorder="1" applyAlignment="1">
      <alignment horizontal="center"/>
    </xf>
    <xf numFmtId="0" fontId="21" fillId="10" borderId="297" xfId="0" applyFont="1" applyFill="1" applyBorder="1" applyAlignment="1" applyProtection="1">
      <alignment horizontal="center"/>
      <protection locked="0"/>
    </xf>
    <xf numFmtId="0" fontId="30" fillId="9" borderId="296" xfId="0" applyFont="1" applyFill="1" applyBorder="1" applyAlignment="1">
      <alignment horizontal="center" vertical="center"/>
    </xf>
    <xf numFmtId="0" fontId="21" fillId="10" borderId="299" xfId="0" applyFont="1" applyFill="1" applyBorder="1" applyAlignment="1" applyProtection="1">
      <alignment horizontal="center" vertical="center"/>
      <protection locked="0"/>
    </xf>
    <xf numFmtId="0" fontId="13" fillId="0" borderId="299" xfId="0" applyFont="1" applyBorder="1" applyAlignment="1">
      <alignment horizontal="center" vertical="center"/>
    </xf>
    <xf numFmtId="0" fontId="13" fillId="0" borderId="136" xfId="0" applyFont="1" applyBorder="1" applyAlignment="1">
      <alignment horizontal="center" vertical="center"/>
    </xf>
    <xf numFmtId="0" fontId="13" fillId="0" borderId="195" xfId="0" applyFont="1" applyBorder="1" applyAlignment="1">
      <alignment horizontal="center" vertical="center"/>
    </xf>
    <xf numFmtId="0" fontId="17" fillId="0" borderId="300" xfId="0" applyFont="1" applyFill="1" applyBorder="1" applyAlignment="1" applyProtection="1">
      <alignment vertical="top"/>
    </xf>
    <xf numFmtId="0" fontId="17" fillId="0" borderId="0" xfId="0" applyFont="1" applyFill="1" applyBorder="1" applyAlignment="1" applyProtection="1">
      <alignment vertical="top"/>
    </xf>
    <xf numFmtId="14" fontId="26" fillId="0" borderId="300" xfId="0" applyNumberFormat="1" applyFont="1" applyFill="1" applyBorder="1" applyAlignment="1" applyProtection="1">
      <alignment vertical="center"/>
    </xf>
    <xf numFmtId="14" fontId="26" fillId="0" borderId="0" xfId="0" applyNumberFormat="1" applyFont="1" applyFill="1" applyBorder="1" applyAlignment="1" applyProtection="1">
      <alignment vertical="center"/>
    </xf>
    <xf numFmtId="0" fontId="26" fillId="0" borderId="300" xfId="0" applyFont="1" applyFill="1" applyBorder="1" applyAlignment="1" applyProtection="1">
      <alignment vertical="center"/>
    </xf>
    <xf numFmtId="0" fontId="26" fillId="0" borderId="0" xfId="0" applyFont="1" applyFill="1" applyBorder="1" applyAlignment="1" applyProtection="1">
      <alignment vertical="center"/>
    </xf>
    <xf numFmtId="0" fontId="6" fillId="10" borderId="35" xfId="0" applyFont="1" applyFill="1" applyBorder="1" applyAlignment="1" applyProtection="1">
      <alignment horizontal="center" vertical="center" shrinkToFit="1"/>
      <protection locked="0"/>
    </xf>
    <xf numFmtId="0" fontId="55" fillId="0" borderId="262" xfId="0" applyFont="1" applyFill="1" applyBorder="1" applyAlignment="1" applyProtection="1"/>
    <xf numFmtId="0" fontId="55" fillId="0" borderId="0" xfId="0" applyFont="1" applyFill="1" applyBorder="1" applyAlignment="1" applyProtection="1"/>
    <xf numFmtId="0" fontId="21" fillId="10" borderId="139" xfId="0" applyFont="1" applyFill="1" applyBorder="1" applyAlignment="1" applyProtection="1">
      <alignment horizontal="center"/>
      <protection locked="0"/>
    </xf>
    <xf numFmtId="0" fontId="20" fillId="10" borderId="299" xfId="0" applyFont="1" applyFill="1" applyBorder="1" applyAlignment="1" applyProtection="1">
      <alignment horizontal="left" vertical="center"/>
      <protection locked="0"/>
    </xf>
    <xf numFmtId="0" fontId="20" fillId="10" borderId="195" xfId="0" applyFont="1" applyFill="1" applyBorder="1" applyAlignment="1" applyProtection="1">
      <alignment horizontal="left" vertical="center"/>
      <protection locked="0"/>
    </xf>
    <xf numFmtId="0" fontId="21" fillId="10" borderId="164" xfId="0" applyFont="1" applyFill="1" applyBorder="1" applyAlignment="1" applyProtection="1">
      <alignment horizontal="center"/>
      <protection locked="0"/>
    </xf>
    <xf numFmtId="0" fontId="20" fillId="10" borderId="298" xfId="0" applyFont="1" applyFill="1" applyBorder="1" applyAlignment="1" applyProtection="1">
      <alignment horizontal="left" vertical="center"/>
      <protection locked="0"/>
    </xf>
    <xf numFmtId="0" fontId="20" fillId="10" borderId="295" xfId="0" applyFont="1" applyFill="1" applyBorder="1" applyAlignment="1" applyProtection="1">
      <alignment horizontal="left" vertical="center"/>
      <protection locked="0"/>
    </xf>
    <xf numFmtId="0" fontId="30" fillId="0" borderId="114" xfId="0" applyFont="1" applyFill="1" applyBorder="1" applyAlignment="1">
      <alignment horizontal="center" vertical="center"/>
    </xf>
    <xf numFmtId="0" fontId="20" fillId="10" borderId="154" xfId="0" applyFont="1" applyFill="1" applyBorder="1" applyAlignment="1" applyProtection="1">
      <alignment horizontal="center" vertical="center"/>
      <protection locked="0"/>
    </xf>
    <xf numFmtId="0" fontId="21" fillId="10" borderId="138"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10" borderId="139" xfId="0" applyFont="1" applyFill="1" applyBorder="1" applyAlignment="1" applyProtection="1">
      <alignment horizontal="center" vertical="center"/>
      <protection locked="0"/>
    </xf>
    <xf numFmtId="0" fontId="18" fillId="0" borderId="139" xfId="0" applyFont="1" applyBorder="1" applyAlignment="1">
      <alignment vertical="center"/>
    </xf>
    <xf numFmtId="0" fontId="21" fillId="0" borderId="236" xfId="0" applyNumberFormat="1" applyFont="1" applyBorder="1" applyAlignment="1">
      <alignment horizontal="center" vertical="center"/>
    </xf>
    <xf numFmtId="167" fontId="21" fillId="0" borderId="304" xfId="0" applyNumberFormat="1" applyFont="1" applyBorder="1" applyAlignment="1">
      <alignment horizontal="center" vertical="center"/>
    </xf>
    <xf numFmtId="0" fontId="21" fillId="0" borderId="304" xfId="0" applyFont="1" applyBorder="1" applyAlignment="1">
      <alignment horizontal="center" vertical="center"/>
    </xf>
    <xf numFmtId="0" fontId="21" fillId="17" borderId="153" xfId="0" applyFont="1" applyFill="1" applyBorder="1" applyAlignment="1" applyProtection="1">
      <alignment horizontal="right" vertical="center"/>
    </xf>
    <xf numFmtId="0" fontId="21" fillId="17" borderId="154" xfId="0" applyFont="1" applyFill="1" applyBorder="1" applyAlignment="1" applyProtection="1">
      <alignment horizontal="center" vertical="center"/>
    </xf>
    <xf numFmtId="0" fontId="21" fillId="17" borderId="155" xfId="0" applyFont="1" applyFill="1" applyBorder="1" applyAlignment="1" applyProtection="1">
      <alignment horizontal="left" vertical="center"/>
    </xf>
    <xf numFmtId="0" fontId="20" fillId="0" borderId="153" xfId="0" applyFont="1" applyBorder="1" applyAlignment="1">
      <alignment horizontal="left" vertical="center"/>
    </xf>
    <xf numFmtId="0" fontId="20" fillId="0" borderId="111" xfId="0" applyFont="1" applyBorder="1" applyAlignment="1">
      <alignment horizontal="center" vertical="center"/>
    </xf>
    <xf numFmtId="0" fontId="20" fillId="0" borderId="155" xfId="0" applyFont="1" applyBorder="1" applyAlignment="1">
      <alignment horizontal="left" vertical="center"/>
    </xf>
    <xf numFmtId="0" fontId="20" fillId="10" borderId="154" xfId="0" applyFont="1" applyFill="1" applyBorder="1" applyAlignment="1" applyProtection="1">
      <alignment horizontal="center" vertical="center"/>
    </xf>
    <xf numFmtId="0" fontId="20" fillId="10" borderId="305" xfId="0" applyFont="1" applyFill="1" applyBorder="1" applyAlignment="1" applyProtection="1">
      <alignment horizontal="center" vertical="center"/>
      <protection locked="0"/>
    </xf>
    <xf numFmtId="0" fontId="20" fillId="10" borderId="156" xfId="0" applyFont="1" applyFill="1" applyBorder="1" applyAlignment="1" applyProtection="1">
      <alignment horizontal="center" vertical="center"/>
      <protection locked="0"/>
    </xf>
    <xf numFmtId="0" fontId="58" fillId="0" borderId="300" xfId="0" applyFont="1" applyBorder="1" applyAlignment="1">
      <alignment vertical="center"/>
    </xf>
    <xf numFmtId="14" fontId="59" fillId="0" borderId="300" xfId="0" applyNumberFormat="1" applyFont="1" applyBorder="1" applyAlignment="1">
      <alignment vertical="center"/>
    </xf>
    <xf numFmtId="0" fontId="59" fillId="0" borderId="300" xfId="0" applyFont="1" applyBorder="1" applyAlignment="1">
      <alignment vertical="center"/>
    </xf>
    <xf numFmtId="0" fontId="20" fillId="10" borderId="61" xfId="0" applyFont="1" applyFill="1" applyBorder="1" applyAlignment="1" applyProtection="1">
      <alignment horizontal="left" vertical="center"/>
      <protection locked="0"/>
    </xf>
    <xf numFmtId="0" fontId="21" fillId="10" borderId="294" xfId="0" applyFont="1" applyFill="1" applyBorder="1" applyAlignment="1" applyProtection="1">
      <alignment horizontal="center" vertical="center"/>
      <protection locked="0"/>
    </xf>
    <xf numFmtId="0" fontId="21" fillId="0" borderId="274" xfId="0" applyFont="1" applyFill="1" applyBorder="1" applyAlignment="1" applyProtection="1">
      <alignment horizontal="center"/>
    </xf>
    <xf numFmtId="0" fontId="60" fillId="0" borderId="0" xfId="0" applyFont="1" applyFill="1" applyBorder="1" applyAlignment="1"/>
    <xf numFmtId="0" fontId="66" fillId="0" borderId="0" xfId="0" applyNumberFormat="1" applyFont="1" applyAlignment="1" applyProtection="1">
      <alignment horizontal="center" vertical="center" wrapTex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63" xfId="0" applyFont="1" applyFill="1" applyBorder="1" applyAlignment="1" applyProtection="1">
      <alignment horizontal="left" vertical="center" shrinkToFit="1"/>
      <protection locked="0"/>
    </xf>
    <xf numFmtId="49" fontId="24" fillId="0" borderId="72" xfId="0" applyNumberFormat="1" applyFont="1" applyBorder="1" applyAlignment="1">
      <alignment horizontal="center" vertical="center"/>
    </xf>
    <xf numFmtId="0" fontId="20" fillId="10" borderId="73" xfId="0" applyFont="1" applyFill="1" applyBorder="1" applyAlignment="1" applyProtection="1">
      <alignment horizontal="left" vertical="center" shrinkToFit="1"/>
      <protection locked="0"/>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21" fillId="0" borderId="148" xfId="0" applyFont="1" applyBorder="1" applyAlignment="1">
      <alignment horizontal="left" vertical="center" indent="1"/>
    </xf>
    <xf numFmtId="0" fontId="21" fillId="0" borderId="151"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0" fillId="0" borderId="74" xfId="0" applyFont="1" applyBorder="1" applyAlignment="1">
      <alignment horizontal="left" vertical="center"/>
    </xf>
    <xf numFmtId="0" fontId="20" fillId="10" borderId="60" xfId="0" applyFont="1" applyFill="1" applyBorder="1" applyAlignment="1" applyProtection="1">
      <alignment horizontal="right" vertical="center" indent="1"/>
      <protection locked="0"/>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2" fillId="0" borderId="74" xfId="0" applyFont="1" applyBorder="1" applyAlignment="1">
      <alignment horizontal="left" vertical="center"/>
    </xf>
    <xf numFmtId="0" fontId="62" fillId="0" borderId="87" xfId="0" applyFont="1" applyBorder="1" applyAlignment="1">
      <alignment horizontal="left" vertical="center"/>
    </xf>
    <xf numFmtId="0" fontId="21" fillId="15" borderId="234" xfId="0" applyFont="1" applyFill="1" applyBorder="1" applyAlignment="1">
      <alignment horizontal="left" vertical="center" indent="1"/>
    </xf>
    <xf numFmtId="0" fontId="21" fillId="15" borderId="237" xfId="0" applyFont="1" applyFill="1" applyBorder="1" applyAlignment="1">
      <alignment horizontal="left" vertical="center" indent="1"/>
    </xf>
    <xf numFmtId="167" fontId="20" fillId="15" borderId="274"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5" xfId="0" applyFont="1" applyFill="1" applyBorder="1" applyAlignment="1">
      <alignment horizontal="center" vertical="center"/>
    </xf>
    <xf numFmtId="0" fontId="20" fillId="15" borderId="238" xfId="0" applyFont="1" applyFill="1" applyBorder="1" applyAlignment="1">
      <alignment horizontal="center" vertical="center"/>
    </xf>
    <xf numFmtId="165" fontId="63" fillId="0" borderId="0" xfId="0" applyNumberFormat="1" applyFont="1" applyAlignment="1" applyProtection="1">
      <alignment horizontal="left" vertical="top" wrapText="1" indent="1"/>
    </xf>
    <xf numFmtId="0" fontId="0" fillId="0" borderId="0" xfId="0" applyAlignment="1">
      <alignment horizontal="center" vertical="center"/>
    </xf>
    <xf numFmtId="0" fontId="49" fillId="0" borderId="0" xfId="0" applyFont="1" applyAlignment="1">
      <alignment horizontal="center" vertical="top" textRotation="90"/>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54" fillId="0" borderId="76" xfId="0" applyFont="1" applyBorder="1" applyAlignment="1">
      <alignment horizontal="center"/>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4" fillId="9" borderId="264" xfId="0" applyFont="1" applyFill="1" applyBorder="1" applyAlignment="1">
      <alignment horizontal="center" vertical="center" shrinkToFit="1"/>
    </xf>
    <xf numFmtId="0" fontId="14" fillId="9" borderId="265" xfId="0" applyFont="1" applyFill="1" applyBorder="1" applyAlignment="1">
      <alignment horizontal="center" vertical="center" shrinkToFit="1"/>
    </xf>
    <xf numFmtId="0" fontId="14" fillId="9" borderId="266" xfId="0" applyFont="1" applyFill="1" applyBorder="1" applyAlignment="1">
      <alignment horizontal="center" vertical="center" shrinkToFit="1"/>
    </xf>
    <xf numFmtId="0" fontId="37" fillId="0" borderId="0" xfId="0" applyFont="1" applyAlignment="1">
      <alignment horizontal="center"/>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28" xfId="0" applyFont="1" applyFill="1" applyBorder="1" applyAlignment="1">
      <alignment horizontal="center" vertical="center"/>
    </xf>
    <xf numFmtId="0" fontId="57" fillId="0" borderId="0" xfId="0" applyFont="1" applyAlignment="1" applyProtection="1">
      <alignment horizontal="center" vertical="top" wrapText="1"/>
    </xf>
    <xf numFmtId="0" fontId="17" fillId="10" borderId="251" xfId="0" applyFont="1" applyFill="1" applyBorder="1" applyAlignment="1" applyProtection="1">
      <alignment horizontal="center" vertical="top"/>
      <protection locked="0"/>
    </xf>
    <xf numFmtId="0" fontId="17" fillId="10" borderId="252" xfId="0" applyFont="1" applyFill="1" applyBorder="1" applyAlignment="1" applyProtection="1">
      <alignment horizontal="center" vertical="top"/>
      <protection locked="0"/>
    </xf>
    <xf numFmtId="0" fontId="17" fillId="10" borderId="253" xfId="0" applyFont="1" applyFill="1" applyBorder="1" applyAlignment="1" applyProtection="1">
      <alignment horizontal="center" vertical="top"/>
      <protection locked="0"/>
    </xf>
    <xf numFmtId="14" fontId="26" fillId="10" borderId="254" xfId="0" applyNumberFormat="1" applyFont="1" applyFill="1" applyBorder="1" applyAlignment="1" applyProtection="1">
      <alignment horizontal="center" vertical="center"/>
      <protection locked="0"/>
    </xf>
    <xf numFmtId="14" fontId="26" fillId="10" borderId="204" xfId="0" applyNumberFormat="1" applyFont="1" applyFill="1" applyBorder="1" applyAlignment="1" applyProtection="1">
      <alignment horizontal="center" vertical="center"/>
      <protection locked="0"/>
    </xf>
    <xf numFmtId="14" fontId="26" fillId="10" borderId="255" xfId="0" applyNumberFormat="1" applyFont="1" applyFill="1" applyBorder="1" applyAlignment="1" applyProtection="1">
      <alignment horizontal="center" vertical="center"/>
      <protection locked="0"/>
    </xf>
    <xf numFmtId="0" fontId="26" fillId="10" borderId="254" xfId="0" applyFont="1" applyFill="1" applyBorder="1" applyAlignment="1" applyProtection="1">
      <alignment horizontal="center" vertical="center"/>
      <protection locked="0"/>
    </xf>
    <xf numFmtId="0" fontId="26" fillId="10" borderId="204" xfId="0" applyFont="1" applyFill="1" applyBorder="1" applyAlignment="1" applyProtection="1">
      <alignment horizontal="center" vertical="center"/>
      <protection locked="0"/>
    </xf>
    <xf numFmtId="0" fontId="26" fillId="10" borderId="255" xfId="0" applyFont="1" applyFill="1" applyBorder="1" applyAlignment="1" applyProtection="1">
      <alignment horizontal="center" vertical="center"/>
      <protection locked="0"/>
    </xf>
    <xf numFmtId="0" fontId="26" fillId="10" borderId="256" xfId="0" applyFont="1" applyFill="1" applyBorder="1" applyAlignment="1" applyProtection="1">
      <alignment horizontal="center" vertical="center"/>
      <protection locked="0"/>
    </xf>
    <xf numFmtId="0" fontId="26" fillId="10" borderId="257" xfId="0" applyFont="1" applyFill="1" applyBorder="1" applyAlignment="1" applyProtection="1">
      <alignment horizontal="center" vertical="center"/>
      <protection locked="0"/>
    </xf>
    <xf numFmtId="0" fontId="26" fillId="10" borderId="258" xfId="0" applyFont="1" applyFill="1" applyBorder="1" applyAlignment="1" applyProtection="1">
      <alignment horizontal="center" vertical="center"/>
      <protection locked="0"/>
    </xf>
    <xf numFmtId="0" fontId="55" fillId="16" borderId="196" xfId="0" applyFont="1" applyFill="1" applyBorder="1" applyAlignment="1" applyProtection="1">
      <alignment horizontal="center" vertical="center"/>
    </xf>
    <xf numFmtId="0" fontId="55" fillId="16" borderId="197" xfId="0" applyFont="1" applyFill="1" applyBorder="1" applyAlignment="1" applyProtection="1">
      <alignment horizontal="center" vertical="center"/>
    </xf>
    <xf numFmtId="0" fontId="55" fillId="16" borderId="301" xfId="0" applyFont="1" applyFill="1" applyBorder="1" applyAlignment="1" applyProtection="1">
      <alignment horizontal="center" vertical="center"/>
    </xf>
    <xf numFmtId="0" fontId="55" fillId="16" borderId="198" xfId="0" applyFont="1" applyFill="1" applyBorder="1" applyAlignment="1" applyProtection="1">
      <alignment horizontal="center" vertical="center"/>
    </xf>
    <xf numFmtId="0" fontId="55" fillId="16" borderId="199" xfId="0" applyFont="1" applyFill="1" applyBorder="1" applyAlignment="1" applyProtection="1">
      <alignment horizontal="center" vertical="center"/>
    </xf>
    <xf numFmtId="0" fontId="55" fillId="16" borderId="302" xfId="0" applyFont="1" applyFill="1" applyBorder="1" applyAlignment="1" applyProtection="1">
      <alignment horizontal="center" vertical="center"/>
    </xf>
    <xf numFmtId="0" fontId="58" fillId="0" borderId="251" xfId="0" applyFont="1" applyBorder="1" applyAlignment="1">
      <alignment horizontal="center" vertical="center"/>
    </xf>
    <xf numFmtId="0" fontId="58" fillId="0" borderId="252" xfId="0" applyFont="1" applyBorder="1" applyAlignment="1">
      <alignment horizontal="center" vertical="center"/>
    </xf>
    <xf numFmtId="0" fontId="58" fillId="0" borderId="253" xfId="0" applyFont="1" applyBorder="1" applyAlignment="1">
      <alignment horizontal="center" vertical="center"/>
    </xf>
    <xf numFmtId="14" fontId="59" fillId="0" borderId="254" xfId="0" applyNumberFormat="1" applyFont="1" applyBorder="1" applyAlignment="1">
      <alignment horizontal="center" vertical="center"/>
    </xf>
    <xf numFmtId="14" fontId="59" fillId="0" borderId="204" xfId="0" applyNumberFormat="1" applyFont="1" applyBorder="1" applyAlignment="1">
      <alignment horizontal="center" vertical="center"/>
    </xf>
    <xf numFmtId="14" fontId="59" fillId="0" borderId="255" xfId="0" applyNumberFormat="1" applyFont="1" applyBorder="1" applyAlignment="1">
      <alignment horizontal="center" vertical="center"/>
    </xf>
    <xf numFmtId="0" fontId="59" fillId="0" borderId="254" xfId="0" applyFont="1" applyBorder="1" applyAlignment="1">
      <alignment horizontal="center" vertical="center"/>
    </xf>
    <xf numFmtId="0" fontId="59" fillId="0" borderId="204" xfId="0" applyFont="1" applyBorder="1" applyAlignment="1">
      <alignment horizontal="center" vertical="center"/>
    </xf>
    <xf numFmtId="0" fontId="59" fillId="0" borderId="255" xfId="0" applyFont="1" applyBorder="1" applyAlignment="1">
      <alignment horizontal="center" vertical="center"/>
    </xf>
    <xf numFmtId="0" fontId="59" fillId="0" borderId="256" xfId="0" applyFont="1" applyBorder="1" applyAlignment="1">
      <alignment horizontal="center" vertical="center"/>
    </xf>
    <xf numFmtId="0" fontId="59" fillId="0" borderId="257" xfId="0" applyFont="1" applyBorder="1" applyAlignment="1">
      <alignment horizontal="center" vertical="center"/>
    </xf>
    <xf numFmtId="0" fontId="59" fillId="0" borderId="258" xfId="0" applyFont="1" applyBorder="1" applyAlignment="1">
      <alignment horizontal="center" vertical="center"/>
    </xf>
    <xf numFmtId="0" fontId="60" fillId="16" borderId="0" xfId="0" applyFont="1" applyFill="1" applyBorder="1" applyAlignment="1">
      <alignment horizontal="center" vertical="center"/>
    </xf>
    <xf numFmtId="0" fontId="14" fillId="9" borderId="229"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120" xfId="0" applyFont="1" applyFill="1" applyBorder="1" applyAlignment="1">
      <alignment horizontal="center" vertical="center"/>
    </xf>
    <xf numFmtId="0" fontId="14" fillId="9" borderId="263" xfId="0" applyFont="1" applyFill="1" applyBorder="1" applyAlignment="1">
      <alignment horizontal="center" vertical="center"/>
    </xf>
    <xf numFmtId="0" fontId="30" fillId="9" borderId="229"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71" fillId="0" borderId="76" xfId="0" applyNumberFormat="1" applyFont="1" applyBorder="1" applyAlignment="1">
      <alignment horizontal="center" wrapText="1"/>
    </xf>
    <xf numFmtId="0" fontId="72" fillId="0" borderId="0" xfId="0" applyFont="1" applyAlignment="1">
      <alignment horizontal="center"/>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39" fillId="0" borderId="61" xfId="0" applyFont="1" applyBorder="1" applyAlignment="1">
      <alignment horizontal="left" vertical="center" indent="1"/>
    </xf>
    <xf numFmtId="0" fontId="39" fillId="0" borderId="201"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164" fontId="20" fillId="0" borderId="200"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0" fontId="14" fillId="9" borderId="134" xfId="0" applyFont="1" applyFill="1" applyBorder="1" applyAlignment="1">
      <alignment horizontal="center" vertical="center"/>
    </xf>
    <xf numFmtId="0" fontId="14" fillId="9" borderId="303" xfId="0" applyFont="1" applyFill="1" applyBorder="1" applyAlignment="1">
      <alignment horizontal="center" vertical="center"/>
    </xf>
    <xf numFmtId="0" fontId="14" fillId="9" borderId="132" xfId="0" applyFont="1" applyFill="1" applyBorder="1" applyAlignment="1">
      <alignment horizontal="center" vertical="center"/>
    </xf>
    <xf numFmtId="0" fontId="14" fillId="9" borderId="133" xfId="0" applyFont="1" applyFill="1" applyBorder="1" applyAlignment="1">
      <alignment horizontal="center" vertical="center"/>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60" fillId="16" borderId="196" xfId="0" applyFont="1" applyFill="1" applyBorder="1" applyAlignment="1">
      <alignment horizontal="center" vertical="center"/>
    </xf>
    <xf numFmtId="0" fontId="60" fillId="16" borderId="197" xfId="0" applyFont="1" applyFill="1" applyBorder="1" applyAlignment="1">
      <alignment horizontal="center" vertical="center"/>
    </xf>
    <xf numFmtId="0" fontId="60" fillId="16" borderId="301" xfId="0" applyFont="1" applyFill="1" applyBorder="1" applyAlignment="1">
      <alignment horizontal="center" vertical="center"/>
    </xf>
    <xf numFmtId="0" fontId="60" fillId="16" borderId="198" xfId="0" applyFont="1" applyFill="1" applyBorder="1" applyAlignment="1">
      <alignment horizontal="center" vertical="center"/>
    </xf>
    <xf numFmtId="0" fontId="60" fillId="16" borderId="199" xfId="0" applyFont="1" applyFill="1" applyBorder="1" applyAlignment="1">
      <alignment horizontal="center" vertical="center"/>
    </xf>
    <xf numFmtId="0" fontId="60" fillId="16" borderId="302" xfId="0" applyFont="1" applyFill="1" applyBorder="1" applyAlignment="1">
      <alignment horizontal="center" vertical="center"/>
    </xf>
    <xf numFmtId="0" fontId="21" fillId="17" borderId="207"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76" xfId="0" applyNumberFormat="1" applyFont="1" applyBorder="1" applyAlignment="1">
      <alignment horizontal="left"/>
    </xf>
    <xf numFmtId="167" fontId="24" fillId="0" borderId="244" xfId="0" applyNumberFormat="1" applyFont="1" applyBorder="1" applyAlignment="1">
      <alignment horizontal="left"/>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60" fillId="16" borderId="230" xfId="0" applyFont="1" applyFill="1" applyBorder="1" applyAlignment="1">
      <alignment horizontal="center" vertical="center"/>
    </xf>
    <xf numFmtId="0" fontId="60" fillId="16" borderId="231" xfId="0" applyFont="1" applyFill="1" applyBorder="1" applyAlignment="1">
      <alignment horizontal="center" vertical="center"/>
    </xf>
    <xf numFmtId="0" fontId="60" fillId="16" borderId="306" xfId="0" applyFont="1" applyFill="1" applyBorder="1" applyAlignment="1">
      <alignment horizontal="center" vertical="center"/>
    </xf>
    <xf numFmtId="0" fontId="60" fillId="16" borderId="232" xfId="0" applyFont="1" applyFill="1" applyBorder="1" applyAlignment="1">
      <alignment horizontal="center" vertical="center"/>
    </xf>
    <xf numFmtId="0" fontId="60" fillId="16" borderId="233" xfId="0" applyFont="1" applyFill="1" applyBorder="1" applyAlignment="1">
      <alignment horizontal="center" vertical="center"/>
    </xf>
    <xf numFmtId="0" fontId="60" fillId="16" borderId="307" xfId="0" applyFont="1" applyFill="1" applyBorder="1" applyAlignment="1">
      <alignment horizontal="center" vertical="center"/>
    </xf>
    <xf numFmtId="0" fontId="18" fillId="0" borderId="0" xfId="0" applyFont="1" applyBorder="1" applyAlignment="1">
      <alignment horizontal="center" wrapText="1"/>
    </xf>
    <xf numFmtId="167" fontId="21" fillId="15" borderId="0" xfId="0" applyNumberFormat="1" applyFont="1" applyFill="1" applyAlignment="1">
      <alignment horizontal="left" vertical="center" indent="1"/>
    </xf>
    <xf numFmtId="0" fontId="21" fillId="15" borderId="0" xfId="0" applyFont="1" applyFill="1" applyAlignment="1">
      <alignment horizontal="right" vertical="center"/>
    </xf>
    <xf numFmtId="0" fontId="13" fillId="9" borderId="267" xfId="0" applyFont="1" applyFill="1" applyBorder="1" applyAlignment="1">
      <alignment horizontal="center" vertical="center" shrinkToFit="1"/>
    </xf>
    <xf numFmtId="0" fontId="13" fillId="9" borderId="268" xfId="0" applyFont="1" applyFill="1" applyBorder="1" applyAlignment="1">
      <alignment horizontal="center" vertical="center" shrinkToFit="1"/>
    </xf>
    <xf numFmtId="0" fontId="54" fillId="0" borderId="76" xfId="0" applyFont="1" applyBorder="1" applyAlignment="1">
      <alignment horizontal="left"/>
    </xf>
    <xf numFmtId="0" fontId="60" fillId="16" borderId="270" xfId="0" applyFont="1" applyFill="1" applyBorder="1" applyAlignment="1">
      <alignment horizontal="center" vertical="center"/>
    </xf>
    <xf numFmtId="0" fontId="60" fillId="16" borderId="271" xfId="0" applyFont="1" applyFill="1" applyBorder="1" applyAlignment="1">
      <alignment horizontal="center" vertical="center"/>
    </xf>
    <xf numFmtId="0" fontId="14" fillId="9" borderId="118" xfId="0" applyFont="1" applyFill="1" applyBorder="1" applyAlignment="1">
      <alignment horizontal="center" vertical="center"/>
    </xf>
    <xf numFmtId="0" fontId="14" fillId="9" borderId="140" xfId="0" applyFont="1" applyFill="1" applyBorder="1" applyAlignment="1">
      <alignment horizontal="center" vertical="center"/>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lef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50" fillId="0" borderId="0" xfId="0" applyFont="1" applyAlignment="1">
      <alignment horizontal="center"/>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12" fillId="0" borderId="76"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left" vertical="center" shrinkToFit="1"/>
      <protection hidden="1"/>
    </xf>
    <xf numFmtId="0" fontId="7" fillId="0" borderId="43" xfId="0" applyNumberFormat="1" applyFont="1" applyFill="1" applyBorder="1" applyAlignment="1" applyProtection="1">
      <alignment horizontal="left" vertical="center" shrinkToFit="1"/>
      <protection hidden="1"/>
    </xf>
    <xf numFmtId="0" fontId="7" fillId="0" borderId="0" xfId="0" applyNumberFormat="1" applyFont="1" applyFill="1" applyBorder="1" applyAlignment="1" applyProtection="1">
      <alignment horizontal="left" vertical="center" shrinkToFit="1"/>
      <protection hidden="1"/>
    </xf>
    <xf numFmtId="0" fontId="7" fillId="0" borderId="45" xfId="0" applyNumberFormat="1" applyFont="1" applyFill="1" applyBorder="1" applyAlignment="1" applyProtection="1">
      <alignment horizontal="left" vertical="center" shrinkToFit="1"/>
      <protection hidden="1"/>
    </xf>
    <xf numFmtId="0" fontId="7" fillId="0" borderId="76" xfId="0" applyNumberFormat="1" applyFont="1" applyFill="1" applyBorder="1" applyAlignment="1" applyProtection="1">
      <alignment horizontal="left" vertical="center" shrinkToFit="1"/>
      <protection hidden="1"/>
    </xf>
    <xf numFmtId="0" fontId="7" fillId="0" borderId="47" xfId="0" applyNumberFormat="1" applyFont="1" applyFill="1" applyBorder="1" applyAlignment="1" applyProtection="1">
      <alignment horizontal="left" vertical="center" shrinkToFit="1"/>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21" fillId="10" borderId="135" xfId="0" applyFont="1" applyFill="1" applyBorder="1" applyAlignment="1" applyProtection="1">
      <alignment horizontal="center" vertical="center"/>
      <protection locked="0"/>
    </xf>
  </cellXfs>
  <cellStyles count="4">
    <cellStyle name="Berechnung" xfId="2" builtinId="22"/>
    <cellStyle name="Link" xfId="3" builtinId="8"/>
    <cellStyle name="Standard" xfId="0" builtinId="0"/>
    <cellStyle name="Standard 2" xfId="1" xr:uid="{00000000-0005-0000-0000-000001000000}"/>
  </cellStyles>
  <dxfs count="50">
    <dxf>
      <font>
        <b/>
        <i val="0"/>
      </font>
      <fill>
        <patternFill>
          <bgColor rgb="FFFFFF00"/>
        </patternFill>
      </fill>
    </dxf>
    <dxf>
      <font>
        <b/>
        <i val="0"/>
      </font>
      <fill>
        <patternFill>
          <bgColor rgb="FFFFFF00"/>
        </patternFill>
      </fill>
    </dxf>
    <dxf>
      <font>
        <b/>
        <i val="0"/>
      </font>
      <fill>
        <patternFill>
          <bgColor rgb="FFFFFF00"/>
        </patternFill>
      </fill>
    </dxf>
    <dxf>
      <font>
        <color rgb="FFDA0000"/>
      </font>
    </dxf>
    <dxf>
      <font>
        <color rgb="FFDA0000"/>
      </font>
    </dxf>
    <dxf>
      <font>
        <color rgb="FFDA0000"/>
      </font>
    </dxf>
    <dxf>
      <font>
        <color rgb="FFDA0000"/>
      </font>
    </dxf>
    <dxf>
      <numFmt numFmtId="165" formatCode=";;;"/>
    </dxf>
    <dxf>
      <font>
        <color rgb="FFFF0000"/>
      </font>
    </dxf>
    <dxf>
      <font>
        <color rgb="FFDA0000"/>
      </font>
    </dxf>
    <dxf>
      <numFmt numFmtId="165" formatCode=";;;"/>
    </dxf>
    <dxf>
      <font>
        <color theme="2" tint="-9.9948118533890809E-2"/>
      </font>
    </dxf>
    <dxf>
      <font>
        <color rgb="FFFF0000"/>
      </font>
    </dxf>
    <dxf>
      <font>
        <color theme="2" tint="-0.24994659260841701"/>
      </font>
    </dxf>
    <dxf>
      <font>
        <color rgb="FFFF0000"/>
      </font>
    </dxf>
    <dxf>
      <font>
        <color theme="2" tint="-0.24994659260841701"/>
      </font>
    </dxf>
    <dxf>
      <font>
        <color rgb="FFFF0000"/>
      </font>
    </dxf>
    <dxf>
      <font>
        <color rgb="FFFF0000"/>
      </font>
    </dxf>
    <dxf>
      <font>
        <color theme="2" tint="-9.9948118533890809E-2"/>
      </font>
    </dxf>
    <dxf>
      <numFmt numFmtId="165" formatCode=";;;"/>
    </dxf>
    <dxf>
      <font>
        <color rgb="FFFF0000"/>
      </font>
    </dxf>
    <dxf>
      <font>
        <color theme="2" tint="-9.9948118533890809E-2"/>
      </font>
    </dxf>
    <dxf>
      <font>
        <color theme="2" tint="-9.9948118533890809E-2"/>
      </font>
    </dxf>
    <dxf>
      <font>
        <color theme="2" tint="-9.9948118533890809E-2"/>
      </font>
    </dxf>
    <dxf>
      <font>
        <color theme="2" tint="-9.9948118533890809E-2"/>
      </font>
    </dxf>
    <dxf>
      <font>
        <color rgb="FFFF0000"/>
      </font>
    </dxf>
    <dxf>
      <font>
        <color theme="2" tint="-9.9948118533890809E-2"/>
      </font>
    </dxf>
    <dxf>
      <font>
        <color rgb="FFFF0000"/>
      </font>
    </dxf>
    <dxf>
      <font>
        <color theme="2" tint="-9.9948118533890809E-2"/>
      </font>
    </dxf>
    <dxf>
      <font>
        <color theme="2" tint="-9.9948118533890809E-2"/>
      </font>
    </dxf>
    <dxf>
      <font>
        <color rgb="FFFF0000"/>
      </font>
    </dxf>
    <dxf>
      <font>
        <color theme="2" tint="-9.9948118533890809E-2"/>
      </font>
    </dxf>
    <dxf>
      <border>
        <bottom style="thin">
          <color rgb="FFDA0000"/>
        </bottom>
        <vertical/>
        <horizontal/>
      </border>
    </dxf>
    <dxf>
      <border>
        <bottom style="dashDot">
          <color rgb="FFDA0000"/>
        </bottom>
        <vertical/>
        <horizontal/>
      </border>
    </dxf>
    <dxf>
      <font>
        <color theme="2" tint="-9.9948118533890809E-2"/>
      </font>
    </dxf>
    <dxf>
      <font>
        <color rgb="FFDA0000"/>
      </font>
    </dxf>
    <dxf>
      <numFmt numFmtId="165" formatCode=";;;"/>
    </dxf>
    <dxf>
      <border>
        <bottom style="thin">
          <color rgb="FFDA0000"/>
        </bottom>
        <vertical/>
        <horizontal/>
      </border>
    </dxf>
    <dxf>
      <border>
        <bottom style="dashDot">
          <color rgb="FFDA0000"/>
        </bottom>
        <vertical/>
        <horizontal/>
      </border>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FFFFCC"/>
      <color rgb="FFDA0000"/>
      <color rgb="FFFFB4B4"/>
      <color rgb="FFFFB3B3"/>
      <color rgb="FFFF9999"/>
      <color rgb="FFFDECE3"/>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xdr:row>
      <xdr:rowOff>161925</xdr:rowOff>
    </xdr:from>
    <xdr:to>
      <xdr:col>5</xdr:col>
      <xdr:colOff>695325</xdr:colOff>
      <xdr:row>6</xdr:row>
      <xdr:rowOff>28575</xdr:rowOff>
    </xdr:to>
    <xdr:pic>
      <xdr:nvPicPr>
        <xdr:cNvPr id="4" name="Grafik 3">
          <a:extLst>
            <a:ext uri="{FF2B5EF4-FFF2-40B4-BE49-F238E27FC236}">
              <a16:creationId xmlns:a16="http://schemas.microsoft.com/office/drawing/2014/main" id="{7FD5854B-A4B6-4AD4-95AE-0ACB68679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333375"/>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3</xdr:col>
      <xdr:colOff>533400</xdr:colOff>
      <xdr:row>5</xdr:row>
      <xdr:rowOff>104775</xdr:rowOff>
    </xdr:to>
    <xdr:pic>
      <xdr:nvPicPr>
        <xdr:cNvPr id="3" name="Grafik 2">
          <a:extLst>
            <a:ext uri="{FF2B5EF4-FFF2-40B4-BE49-F238E27FC236}">
              <a16:creationId xmlns:a16="http://schemas.microsoft.com/office/drawing/2014/main" id="{7B92CFCF-EC8C-41AD-BFC5-9F615C658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9527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44B7FF45-0530-4F03-8A2D-5FEDC5D2E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1</xdr:row>
      <xdr:rowOff>190500</xdr:rowOff>
    </xdr:from>
    <xdr:to>
      <xdr:col>4</xdr:col>
      <xdr:colOff>504825</xdr:colOff>
      <xdr:row>5</xdr:row>
      <xdr:rowOff>161925</xdr:rowOff>
    </xdr:to>
    <xdr:pic>
      <xdr:nvPicPr>
        <xdr:cNvPr id="3" name="Grafik 2">
          <a:extLst>
            <a:ext uri="{FF2B5EF4-FFF2-40B4-BE49-F238E27FC236}">
              <a16:creationId xmlns:a16="http://schemas.microsoft.com/office/drawing/2014/main" id="{971FFC7B-F5F2-4C7A-B6AC-F9275A079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361950"/>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4</xdr:col>
      <xdr:colOff>266700</xdr:colOff>
      <xdr:row>5</xdr:row>
      <xdr:rowOff>152400</xdr:rowOff>
    </xdr:to>
    <xdr:pic>
      <xdr:nvPicPr>
        <xdr:cNvPr id="3" name="Grafik 2">
          <a:extLst>
            <a:ext uri="{FF2B5EF4-FFF2-40B4-BE49-F238E27FC236}">
              <a16:creationId xmlns:a16="http://schemas.microsoft.com/office/drawing/2014/main" id="{0C91F4B1-1168-4DA9-8F72-BBF542FF2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52425"/>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381000</xdr:colOff>
      <xdr:row>1</xdr:row>
      <xdr:rowOff>142875</xdr:rowOff>
    </xdr:from>
    <xdr:to>
      <xdr:col>4</xdr:col>
      <xdr:colOff>219075</xdr:colOff>
      <xdr:row>5</xdr:row>
      <xdr:rowOff>123825</xdr:rowOff>
    </xdr:to>
    <xdr:pic>
      <xdr:nvPicPr>
        <xdr:cNvPr id="3" name="Grafik 2">
          <a:extLst>
            <a:ext uri="{FF2B5EF4-FFF2-40B4-BE49-F238E27FC236}">
              <a16:creationId xmlns:a16="http://schemas.microsoft.com/office/drawing/2014/main" id="{26C2A8B2-4641-4956-BB1C-4FAF863BA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314325"/>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2</xdr:colOff>
      <xdr:row>51</xdr:row>
      <xdr:rowOff>104775</xdr:rowOff>
    </xdr:to>
    <xdr:sp macro="" textlink="">
      <xdr:nvSpPr>
        <xdr:cNvPr id="2" name="Textfeld 1">
          <a:extLst>
            <a:ext uri="{FF2B5EF4-FFF2-40B4-BE49-F238E27FC236}">
              <a16:creationId xmlns:a16="http://schemas.microsoft.com/office/drawing/2014/main" id="{D152B210-3D47-424F-90A2-FB3991AAECDD}"/>
            </a:ext>
          </a:extLst>
        </xdr:cNvPr>
        <xdr:cNvSpPr txBox="1"/>
      </xdr:nvSpPr>
      <xdr:spPr>
        <a:xfrm>
          <a:off x="762000" y="323850"/>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12</xdr:col>
      <xdr:colOff>0</xdr:colOff>
      <xdr:row>2</xdr:row>
      <xdr:rowOff>0</xdr:rowOff>
    </xdr:from>
    <xdr:to>
      <xdr:col>22</xdr:col>
      <xdr:colOff>2</xdr:colOff>
      <xdr:row>51</xdr:row>
      <xdr:rowOff>95251</xdr:rowOff>
    </xdr:to>
    <xdr:sp macro="" textlink="">
      <xdr:nvSpPr>
        <xdr:cNvPr id="3" name="Textfeld 2">
          <a:extLst>
            <a:ext uri="{FF2B5EF4-FFF2-40B4-BE49-F238E27FC236}">
              <a16:creationId xmlns:a16="http://schemas.microsoft.com/office/drawing/2014/main" id="{74507BFE-3ED6-4EA8-8061-ECDC71B26D30}"/>
            </a:ext>
          </a:extLst>
        </xdr:cNvPr>
        <xdr:cNvSpPr txBox="1"/>
      </xdr:nvSpPr>
      <xdr:spPr>
        <a:xfrm>
          <a:off x="9144000" y="323850"/>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a:t>
          </a:r>
          <a:r>
            <a:rPr lang="de-DE" sz="1400" b="0" baseline="0">
              <a:solidFill>
                <a:sysClr val="windowText" lastClr="000000"/>
              </a:solidFill>
              <a:latin typeface="+mn-lt"/>
              <a:ea typeface="+mn-ea"/>
              <a:cs typeface="+mn-cs"/>
            </a:rPr>
            <a:t>oder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xdr:col>
      <xdr:colOff>0</xdr:colOff>
      <xdr:row>54</xdr:row>
      <xdr:rowOff>0</xdr:rowOff>
    </xdr:from>
    <xdr:to>
      <xdr:col>10</xdr:col>
      <xdr:colOff>752475</xdr:colOff>
      <xdr:row>98</xdr:row>
      <xdr:rowOff>152400</xdr:rowOff>
    </xdr:to>
    <xdr:sp macro="" textlink="">
      <xdr:nvSpPr>
        <xdr:cNvPr id="4" name="Textfeld 3">
          <a:extLst>
            <a:ext uri="{FF2B5EF4-FFF2-40B4-BE49-F238E27FC236}">
              <a16:creationId xmlns:a16="http://schemas.microsoft.com/office/drawing/2014/main" id="{E376D7E3-F259-43A5-A542-A20A2189D4A8}"/>
            </a:ext>
          </a:extLst>
        </xdr:cNvPr>
        <xdr:cNvSpPr txBox="1"/>
      </xdr:nvSpPr>
      <xdr:spPr>
        <a:xfrm>
          <a:off x="762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t>Number of sets won (set points) from all group matches</a:t>
          </a:r>
        </a:p>
        <a:p>
          <a:r>
            <a:rPr lang="de-DE" sz="1100" baseline="0">
              <a:solidFill>
                <a:schemeClr val="dk1"/>
              </a:solidFill>
              <a:effectLst/>
              <a:latin typeface="+mn-lt"/>
              <a:ea typeface="+mn-ea"/>
              <a:cs typeface="+mn-cs"/>
            </a:rPr>
            <a:t>2.   </a:t>
          </a:r>
          <a:r>
            <a:rPr lang="de-DE" sz="1100"/>
            <a:t>Difference or quotient of ball points from all group matches</a:t>
          </a:r>
        </a:p>
        <a:p>
          <a:r>
            <a:rPr lang="de-DE" sz="1100" baseline="0">
              <a:solidFill>
                <a:schemeClr val="dk1"/>
              </a:solidFill>
              <a:effectLst/>
              <a:latin typeface="+mn-lt"/>
              <a:ea typeface="+mn-ea"/>
              <a:cs typeface="+mn-cs"/>
            </a:rPr>
            <a:t>3.   </a:t>
          </a:r>
          <a:r>
            <a:rPr lang="de-DE" sz="1100"/>
            <a:t>Number of sets won (set points) from the direct comparison</a:t>
          </a:r>
        </a:p>
        <a:p>
          <a:r>
            <a:rPr lang="de-DE" sz="1100" baseline="0">
              <a:solidFill>
                <a:schemeClr val="dk1"/>
              </a:solidFill>
              <a:effectLst/>
              <a:latin typeface="+mn-lt"/>
              <a:ea typeface="+mn-ea"/>
              <a:cs typeface="+mn-cs"/>
            </a:rPr>
            <a:t>4.   </a:t>
          </a:r>
          <a:r>
            <a:rPr lang="de-DE" sz="1100"/>
            <a:t>Difference in ball points from the direct comparison</a:t>
          </a:r>
        </a:p>
        <a:p>
          <a:r>
            <a:rPr lang="de-DE" sz="1100" baseline="0">
              <a:solidFill>
                <a:schemeClr val="dk1"/>
              </a:solidFill>
              <a:effectLst/>
              <a:latin typeface="+mn-lt"/>
              <a:ea typeface="+mn-ea"/>
              <a:cs typeface="+mn-cs"/>
            </a:rPr>
            <a:t>5.   P</a:t>
          </a:r>
          <a:r>
            <a:rPr lang="de-DE" sz="1100"/>
            <a:t>layoff or drawing of lots</a:t>
          </a:r>
        </a:p>
        <a:p>
          <a:endParaRPr lang="de-DE" sz="800"/>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worksheet you can choose between ball difference and ball quotient.</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In the case of a direct comparison, it may be interesting to display the worksheets </a:t>
          </a:r>
          <a:r>
            <a:rPr lang="de-DE" sz="1400" b="1"/>
            <a:t>DirComp_A</a:t>
          </a:r>
          <a:r>
            <a:rPr lang="de-DE" sz="1400"/>
            <a:t>, </a:t>
          </a:r>
          <a:r>
            <a:rPr lang="de-DE" sz="1400" b="1"/>
            <a:t>DirComp_B</a:t>
          </a:r>
          <a:r>
            <a:rPr lang="de-DE" sz="1400"/>
            <a:t>, </a:t>
          </a:r>
          <a:r>
            <a:rPr lang="de-DE" sz="1400" b="1"/>
            <a:t>DirComp_C </a:t>
          </a:r>
          <a:r>
            <a:rPr lang="de-DE" sz="1400"/>
            <a:t>and </a:t>
          </a:r>
          <a:r>
            <a:rPr lang="de-DE" sz="1400" b="1"/>
            <a:t>DirComp_D </a:t>
          </a:r>
          <a:r>
            <a:rPr lang="de-DE" sz="1400"/>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t>In the rare case of a tie in criteria 1 to 4, the </a:t>
          </a:r>
          <a:r>
            <a:rPr lang="de-DE" sz="1400" b="1"/>
            <a:t>TieBreak</a:t>
          </a:r>
          <a:r>
            <a:rPr lang="de-DE" sz="1400"/>
            <a:t> worksheet can be displayed to enter playoff games.</a:t>
          </a:r>
        </a:p>
        <a:p>
          <a:r>
            <a:rPr lang="de-DE" sz="1400"/>
            <a:t>The results of the playoff games are automatically transferred to the group table.</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twoCellAnchor>
    <xdr:from>
      <xdr:col>12</xdr:col>
      <xdr:colOff>0</xdr:colOff>
      <xdr:row>54</xdr:row>
      <xdr:rowOff>0</xdr:rowOff>
    </xdr:from>
    <xdr:to>
      <xdr:col>21</xdr:col>
      <xdr:colOff>752475</xdr:colOff>
      <xdr:row>98</xdr:row>
      <xdr:rowOff>152400</xdr:rowOff>
    </xdr:to>
    <xdr:sp macro="" textlink="">
      <xdr:nvSpPr>
        <xdr:cNvPr id="5" name="Textfeld 4">
          <a:extLst>
            <a:ext uri="{FF2B5EF4-FFF2-40B4-BE49-F238E27FC236}">
              <a16:creationId xmlns:a16="http://schemas.microsoft.com/office/drawing/2014/main" id="{E7BF4C88-55AA-4B67-9FBB-AD8E1A29A065}"/>
            </a:ext>
          </a:extLst>
        </xdr:cNvPr>
        <xdr:cNvSpPr txBox="1"/>
      </xdr:nvSpPr>
      <xdr:spPr>
        <a:xfrm>
          <a:off x="9144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endParaRPr lang="de-DE" sz="1400">
            <a:effectLst/>
          </a:endParaRPr>
        </a:p>
        <a:p>
          <a:endParaRPr lang="de-DE" sz="800" b="1" baseline="0">
            <a:solidFill>
              <a:schemeClr val="tx1">
                <a:lumMod val="75000"/>
                <a:lumOff val="25000"/>
              </a:schemeClr>
            </a:solidFill>
          </a:endParaRPr>
        </a:p>
        <a:p>
          <a:r>
            <a:rPr lang="de-DE" sz="1200" b="1" baseline="0">
              <a:solidFill>
                <a:schemeClr val="tx1">
                  <a:lumMod val="75000"/>
                  <a:lumOff val="25000"/>
                </a:schemeClr>
              </a:solidFill>
            </a:rPr>
            <a:t>Kriterien:</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gewonnenen</a:t>
          </a:r>
          <a:r>
            <a:rPr lang="de-DE" sz="1100" baseline="0">
              <a:solidFill>
                <a:sysClr val="windowText" lastClr="000000"/>
              </a:solidFill>
              <a:latin typeface="+mn-lt"/>
              <a:ea typeface="+mn-ea"/>
              <a:cs typeface="+mn-cs"/>
            </a:rPr>
            <a:t> Sätze (Satzpunkte)</a:t>
          </a:r>
          <a:r>
            <a:rPr lang="de-DE" sz="1100">
              <a:solidFill>
                <a:sysClr val="windowText" lastClr="000000"/>
              </a:solidFill>
              <a:latin typeface="+mn-lt"/>
              <a:ea typeface="+mn-ea"/>
              <a:cs typeface="+mn-cs"/>
            </a:rPr>
            <a:t> aus allen Gruppenspielen</a:t>
          </a:r>
        </a:p>
        <a:p>
          <a:r>
            <a:rPr lang="de-DE" sz="1100" baseline="0">
              <a:solidFill>
                <a:sysClr val="windowText" lastClr="000000"/>
              </a:solidFill>
            </a:rPr>
            <a:t>2.   </a:t>
          </a:r>
          <a:r>
            <a:rPr lang="de-DE" sz="1100" baseline="0">
              <a:solidFill>
                <a:sysClr val="windowText" lastClr="000000"/>
              </a:solidFill>
              <a:latin typeface="+mn-lt"/>
              <a:ea typeface="+mn-ea"/>
              <a:cs typeface="+mn-cs"/>
            </a:rPr>
            <a:t>D</a:t>
          </a:r>
          <a:r>
            <a:rPr lang="de-DE" sz="1100">
              <a:solidFill>
                <a:sysClr val="windowText" lastClr="000000"/>
              </a:solidFill>
              <a:latin typeface="+mn-lt"/>
              <a:ea typeface="+mn-ea"/>
              <a:cs typeface="+mn-cs"/>
            </a:rPr>
            <a:t>ifferenz oder Quotient der Ballpunkte aus allen Gruppenspielen</a:t>
          </a:r>
        </a:p>
        <a:p>
          <a:r>
            <a:rPr lang="de-DE" sz="1100" baseline="0">
              <a:solidFill>
                <a:sysClr val="windowText" lastClr="000000"/>
              </a:solidFill>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p>
        <a:p>
          <a:r>
            <a:rPr lang="de-DE" sz="1100" baseline="0">
              <a:solidFill>
                <a:sysClr val="windowText" lastClr="000000"/>
              </a:solidFill>
            </a:rPr>
            <a:t>4.   </a:t>
          </a:r>
          <a:r>
            <a:rPr lang="de-DE" sz="1100" baseline="0">
              <a:solidFill>
                <a:schemeClr val="dk1"/>
              </a:solidFill>
              <a:effectLst/>
              <a:latin typeface="+mn-lt"/>
              <a:ea typeface="+mn-ea"/>
              <a:cs typeface="+mn-cs"/>
            </a:rPr>
            <a:t>D</a:t>
          </a:r>
          <a:r>
            <a:rPr lang="de-DE" sz="1100">
              <a:solidFill>
                <a:schemeClr val="dk1"/>
              </a:solidFill>
              <a:effectLst/>
              <a:latin typeface="+mn-lt"/>
              <a:ea typeface="+mn-ea"/>
              <a:cs typeface="+mn-cs"/>
            </a:rPr>
            <a:t>ifferenz der Ballpunkte aus dem direkten Vergleich</a:t>
          </a:r>
          <a:endParaRPr lang="de-DE">
            <a:effectLst/>
          </a:endParaRPr>
        </a:p>
        <a:p>
          <a:r>
            <a:rPr lang="de-DE" sz="1100" baseline="0">
              <a:solidFill>
                <a:sysClr val="windowText" lastClr="000000"/>
              </a:solidFill>
            </a:rPr>
            <a:t>5.   </a:t>
          </a:r>
          <a:r>
            <a:rPr lang="de-DE" sz="1100">
              <a:solidFill>
                <a:sysClr val="windowText" lastClr="000000"/>
              </a:solidFill>
              <a:latin typeface="+mn-lt"/>
              <a:ea typeface="+mn-ea"/>
              <a:cs typeface="+mn-cs"/>
            </a:rPr>
            <a:t>Entscheidungsspiel oder Losentscheid</a:t>
          </a:r>
        </a:p>
        <a:p>
          <a:endParaRPr lang="de-DE" sz="8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Auf dem Tabellenblatt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kann zwischen Balldifferenz und Ballquotient gewählt werden.</a:t>
          </a:r>
          <a:endParaRPr lang="de-DE" sz="1400">
            <a:solidFill>
              <a:schemeClr val="dk1"/>
            </a:solidFill>
            <a:latin typeface="+mn-lt"/>
            <a:ea typeface="+mn-ea"/>
            <a:cs typeface="+mn-cs"/>
          </a:endParaRP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DirVergleich_D</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a:t>
          </a:r>
          <a:r>
            <a:rPr lang="de-DE" sz="1400" b="0" baseline="0">
              <a:solidFill>
                <a:schemeClr val="dk1"/>
              </a:solidFill>
              <a:effectLst/>
              <a:latin typeface="+mn-lt"/>
              <a:ea typeface="+mn-ea"/>
              <a:cs typeface="+mn-cs"/>
            </a:rPr>
            <a:t> einblenden, um Entscheidungsspiele einzutragen.</a:t>
          </a: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I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15.7109375" style="47" customWidth="1"/>
    <col min="16" max="16" width="9" style="47" customWidth="1"/>
    <col min="17" max="17" width="8.42578125" style="47" customWidth="1"/>
    <col min="18" max="18" width="29.7109375" style="166" customWidth="1"/>
    <col min="19" max="19" width="12.42578125" style="166" customWidth="1"/>
    <col min="20" max="20" width="11.42578125" style="166" customWidth="1"/>
    <col min="21" max="21" width="10.7109375" style="166" customWidth="1"/>
    <col min="22" max="22" width="20" hidden="1" customWidth="1"/>
    <col min="23" max="59" width="4.7109375" hidden="1" customWidth="1"/>
    <col min="60" max="60" width="6" hidden="1" customWidth="1"/>
    <col min="61" max="61" width="5.28515625" hidden="1" customWidth="1"/>
    <col min="62" max="16384" width="11.42578125" hidden="1"/>
  </cols>
  <sheetData>
    <row r="1" spans="1:60" ht="9.75" customHeight="1" x14ac:dyDescent="0.25">
      <c r="A1" s="160"/>
    </row>
    <row r="2" spans="1:60" ht="33.75" x14ac:dyDescent="0.5">
      <c r="A2" s="159"/>
      <c r="B2" s="249"/>
      <c r="C2" s="249"/>
      <c r="D2" s="249"/>
      <c r="E2" s="815" t="str">
        <f>Sprache!$E$30</f>
        <v>Teilnehmer und Ablaufplan</v>
      </c>
      <c r="F2" s="815"/>
      <c r="G2" s="815"/>
      <c r="H2" s="815"/>
      <c r="I2" s="815"/>
      <c r="J2" s="815"/>
      <c r="K2" s="815"/>
      <c r="L2" s="815"/>
      <c r="M2" s="815"/>
      <c r="N2" s="815"/>
      <c r="O2" s="743"/>
      <c r="P2" s="249"/>
      <c r="Q2" s="249"/>
      <c r="R2" s="249"/>
      <c r="S2" s="249"/>
      <c r="T2" s="249"/>
    </row>
    <row r="3" spans="1:60" x14ac:dyDescent="0.25"/>
    <row r="4" spans="1:60" ht="29.25" customHeight="1" thickBot="1" x14ac:dyDescent="0.3">
      <c r="C4" s="296" t="str">
        <f>Sprache!$E$16&amp;" A"</f>
        <v>Gruppe A</v>
      </c>
      <c r="D4" s="168"/>
      <c r="E4" s="816" t="str">
        <f>Sprache!$E$32</f>
        <v>Ablaufplan</v>
      </c>
      <c r="F4" s="816"/>
      <c r="G4" s="324"/>
      <c r="H4" s="324"/>
      <c r="I4" s="324"/>
      <c r="J4" s="324"/>
      <c r="K4" s="324"/>
      <c r="L4" s="324"/>
      <c r="M4" s="324"/>
      <c r="N4" s="324"/>
      <c r="O4" s="418"/>
      <c r="P4" s="817" t="str">
        <f>Sprache!$E$20</f>
        <v>Zusätzl. Pause (min)</v>
      </c>
      <c r="R4" s="361" t="str">
        <f>Sprache!$E$41</f>
        <v>Spielzeiten</v>
      </c>
      <c r="X4" s="165">
        <v>1</v>
      </c>
      <c r="Y4" s="165"/>
      <c r="Z4" s="165"/>
      <c r="AA4" s="165"/>
      <c r="AB4" s="165"/>
      <c r="AC4" s="165"/>
      <c r="AD4" s="165">
        <v>2</v>
      </c>
      <c r="AE4" s="165"/>
      <c r="AF4" s="165"/>
      <c r="AG4" s="165"/>
      <c r="AH4" s="165"/>
      <c r="AI4" s="165"/>
      <c r="AJ4" s="165">
        <v>3</v>
      </c>
      <c r="AK4" s="165"/>
      <c r="AL4" s="165"/>
      <c r="AM4" s="165"/>
      <c r="AN4" s="165"/>
      <c r="AO4" s="165"/>
      <c r="AP4" s="165">
        <v>4</v>
      </c>
      <c r="AQ4" s="165"/>
      <c r="AR4" s="165"/>
      <c r="AS4" s="165"/>
      <c r="AT4" s="165"/>
      <c r="AU4" s="165"/>
      <c r="AV4" s="165">
        <v>5</v>
      </c>
      <c r="AW4" s="165"/>
      <c r="AX4" s="165"/>
      <c r="AY4" s="165"/>
      <c r="AZ4" s="165"/>
      <c r="BA4" s="165"/>
      <c r="BB4" s="165">
        <v>6</v>
      </c>
    </row>
    <row r="5" spans="1:60" ht="15.95" customHeight="1" thickTop="1" thickBot="1" x14ac:dyDescent="0.3">
      <c r="A5" s="68"/>
      <c r="B5" s="809"/>
      <c r="C5" s="811" t="str">
        <f>Sprache!$E$10</f>
        <v>Teilnehmer bzw. Mannschaft</v>
      </c>
      <c r="D5" s="64"/>
      <c r="E5" s="181" t="str">
        <f>Sprache!$E$33</f>
        <v>Spiel-Nr.</v>
      </c>
      <c r="F5" s="182" t="str">
        <f>Sprache!$E$39</f>
        <v>Beginn:</v>
      </c>
      <c r="G5" s="182" t="str">
        <f>Sprache!$E$48</f>
        <v>Feld</v>
      </c>
      <c r="H5" s="182" t="str">
        <f>Sprache!$E$17</f>
        <v>Grp</v>
      </c>
      <c r="I5" s="819" t="str">
        <f>Sprache!$E$34</f>
        <v>Paarungen</v>
      </c>
      <c r="J5" s="819"/>
      <c r="K5" s="819"/>
      <c r="L5" s="819" t="str">
        <f>Sprache!$E$31</f>
        <v>Teilnehmer</v>
      </c>
      <c r="M5" s="819"/>
      <c r="N5" s="820"/>
      <c r="O5" s="751" t="str">
        <f>Sprache!$E$78</f>
        <v>Schiedsrichter</v>
      </c>
      <c r="P5" s="818"/>
      <c r="R5" s="821" t="str">
        <f>Sprache!$E$39</f>
        <v>Beginn:</v>
      </c>
      <c r="S5" s="823">
        <v>0.375</v>
      </c>
      <c r="T5" s="825" t="str">
        <f>Sprache!$E$45</f>
        <v>Uhr</v>
      </c>
      <c r="U5" s="167"/>
      <c r="W5" s="402"/>
      <c r="X5" s="403">
        <v>1</v>
      </c>
      <c r="Y5" s="403">
        <v>2</v>
      </c>
      <c r="Z5" s="403">
        <v>3</v>
      </c>
      <c r="AA5" s="403">
        <v>4</v>
      </c>
      <c r="AB5" s="403">
        <v>5</v>
      </c>
      <c r="AC5" s="404">
        <v>6</v>
      </c>
      <c r="AD5" s="403">
        <v>1</v>
      </c>
      <c r="AE5" s="403">
        <v>2</v>
      </c>
      <c r="AF5" s="403">
        <v>3</v>
      </c>
      <c r="AG5" s="403">
        <v>4</v>
      </c>
      <c r="AH5" s="403">
        <v>5</v>
      </c>
      <c r="AI5" s="404">
        <v>6</v>
      </c>
      <c r="AJ5" s="403">
        <v>1</v>
      </c>
      <c r="AK5" s="403">
        <v>2</v>
      </c>
      <c r="AL5" s="403">
        <v>3</v>
      </c>
      <c r="AM5" s="403">
        <v>4</v>
      </c>
      <c r="AN5" s="403">
        <v>5</v>
      </c>
      <c r="AO5" s="404">
        <v>6</v>
      </c>
      <c r="AP5" s="403">
        <v>1</v>
      </c>
      <c r="AQ5" s="403">
        <v>2</v>
      </c>
      <c r="AR5" s="403">
        <v>3</v>
      </c>
      <c r="AS5" s="403">
        <v>4</v>
      </c>
      <c r="AT5" s="403">
        <v>5</v>
      </c>
      <c r="AU5" s="404">
        <v>6</v>
      </c>
      <c r="AV5" s="403">
        <v>1</v>
      </c>
      <c r="AW5" s="403">
        <v>2</v>
      </c>
      <c r="AX5" s="403">
        <v>3</v>
      </c>
      <c r="AY5" s="403">
        <v>4</v>
      </c>
      <c r="AZ5" s="403">
        <v>5</v>
      </c>
      <c r="BA5" s="404">
        <v>6</v>
      </c>
      <c r="BB5" s="403">
        <v>1</v>
      </c>
      <c r="BC5" s="403">
        <v>2</v>
      </c>
      <c r="BD5" s="403">
        <v>3</v>
      </c>
      <c r="BE5" s="403">
        <v>4</v>
      </c>
      <c r="BF5" s="403">
        <v>5</v>
      </c>
      <c r="BG5" s="404">
        <v>6</v>
      </c>
    </row>
    <row r="6" spans="1:60" ht="15.95" customHeight="1" x14ac:dyDescent="0.25">
      <c r="A6" s="68"/>
      <c r="B6" s="810"/>
      <c r="C6" s="812"/>
      <c r="D6" s="571">
        <v>1</v>
      </c>
      <c r="E6" s="534">
        <f>IF($D6&gt;Calc1!$B$14,"",1)</f>
        <v>1</v>
      </c>
      <c r="F6" s="183">
        <f>IF(OR($V$15,$D6&gt;Calc1!$B$14),"",$S$5)</f>
        <v>0.375</v>
      </c>
      <c r="G6" s="174" t="str">
        <f>IF(OR($V$15,$D6&gt;Calc1!$B$14),"","1")</f>
        <v>1</v>
      </c>
      <c r="H6" s="309" t="str">
        <f ca="1">IF($I6="","",IF(LEFT($I6,1)&lt;&gt;LEFT($K6,1),"??",LEFT($I6,1)))</f>
        <v>A</v>
      </c>
      <c r="I6" s="327" t="str">
        <f t="array" aca="1" ref="I6:I65" ca="1">IF(Calc1!$F$14&lt;3,"",IF(OFFSET(Pairings!$A$1,0,(Calc1!$F$14-2)*4-1,60,1)="","",OFFSET(Pairings!$A$1,0,(Calc1!$F$14-2)*4-1,60,1)))</f>
        <v>A5</v>
      </c>
      <c r="J6" s="328" t="s">
        <v>4</v>
      </c>
      <c r="K6" s="329" t="str">
        <f t="array" aca="1" ref="K6:K65" ca="1">IF(Calc1!$F$14&lt;3,"",IF(OFFSET(Pairings!$A$1,0,(Calc1!$F$14-2)*4,60,1)="","",OFFSET(Pairings!$A$1,0,(Calc1!$F$14-2)*4,60,1)))</f>
        <v>A2</v>
      </c>
      <c r="L6" s="178" t="str">
        <f ca="1">IF($I6="","",IF(VLOOKUP($I6,$B$7:$C$68,2,0)="","",VLOOKUP($I6,$B$7:$C$68,2,0)))</f>
        <v>VFB Essenheim</v>
      </c>
      <c r="M6" s="179" t="s">
        <v>4</v>
      </c>
      <c r="N6" s="180" t="str">
        <f ca="1">IF($K6="","",IF(VLOOKUP($K6,$B$7:$C$68,2,0)="","",VLOOKUP($K6,$B$7:$C$68,2,0)))</f>
        <v>FC Barcelona</v>
      </c>
      <c r="O6" s="754"/>
      <c r="P6" s="748"/>
      <c r="Q6" s="325"/>
      <c r="R6" s="822"/>
      <c r="S6" s="824"/>
      <c r="T6" s="826"/>
      <c r="U6" s="167"/>
      <c r="W6" s="405">
        <v>1</v>
      </c>
      <c r="X6" s="557">
        <v>6</v>
      </c>
      <c r="Y6" s="558">
        <v>6</v>
      </c>
      <c r="Z6" s="558">
        <v>6</v>
      </c>
      <c r="AA6" s="558">
        <v>6</v>
      </c>
      <c r="AB6" s="558">
        <v>6</v>
      </c>
      <c r="AC6" s="559">
        <v>6</v>
      </c>
      <c r="AD6" s="557">
        <v>6</v>
      </c>
      <c r="AE6" s="558">
        <v>6</v>
      </c>
      <c r="AF6" s="558">
        <v>6</v>
      </c>
      <c r="AG6" s="558">
        <v>6</v>
      </c>
      <c r="AH6" s="558">
        <v>6</v>
      </c>
      <c r="AI6" s="559">
        <v>6</v>
      </c>
      <c r="AJ6" s="557">
        <v>6</v>
      </c>
      <c r="AK6" s="558">
        <v>6</v>
      </c>
      <c r="AL6" s="558">
        <v>6</v>
      </c>
      <c r="AM6" s="558">
        <v>6</v>
      </c>
      <c r="AN6" s="558">
        <v>6</v>
      </c>
      <c r="AO6" s="559">
        <v>6</v>
      </c>
      <c r="AP6" s="557">
        <v>6</v>
      </c>
      <c r="AQ6" s="558">
        <v>6</v>
      </c>
      <c r="AR6" s="558">
        <v>6</v>
      </c>
      <c r="AS6" s="558">
        <v>6</v>
      </c>
      <c r="AT6" s="558">
        <v>6</v>
      </c>
      <c r="AU6" s="559">
        <v>6</v>
      </c>
      <c r="AV6" s="557">
        <v>6</v>
      </c>
      <c r="AW6" s="558">
        <v>6</v>
      </c>
      <c r="AX6" s="558">
        <v>6</v>
      </c>
      <c r="AY6" s="558">
        <v>6</v>
      </c>
      <c r="AZ6" s="558">
        <v>6</v>
      </c>
      <c r="BA6" s="559">
        <v>6</v>
      </c>
      <c r="BB6" s="557">
        <v>6</v>
      </c>
      <c r="BC6" s="558">
        <v>6</v>
      </c>
      <c r="BD6" s="558">
        <v>6</v>
      </c>
      <c r="BE6" s="558">
        <v>6</v>
      </c>
      <c r="BF6" s="558">
        <v>6</v>
      </c>
      <c r="BG6" s="559">
        <v>6</v>
      </c>
      <c r="BH6" s="466">
        <v>1</v>
      </c>
    </row>
    <row r="7" spans="1:60" ht="15.95" customHeight="1" x14ac:dyDescent="0.25">
      <c r="A7" s="68"/>
      <c r="B7" s="813" t="s">
        <v>191</v>
      </c>
      <c r="C7" s="814" t="s">
        <v>239</v>
      </c>
      <c r="D7" s="571">
        <v>2</v>
      </c>
      <c r="E7" s="528">
        <f t="array" aca="1" ref="E7" ca="1">IF($D7&gt;Calc1!$B$14,"",ROW(2:2)-SUM((($L$6:$L6="")+($N$6:$N6="")&gt;0)*1))</f>
        <v>2</v>
      </c>
      <c r="F7" s="173">
        <f ca="1">IF(OR($V$15,$D7&gt;Calc1!$B$14),"",$S$5+QUOTIENT(($E7-1),$V$11)*($S$7+$S$9)/1440+SUM($P$6:$P6)/1440)</f>
        <v>0.375</v>
      </c>
      <c r="G7" s="175">
        <f ca="1">IF(OR($V$15,$D7&gt;Calc1!$B$14),"",MOD($E7-1,$V$11)+1)</f>
        <v>2</v>
      </c>
      <c r="H7" s="309" t="str">
        <f t="shared" ref="H7:H64" ca="1" si="0">IF($I7="","",IF(LEFT($I7,1)&lt;&gt;LEFT($K7,1),"??",LEFT($I7,1)))</f>
        <v>B</v>
      </c>
      <c r="I7" s="330" t="str">
        <f ca="1"/>
        <v>B5</v>
      </c>
      <c r="J7" s="331" t="s">
        <v>4</v>
      </c>
      <c r="K7" s="332" t="str">
        <f ca="1"/>
        <v>B2</v>
      </c>
      <c r="L7" s="178" t="str">
        <f t="shared" ref="L7:L65" ca="1" si="1">IF($I7="","",IF(VLOOKUP($I7,$B$7:$C$68,2,0)="","",VLOOKUP($I7,$B$7:$C$68,2,0)))</f>
        <v>FC Grönlingen</v>
      </c>
      <c r="M7" s="179" t="s">
        <v>4</v>
      </c>
      <c r="N7" s="180" t="str">
        <f t="shared" ref="N7:N65" ca="1" si="2">IF($K7="","",IF(VLOOKUP($K7,$B$7:$C$68,2,0)="","",VLOOKUP($K7,$B$7:$C$68,2,0)))</f>
        <v>Inter Mailand</v>
      </c>
      <c r="O7" s="349"/>
      <c r="P7" s="749"/>
      <c r="Q7" s="325"/>
      <c r="R7" s="822" t="str">
        <f>Sprache!$E$42</f>
        <v>Spielzeit pro Spiel:</v>
      </c>
      <c r="S7" s="827">
        <v>30</v>
      </c>
      <c r="T7" s="826" t="s">
        <v>155</v>
      </c>
      <c r="U7" s="120"/>
      <c r="V7" t="s">
        <v>253</v>
      </c>
      <c r="W7" s="405">
        <v>2</v>
      </c>
      <c r="X7" s="560">
        <v>6</v>
      </c>
      <c r="Y7" s="561">
        <v>6</v>
      </c>
      <c r="Z7" s="561">
        <v>6</v>
      </c>
      <c r="AA7" s="561">
        <v>6</v>
      </c>
      <c r="AB7" s="561">
        <v>6</v>
      </c>
      <c r="AC7" s="562">
        <v>6</v>
      </c>
      <c r="AD7" s="560">
        <v>6</v>
      </c>
      <c r="AE7" s="561">
        <v>6</v>
      </c>
      <c r="AF7" s="561">
        <v>6</v>
      </c>
      <c r="AG7" s="561">
        <v>6</v>
      </c>
      <c r="AH7" s="561">
        <v>6</v>
      </c>
      <c r="AI7" s="562">
        <v>6</v>
      </c>
      <c r="AJ7" s="560">
        <v>6</v>
      </c>
      <c r="AK7" s="561">
        <v>6</v>
      </c>
      <c r="AL7" s="561">
        <v>6</v>
      </c>
      <c r="AM7" s="561">
        <v>6</v>
      </c>
      <c r="AN7" s="561">
        <v>6</v>
      </c>
      <c r="AO7" s="562">
        <v>6</v>
      </c>
      <c r="AP7" s="560">
        <v>6</v>
      </c>
      <c r="AQ7" s="561">
        <v>6</v>
      </c>
      <c r="AR7" s="561">
        <v>6</v>
      </c>
      <c r="AS7" s="561">
        <v>6</v>
      </c>
      <c r="AT7" s="561">
        <v>6</v>
      </c>
      <c r="AU7" s="562">
        <v>6</v>
      </c>
      <c r="AV7" s="560">
        <v>6</v>
      </c>
      <c r="AW7" s="561">
        <v>6</v>
      </c>
      <c r="AX7" s="561">
        <v>6</v>
      </c>
      <c r="AY7" s="561">
        <v>6</v>
      </c>
      <c r="AZ7" s="561">
        <v>6</v>
      </c>
      <c r="BA7" s="562">
        <v>6</v>
      </c>
      <c r="BB7" s="560">
        <v>6</v>
      </c>
      <c r="BC7" s="561">
        <v>6</v>
      </c>
      <c r="BD7" s="561">
        <v>6</v>
      </c>
      <c r="BE7" s="561">
        <v>6</v>
      </c>
      <c r="BF7" s="561">
        <v>6</v>
      </c>
      <c r="BG7" s="562">
        <v>6</v>
      </c>
      <c r="BH7" s="467"/>
    </row>
    <row r="8" spans="1:60" ht="15.95" customHeight="1" x14ac:dyDescent="0.25">
      <c r="A8" s="68"/>
      <c r="B8" s="800"/>
      <c r="C8" s="802"/>
      <c r="D8" s="571">
        <v>3</v>
      </c>
      <c r="E8" s="528">
        <f t="array" aca="1" ref="E8" ca="1">IF($D8&gt;Calc1!$B$14,"",ROW(3:3)-SUM((($L$6:$L7="")+($N$6:$N7="")&gt;0)*1))</f>
        <v>3</v>
      </c>
      <c r="F8" s="173">
        <f ca="1">IF(OR($V$15,$D8&gt;Calc1!$B$14),"",$S$5+QUOTIENT(($E8-1),$V$11)*($S$7+$S$9)/1440+SUM($P$6:$P7)/1440)</f>
        <v>0.375</v>
      </c>
      <c r="G8" s="175">
        <f ca="1">IF(OR($V$15,$D8&gt;Calc1!$B$14),"",MOD($E8-1,$V$11)+1)</f>
        <v>3</v>
      </c>
      <c r="H8" s="309" t="str">
        <f t="shared" ca="1" si="0"/>
        <v>C</v>
      </c>
      <c r="I8" s="330" t="str">
        <f ca="1"/>
        <v>C5</v>
      </c>
      <c r="J8" s="331" t="s">
        <v>4</v>
      </c>
      <c r="K8" s="332" t="str">
        <f ca="1"/>
        <v>C2</v>
      </c>
      <c r="L8" s="178" t="str">
        <f t="shared" ca="1" si="1"/>
        <v>1. FC Nürnberg</v>
      </c>
      <c r="M8" s="179" t="s">
        <v>4</v>
      </c>
      <c r="N8" s="180" t="str">
        <f t="shared" ca="1" si="2"/>
        <v>Real Madrid</v>
      </c>
      <c r="O8" s="349"/>
      <c r="P8" s="749"/>
      <c r="Q8" s="325"/>
      <c r="R8" s="822"/>
      <c r="S8" s="827"/>
      <c r="T8" s="826"/>
      <c r="U8" s="167"/>
      <c r="V8" t="s">
        <v>252</v>
      </c>
      <c r="W8" s="405">
        <v>3</v>
      </c>
      <c r="X8" s="560">
        <v>6</v>
      </c>
      <c r="Y8" s="561">
        <v>6</v>
      </c>
      <c r="Z8" s="561">
        <v>6</v>
      </c>
      <c r="AA8" s="561">
        <v>6</v>
      </c>
      <c r="AB8" s="561">
        <v>6</v>
      </c>
      <c r="AC8" s="562">
        <v>6</v>
      </c>
      <c r="AD8" s="560">
        <v>6</v>
      </c>
      <c r="AE8" s="561">
        <v>6</v>
      </c>
      <c r="AF8" s="561">
        <v>6</v>
      </c>
      <c r="AG8" s="561">
        <v>6</v>
      </c>
      <c r="AH8" s="561">
        <v>6</v>
      </c>
      <c r="AI8" s="562">
        <v>6</v>
      </c>
      <c r="AJ8" s="560">
        <v>6</v>
      </c>
      <c r="AK8" s="561">
        <v>6</v>
      </c>
      <c r="AL8" s="561">
        <v>6</v>
      </c>
      <c r="AM8" s="561">
        <v>6</v>
      </c>
      <c r="AN8" s="561">
        <v>6</v>
      </c>
      <c r="AO8" s="562">
        <v>6</v>
      </c>
      <c r="AP8" s="560">
        <v>6</v>
      </c>
      <c r="AQ8" s="561">
        <v>6</v>
      </c>
      <c r="AR8" s="561">
        <v>6</v>
      </c>
      <c r="AS8" s="561">
        <v>6</v>
      </c>
      <c r="AT8" s="561">
        <v>6</v>
      </c>
      <c r="AU8" s="562">
        <v>6</v>
      </c>
      <c r="AV8" s="560">
        <v>6</v>
      </c>
      <c r="AW8" s="561">
        <v>6</v>
      </c>
      <c r="AX8" s="561">
        <v>6</v>
      </c>
      <c r="AY8" s="561">
        <v>6</v>
      </c>
      <c r="AZ8" s="561">
        <v>6</v>
      </c>
      <c r="BA8" s="562">
        <v>6</v>
      </c>
      <c r="BB8" s="560">
        <v>6</v>
      </c>
      <c r="BC8" s="561">
        <v>6</v>
      </c>
      <c r="BD8" s="561">
        <v>6</v>
      </c>
      <c r="BE8" s="561">
        <v>6</v>
      </c>
      <c r="BF8" s="561">
        <v>6</v>
      </c>
      <c r="BG8" s="562">
        <v>6</v>
      </c>
      <c r="BH8" s="467"/>
    </row>
    <row r="9" spans="1:60" ht="15.95" customHeight="1" x14ac:dyDescent="0.25">
      <c r="A9" s="68"/>
      <c r="B9" s="799" t="s">
        <v>193</v>
      </c>
      <c r="C9" s="801" t="s">
        <v>240</v>
      </c>
      <c r="D9" s="571">
        <v>4</v>
      </c>
      <c r="E9" s="528">
        <f t="array" aca="1" ref="E9" ca="1">IF($D9&gt;Calc1!$B$14,"",ROW(4:4)-SUM((($L$6:$L8="")+($N$6:$N8="")&gt;0)*1))</f>
        <v>4</v>
      </c>
      <c r="F9" s="173">
        <f ca="1">IF(OR($V$15,$D9&gt;Calc1!$B$14),"",$S$5+QUOTIENT(($E9-1),$V$11)*($S$7+$S$9)/1440+SUM($P$6:$P8)/1440)</f>
        <v>0.375</v>
      </c>
      <c r="G9" s="175">
        <f ca="1">IF(OR($V$15,$D9&gt;Calc1!$B$14),"",MOD($E9-1,$V$11)+1)</f>
        <v>4</v>
      </c>
      <c r="H9" s="309" t="str">
        <f t="shared" ca="1" si="0"/>
        <v>D</v>
      </c>
      <c r="I9" s="330" t="str">
        <f ca="1"/>
        <v>D5</v>
      </c>
      <c r="J9" s="331" t="s">
        <v>4</v>
      </c>
      <c r="K9" s="332" t="str">
        <f ca="1"/>
        <v>D2</v>
      </c>
      <c r="L9" s="178" t="str">
        <f t="shared" ca="1" si="1"/>
        <v>SV Oberredenburg</v>
      </c>
      <c r="M9" s="179" t="s">
        <v>4</v>
      </c>
      <c r="N9" s="180" t="str">
        <f t="shared" ca="1" si="2"/>
        <v>Paris St. Germain</v>
      </c>
      <c r="O9" s="349"/>
      <c r="P9" s="749"/>
      <c r="Q9" s="325"/>
      <c r="R9" s="822" t="str">
        <f>Sprache!$E$43</f>
        <v>Wechselzeit:</v>
      </c>
      <c r="S9" s="827">
        <v>5</v>
      </c>
      <c r="T9" s="826" t="s">
        <v>155</v>
      </c>
      <c r="U9" s="167"/>
      <c r="V9" t="s">
        <v>251</v>
      </c>
      <c r="W9" s="405">
        <v>4</v>
      </c>
      <c r="X9" s="560">
        <v>6</v>
      </c>
      <c r="Y9" s="561">
        <v>6</v>
      </c>
      <c r="Z9" s="561">
        <v>6</v>
      </c>
      <c r="AA9" s="561">
        <v>6</v>
      </c>
      <c r="AB9" s="561">
        <v>6</v>
      </c>
      <c r="AC9" s="562">
        <v>6</v>
      </c>
      <c r="AD9" s="560">
        <v>6</v>
      </c>
      <c r="AE9" s="561">
        <v>6</v>
      </c>
      <c r="AF9" s="561">
        <v>6</v>
      </c>
      <c r="AG9" s="561">
        <v>6</v>
      </c>
      <c r="AH9" s="561">
        <v>6</v>
      </c>
      <c r="AI9" s="562">
        <v>6</v>
      </c>
      <c r="AJ9" s="560">
        <v>6</v>
      </c>
      <c r="AK9" s="561">
        <v>6</v>
      </c>
      <c r="AL9" s="561">
        <v>6</v>
      </c>
      <c r="AM9" s="561">
        <v>6</v>
      </c>
      <c r="AN9" s="561">
        <v>6</v>
      </c>
      <c r="AO9" s="562">
        <v>6</v>
      </c>
      <c r="AP9" s="560">
        <v>6</v>
      </c>
      <c r="AQ9" s="561">
        <v>6</v>
      </c>
      <c r="AR9" s="561">
        <v>6</v>
      </c>
      <c r="AS9" s="561">
        <v>6</v>
      </c>
      <c r="AT9" s="561">
        <v>6</v>
      </c>
      <c r="AU9" s="562">
        <v>6</v>
      </c>
      <c r="AV9" s="560">
        <v>6</v>
      </c>
      <c r="AW9" s="561">
        <v>6</v>
      </c>
      <c r="AX9" s="561">
        <v>6</v>
      </c>
      <c r="AY9" s="561">
        <v>6</v>
      </c>
      <c r="AZ9" s="561">
        <v>6</v>
      </c>
      <c r="BA9" s="562">
        <v>6</v>
      </c>
      <c r="BB9" s="560">
        <v>6</v>
      </c>
      <c r="BC9" s="561">
        <v>6</v>
      </c>
      <c r="BD9" s="561">
        <v>6</v>
      </c>
      <c r="BE9" s="561">
        <v>6</v>
      </c>
      <c r="BF9" s="561">
        <v>6</v>
      </c>
      <c r="BG9" s="562">
        <v>6</v>
      </c>
      <c r="BH9" s="467"/>
    </row>
    <row r="10" spans="1:60" ht="15.95" customHeight="1" x14ac:dyDescent="0.25">
      <c r="A10" s="68"/>
      <c r="B10" s="800"/>
      <c r="C10" s="802"/>
      <c r="D10" s="571">
        <v>5</v>
      </c>
      <c r="E10" s="528">
        <f t="array" aca="1" ref="E10" ca="1">IF($D10&gt;Calc1!$B$14,"",ROW(5:5)-SUM((($L$6:$L9="")+($N$6:$N9="")&gt;0)*1))</f>
        <v>5</v>
      </c>
      <c r="F10" s="173">
        <f ca="1">IF(OR($V$15,$D10&gt;Calc1!$B$14),"",$S$5+QUOTIENT(($E10-1),$V$11)*($S$7+$S$9)/1440+SUM($P$6:$P9)/1440)</f>
        <v>0.39930555555555558</v>
      </c>
      <c r="G10" s="175">
        <f ca="1">IF(OR($V$15,$D10&gt;Calc1!$B$14),"",MOD($E10-1,$V$11)+1)</f>
        <v>1</v>
      </c>
      <c r="H10" s="309" t="str">
        <f t="shared" ca="1" si="0"/>
        <v>A</v>
      </c>
      <c r="I10" s="330" t="str">
        <f ca="1"/>
        <v>A3</v>
      </c>
      <c r="J10" s="331" t="s">
        <v>4</v>
      </c>
      <c r="K10" s="332" t="str">
        <f ca="1"/>
        <v>A4</v>
      </c>
      <c r="L10" s="178" t="str">
        <f t="shared" ca="1" si="1"/>
        <v>Eintracht Frankfurt</v>
      </c>
      <c r="M10" s="179" t="s">
        <v>4</v>
      </c>
      <c r="N10" s="180" t="str">
        <f t="shared" ca="1" si="2"/>
        <v>Maibach 1822 eV</v>
      </c>
      <c r="O10" s="349"/>
      <c r="P10" s="749"/>
      <c r="Q10" s="325"/>
      <c r="R10" s="822"/>
      <c r="S10" s="827"/>
      <c r="T10" s="826"/>
      <c r="U10" s="167"/>
      <c r="V10" s="407">
        <f ca="1">IF(OR(Calc1!$F$13&lt;1,Calc2!$F$13&lt;1,Calc3!$F$13&lt;1,Calc4!$F$13&lt;1),6,INDEX(OFFSET($X$6:$AC$11,(Calc4!$F$13-1)*6,(Calc3!$F$13-1)*6),Calc1!$F$13,Calc2!$F$13))</f>
        <v>6</v>
      </c>
      <c r="W10" s="405">
        <v>5</v>
      </c>
      <c r="X10" s="560">
        <v>6</v>
      </c>
      <c r="Y10" s="561">
        <v>6</v>
      </c>
      <c r="Z10" s="561">
        <v>6</v>
      </c>
      <c r="AA10" s="561">
        <v>6</v>
      </c>
      <c r="AB10" s="561">
        <v>6</v>
      </c>
      <c r="AC10" s="562">
        <v>6</v>
      </c>
      <c r="AD10" s="560">
        <v>6</v>
      </c>
      <c r="AE10" s="561">
        <v>6</v>
      </c>
      <c r="AF10" s="561">
        <v>6</v>
      </c>
      <c r="AG10" s="561">
        <v>6</v>
      </c>
      <c r="AH10" s="561">
        <v>6</v>
      </c>
      <c r="AI10" s="562">
        <v>6</v>
      </c>
      <c r="AJ10" s="560">
        <v>6</v>
      </c>
      <c r="AK10" s="561">
        <v>6</v>
      </c>
      <c r="AL10" s="561">
        <v>6</v>
      </c>
      <c r="AM10" s="561">
        <v>6</v>
      </c>
      <c r="AN10" s="561">
        <v>6</v>
      </c>
      <c r="AO10" s="562">
        <v>6</v>
      </c>
      <c r="AP10" s="560">
        <v>6</v>
      </c>
      <c r="AQ10" s="561">
        <v>6</v>
      </c>
      <c r="AR10" s="561">
        <v>6</v>
      </c>
      <c r="AS10" s="561">
        <v>6</v>
      </c>
      <c r="AT10" s="561">
        <v>6</v>
      </c>
      <c r="AU10" s="562">
        <v>6</v>
      </c>
      <c r="AV10" s="560">
        <v>6</v>
      </c>
      <c r="AW10" s="561">
        <v>6</v>
      </c>
      <c r="AX10" s="561">
        <v>6</v>
      </c>
      <c r="AY10" s="561">
        <v>6</v>
      </c>
      <c r="AZ10" s="561">
        <v>6</v>
      </c>
      <c r="BA10" s="562">
        <v>6</v>
      </c>
      <c r="BB10" s="560">
        <v>6</v>
      </c>
      <c r="BC10" s="561">
        <v>6</v>
      </c>
      <c r="BD10" s="561">
        <v>6</v>
      </c>
      <c r="BE10" s="561">
        <v>6</v>
      </c>
      <c r="BF10" s="561">
        <v>6</v>
      </c>
      <c r="BG10" s="562">
        <v>6</v>
      </c>
      <c r="BH10" s="467"/>
    </row>
    <row r="11" spans="1:60" ht="15.95" customHeight="1" thickBot="1" x14ac:dyDescent="0.3">
      <c r="A11" s="68"/>
      <c r="B11" s="799" t="s">
        <v>189</v>
      </c>
      <c r="C11" s="801" t="s">
        <v>241</v>
      </c>
      <c r="D11" s="571">
        <v>6</v>
      </c>
      <c r="E11" s="528">
        <f t="array" aca="1" ref="E11" ca="1">IF($D11&gt;Calc1!$B$14,"",ROW(6:6)-SUM((($L$6:$L10="")+($N$6:$N10="")&gt;0)*1))</f>
        <v>6</v>
      </c>
      <c r="F11" s="173">
        <f ca="1">IF(OR($V$15,$D11&gt;Calc1!$B$14),"",$S$5+QUOTIENT(($E11-1),$V$11)*($S$7+$S$9)/1440+SUM($P$6:$P10)/1440)</f>
        <v>0.39930555555555558</v>
      </c>
      <c r="G11" s="175">
        <f ca="1">IF(OR($V$15,$D11&gt;Calc1!$B$14),"",MOD($E11-1,$V$11)+1)</f>
        <v>2</v>
      </c>
      <c r="H11" s="309" t="str">
        <f t="shared" ca="1" si="0"/>
        <v>B</v>
      </c>
      <c r="I11" s="330" t="str">
        <f ca="1"/>
        <v>B3</v>
      </c>
      <c r="J11" s="331" t="s">
        <v>4</v>
      </c>
      <c r="K11" s="332" t="str">
        <f ca="1"/>
        <v>B4</v>
      </c>
      <c r="L11" s="178" t="str">
        <f t="shared" ca="1" si="1"/>
        <v>SSV Wildbach</v>
      </c>
      <c r="M11" s="179" t="s">
        <v>4</v>
      </c>
      <c r="N11" s="180" t="str">
        <f t="shared" ca="1" si="2"/>
        <v>Manchester City</v>
      </c>
      <c r="O11" s="349"/>
      <c r="P11" s="749"/>
      <c r="Q11" s="325"/>
      <c r="R11" s="822" t="str">
        <f>Sprache!$E$44</f>
        <v>Anzahl der Spielfelder:</v>
      </c>
      <c r="S11" s="827">
        <v>4</v>
      </c>
      <c r="T11" s="830" t="str">
        <f ca="1">IF($V$10&lt;7,"(max. "&amp;$V$10&amp;")","")</f>
        <v>(max. 6)</v>
      </c>
      <c r="V11" s="407">
        <f ca="1">MIN($S$11,$V$10)</f>
        <v>4</v>
      </c>
      <c r="W11" s="406">
        <v>6</v>
      </c>
      <c r="X11" s="563">
        <v>6</v>
      </c>
      <c r="Y11" s="564">
        <v>6</v>
      </c>
      <c r="Z11" s="564">
        <v>6</v>
      </c>
      <c r="AA11" s="564">
        <v>6</v>
      </c>
      <c r="AB11" s="564">
        <v>6</v>
      </c>
      <c r="AC11" s="565">
        <v>6</v>
      </c>
      <c r="AD11" s="563">
        <v>6</v>
      </c>
      <c r="AE11" s="564">
        <v>6</v>
      </c>
      <c r="AF11" s="564">
        <v>6</v>
      </c>
      <c r="AG11" s="564">
        <v>6</v>
      </c>
      <c r="AH11" s="564">
        <v>6</v>
      </c>
      <c r="AI11" s="565">
        <v>6</v>
      </c>
      <c r="AJ11" s="563">
        <v>6</v>
      </c>
      <c r="AK11" s="564">
        <v>6</v>
      </c>
      <c r="AL11" s="564">
        <v>6</v>
      </c>
      <c r="AM11" s="564">
        <v>6</v>
      </c>
      <c r="AN11" s="564">
        <v>6</v>
      </c>
      <c r="AO11" s="565">
        <v>6</v>
      </c>
      <c r="AP11" s="563">
        <v>6</v>
      </c>
      <c r="AQ11" s="564">
        <v>6</v>
      </c>
      <c r="AR11" s="564">
        <v>6</v>
      </c>
      <c r="AS11" s="564">
        <v>6</v>
      </c>
      <c r="AT11" s="564">
        <v>6</v>
      </c>
      <c r="AU11" s="565">
        <v>6</v>
      </c>
      <c r="AV11" s="563">
        <v>6</v>
      </c>
      <c r="AW11" s="564">
        <v>6</v>
      </c>
      <c r="AX11" s="564">
        <v>6</v>
      </c>
      <c r="AY11" s="564">
        <v>6</v>
      </c>
      <c r="AZ11" s="564">
        <v>6</v>
      </c>
      <c r="BA11" s="565">
        <v>6</v>
      </c>
      <c r="BB11" s="563">
        <v>6</v>
      </c>
      <c r="BC11" s="564">
        <v>6</v>
      </c>
      <c r="BD11" s="564">
        <v>6</v>
      </c>
      <c r="BE11" s="564">
        <v>6</v>
      </c>
      <c r="BF11" s="564">
        <v>6</v>
      </c>
      <c r="BG11" s="565">
        <v>6</v>
      </c>
      <c r="BH11" s="467"/>
    </row>
    <row r="12" spans="1:60" ht="15.95" customHeight="1" thickTop="1" thickBot="1" x14ac:dyDescent="0.3">
      <c r="A12" s="68"/>
      <c r="B12" s="800"/>
      <c r="C12" s="802"/>
      <c r="D12" s="571">
        <v>7</v>
      </c>
      <c r="E12" s="528">
        <f t="array" aca="1" ref="E12" ca="1">IF($D12&gt;Calc1!$B$14,"",ROW(7:7)-SUM((($L$6:$L11="")+($N$6:$N11="")&gt;0)*1))</f>
        <v>7</v>
      </c>
      <c r="F12" s="173">
        <f ca="1">IF(OR($V$15,$D12&gt;Calc1!$B$14),"",$S$5+QUOTIENT(($E12-1),$V$11)*($S$7+$S$9)/1440+SUM($P$6:$P11)/1440)</f>
        <v>0.39930555555555558</v>
      </c>
      <c r="G12" s="175">
        <f ca="1">IF(OR($V$15,$D12&gt;Calc1!$B$14),"",MOD($E12-1,$V$11)+1)</f>
        <v>3</v>
      </c>
      <c r="H12" s="309" t="str">
        <f t="shared" ca="1" si="0"/>
        <v>C</v>
      </c>
      <c r="I12" s="330" t="str">
        <f ca="1"/>
        <v>C3</v>
      </c>
      <c r="J12" s="331" t="s">
        <v>4</v>
      </c>
      <c r="K12" s="332" t="str">
        <f ca="1"/>
        <v>C4</v>
      </c>
      <c r="L12" s="178" t="str">
        <f t="shared" ca="1" si="1"/>
        <v>Borussia Dortmund</v>
      </c>
      <c r="M12" s="179" t="s">
        <v>4</v>
      </c>
      <c r="N12" s="180" t="str">
        <f t="shared" ca="1" si="2"/>
        <v>FSV Rauen</v>
      </c>
      <c r="O12" s="349"/>
      <c r="P12" s="749"/>
      <c r="Q12" s="325"/>
      <c r="R12" s="828"/>
      <c r="S12" s="829"/>
      <c r="T12" s="831"/>
      <c r="U12" s="120"/>
      <c r="V12" s="413" t="s">
        <v>290</v>
      </c>
      <c r="W12" s="405">
        <v>1</v>
      </c>
      <c r="X12" s="557">
        <v>6</v>
      </c>
      <c r="Y12" s="558">
        <v>6</v>
      </c>
      <c r="Z12" s="558">
        <v>6</v>
      </c>
      <c r="AA12" s="558">
        <v>6</v>
      </c>
      <c r="AB12" s="558">
        <v>6</v>
      </c>
      <c r="AC12" s="559">
        <v>6</v>
      </c>
      <c r="AD12" s="557">
        <v>6</v>
      </c>
      <c r="AE12" s="558">
        <v>6</v>
      </c>
      <c r="AF12" s="558">
        <v>6</v>
      </c>
      <c r="AG12" s="558">
        <v>6</v>
      </c>
      <c r="AH12" s="558">
        <v>6</v>
      </c>
      <c r="AI12" s="559">
        <v>6</v>
      </c>
      <c r="AJ12" s="557">
        <v>6</v>
      </c>
      <c r="AK12" s="558">
        <v>6</v>
      </c>
      <c r="AL12" s="558">
        <v>6</v>
      </c>
      <c r="AM12" s="558">
        <v>6</v>
      </c>
      <c r="AN12" s="558">
        <v>6</v>
      </c>
      <c r="AO12" s="559">
        <v>6</v>
      </c>
      <c r="AP12" s="557">
        <v>6</v>
      </c>
      <c r="AQ12" s="558">
        <v>6</v>
      </c>
      <c r="AR12" s="558">
        <v>6</v>
      </c>
      <c r="AS12" s="558">
        <v>6</v>
      </c>
      <c r="AT12" s="558">
        <v>6</v>
      </c>
      <c r="AU12" s="559">
        <v>6</v>
      </c>
      <c r="AV12" s="557">
        <v>6</v>
      </c>
      <c r="AW12" s="558">
        <v>6</v>
      </c>
      <c r="AX12" s="558">
        <v>6</v>
      </c>
      <c r="AY12" s="558">
        <v>6</v>
      </c>
      <c r="AZ12" s="558">
        <v>6</v>
      </c>
      <c r="BA12" s="559">
        <v>6</v>
      </c>
      <c r="BB12" s="557">
        <v>6</v>
      </c>
      <c r="BC12" s="558">
        <v>6</v>
      </c>
      <c r="BD12" s="558">
        <v>6</v>
      </c>
      <c r="BE12" s="558">
        <v>6</v>
      </c>
      <c r="BF12" s="558">
        <v>6</v>
      </c>
      <c r="BG12" s="559">
        <v>6</v>
      </c>
      <c r="BH12" s="466">
        <v>2</v>
      </c>
    </row>
    <row r="13" spans="1:60" ht="15.95" customHeight="1" x14ac:dyDescent="0.25">
      <c r="A13" s="68"/>
      <c r="B13" s="799" t="s">
        <v>195</v>
      </c>
      <c r="C13" s="801" t="s">
        <v>242</v>
      </c>
      <c r="D13" s="571">
        <v>8</v>
      </c>
      <c r="E13" s="528">
        <f t="array" aca="1" ref="E13" ca="1">IF($D13&gt;Calc1!$B$14,"",ROW(8:8)-SUM((($L$6:$L12="")+($N$6:$N12="")&gt;0)*1))</f>
        <v>8</v>
      </c>
      <c r="F13" s="173">
        <f ca="1">IF(OR($V$15,$D13&gt;Calc1!$B$14),"",$S$5+QUOTIENT(($E13-1),$V$11)*($S$7+$S$9)/1440+SUM($P$6:$P12)/1440)</f>
        <v>0.39930555555555558</v>
      </c>
      <c r="G13" s="175">
        <f ca="1">IF(OR($V$15,$D13&gt;Calc1!$B$14),"",MOD($E13-1,$V$11)+1)</f>
        <v>4</v>
      </c>
      <c r="H13" s="309" t="str">
        <f t="shared" ca="1" si="0"/>
        <v>D</v>
      </c>
      <c r="I13" s="330" t="str">
        <f ca="1"/>
        <v>D3</v>
      </c>
      <c r="J13" s="331" t="s">
        <v>4</v>
      </c>
      <c r="K13" s="332" t="str">
        <f ca="1"/>
        <v>D4</v>
      </c>
      <c r="L13" s="178" t="str">
        <f t="shared" ca="1" si="1"/>
        <v>HSV</v>
      </c>
      <c r="M13" s="179" t="s">
        <v>4</v>
      </c>
      <c r="N13" s="180" t="str">
        <f t="shared" ca="1" si="2"/>
        <v>RB Leipzig</v>
      </c>
      <c r="O13" s="349"/>
      <c r="P13" s="749"/>
      <c r="Q13" s="325"/>
      <c r="R13" s="832" t="str">
        <f>Sprache!$E$40</f>
        <v>Ende der Vorrunde:</v>
      </c>
      <c r="S13" s="834">
        <f t="array" aca="1" ref="S13" ca="1">IF($V$15,"",$S$5+(ROUNDUP((Calc1!$B$14-SUM(((OFFSET($L$6,,,Calc1!$B$14,1)="")+(OFFSET($N$6,,,Calc1!$B$14,1)="")&gt;0)*1))/$V11,0)*($S$7+$S$9)-$S$9)/1440+SUM(OFFSET($P$6,,,Calc1!$B$14-1,1))/1440)</f>
        <v>0.61458333333333337</v>
      </c>
      <c r="T13" s="836"/>
      <c r="U13" s="167"/>
      <c r="V13" s="408" t="s">
        <v>254</v>
      </c>
      <c r="W13" s="405">
        <v>2</v>
      </c>
      <c r="X13" s="560">
        <v>6</v>
      </c>
      <c r="Y13" s="561">
        <v>6</v>
      </c>
      <c r="Z13" s="561">
        <v>6</v>
      </c>
      <c r="AA13" s="561">
        <v>6</v>
      </c>
      <c r="AB13" s="561">
        <v>6</v>
      </c>
      <c r="AC13" s="562">
        <v>6</v>
      </c>
      <c r="AD13" s="560">
        <v>6</v>
      </c>
      <c r="AE13" s="561">
        <v>6</v>
      </c>
      <c r="AF13" s="561">
        <v>6</v>
      </c>
      <c r="AG13" s="561">
        <v>6</v>
      </c>
      <c r="AH13" s="561">
        <v>6</v>
      </c>
      <c r="AI13" s="562">
        <v>6</v>
      </c>
      <c r="AJ13" s="560">
        <v>6</v>
      </c>
      <c r="AK13" s="561">
        <v>6</v>
      </c>
      <c r="AL13" s="561">
        <v>6</v>
      </c>
      <c r="AM13" s="561">
        <v>6</v>
      </c>
      <c r="AN13" s="561">
        <v>6</v>
      </c>
      <c r="AO13" s="562">
        <v>6</v>
      </c>
      <c r="AP13" s="560">
        <v>6</v>
      </c>
      <c r="AQ13" s="561">
        <v>6</v>
      </c>
      <c r="AR13" s="561">
        <v>6</v>
      </c>
      <c r="AS13" s="561">
        <v>6</v>
      </c>
      <c r="AT13" s="561">
        <v>6</v>
      </c>
      <c r="AU13" s="562">
        <v>6</v>
      </c>
      <c r="AV13" s="560">
        <v>6</v>
      </c>
      <c r="AW13" s="561">
        <v>6</v>
      </c>
      <c r="AX13" s="561">
        <v>6</v>
      </c>
      <c r="AY13" s="561">
        <v>6</v>
      </c>
      <c r="AZ13" s="561">
        <v>6</v>
      </c>
      <c r="BA13" s="562">
        <v>6</v>
      </c>
      <c r="BB13" s="560">
        <v>6</v>
      </c>
      <c r="BC13" s="561">
        <v>6</v>
      </c>
      <c r="BD13" s="561">
        <v>6</v>
      </c>
      <c r="BE13" s="561">
        <v>6</v>
      </c>
      <c r="BF13" s="561">
        <v>6</v>
      </c>
      <c r="BG13" s="562">
        <v>6</v>
      </c>
      <c r="BH13" s="467"/>
    </row>
    <row r="14" spans="1:60" ht="15.95" customHeight="1" thickBot="1" x14ac:dyDescent="0.3">
      <c r="A14" s="68"/>
      <c r="B14" s="800"/>
      <c r="C14" s="802"/>
      <c r="D14" s="571">
        <v>9</v>
      </c>
      <c r="E14" s="528">
        <f t="array" aca="1" ref="E14" ca="1">IF($D14&gt;Calc1!$B$14,"",ROW(9:9)-SUM((($L$6:$L13="")+($N$6:$N13="")&gt;0)*1))</f>
        <v>9</v>
      </c>
      <c r="F14" s="173">
        <f ca="1">IF(OR($V$15,$D14&gt;Calc1!$B$14),"",$S$5+QUOTIENT(($E14-1),$V$11)*($S$7+$S$9)/1440+SUM($P$6:$P13)/1440)</f>
        <v>0.4236111111111111</v>
      </c>
      <c r="G14" s="175">
        <f ca="1">IF(OR($V$15,$D14&gt;Calc1!$B$14),"",MOD($E14-1,$V$11)+1)</f>
        <v>1</v>
      </c>
      <c r="H14" s="309" t="str">
        <f t="shared" ca="1" si="0"/>
        <v>A</v>
      </c>
      <c r="I14" s="330" t="str">
        <f ca="1"/>
        <v>A5</v>
      </c>
      <c r="J14" s="331" t="s">
        <v>4</v>
      </c>
      <c r="K14" s="332" t="str">
        <f ca="1"/>
        <v>A1</v>
      </c>
      <c r="L14" s="178" t="str">
        <f t="shared" ca="1" si="1"/>
        <v>VFB Essenheim</v>
      </c>
      <c r="M14" s="179" t="s">
        <v>4</v>
      </c>
      <c r="N14" s="180" t="str">
        <f t="shared" ca="1" si="2"/>
        <v>1. FC Riedwald</v>
      </c>
      <c r="O14" s="349"/>
      <c r="P14" s="749"/>
      <c r="Q14" s="325"/>
      <c r="R14" s="833"/>
      <c r="S14" s="835"/>
      <c r="T14" s="837"/>
      <c r="U14" s="167"/>
      <c r="V14" s="408" t="s">
        <v>255</v>
      </c>
      <c r="W14" s="405">
        <v>3</v>
      </c>
      <c r="X14" s="560">
        <v>6</v>
      </c>
      <c r="Y14" s="561">
        <v>6</v>
      </c>
      <c r="Z14" s="561">
        <v>6</v>
      </c>
      <c r="AA14" s="561">
        <v>6</v>
      </c>
      <c r="AB14" s="561">
        <v>6</v>
      </c>
      <c r="AC14" s="562">
        <v>6</v>
      </c>
      <c r="AD14" s="560">
        <v>6</v>
      </c>
      <c r="AE14" s="561">
        <v>6</v>
      </c>
      <c r="AF14" s="561">
        <v>6</v>
      </c>
      <c r="AG14" s="561">
        <v>6</v>
      </c>
      <c r="AH14" s="561">
        <v>6</v>
      </c>
      <c r="AI14" s="562">
        <v>6</v>
      </c>
      <c r="AJ14" s="560">
        <v>6</v>
      </c>
      <c r="AK14" s="561">
        <v>6</v>
      </c>
      <c r="AL14" s="561">
        <v>6</v>
      </c>
      <c r="AM14" s="561">
        <v>6</v>
      </c>
      <c r="AN14" s="561">
        <v>6</v>
      </c>
      <c r="AO14" s="562">
        <v>6</v>
      </c>
      <c r="AP14" s="560">
        <v>6</v>
      </c>
      <c r="AQ14" s="561">
        <v>6</v>
      </c>
      <c r="AR14" s="561">
        <v>6</v>
      </c>
      <c r="AS14" s="561">
        <v>6</v>
      </c>
      <c r="AT14" s="561">
        <v>6</v>
      </c>
      <c r="AU14" s="562">
        <v>6</v>
      </c>
      <c r="AV14" s="560">
        <v>6</v>
      </c>
      <c r="AW14" s="561">
        <v>6</v>
      </c>
      <c r="AX14" s="561">
        <v>6</v>
      </c>
      <c r="AY14" s="561">
        <v>6</v>
      </c>
      <c r="AZ14" s="561">
        <v>6</v>
      </c>
      <c r="BA14" s="562">
        <v>6</v>
      </c>
      <c r="BB14" s="560">
        <v>6</v>
      </c>
      <c r="BC14" s="561">
        <v>6</v>
      </c>
      <c r="BD14" s="561">
        <v>6</v>
      </c>
      <c r="BE14" s="561">
        <v>6</v>
      </c>
      <c r="BF14" s="561">
        <v>6</v>
      </c>
      <c r="BG14" s="562">
        <v>6</v>
      </c>
      <c r="BH14" s="467"/>
    </row>
    <row r="15" spans="1:60" ht="15.95" customHeight="1" x14ac:dyDescent="0.25">
      <c r="A15" s="68"/>
      <c r="B15" s="799" t="s">
        <v>197</v>
      </c>
      <c r="C15" s="801" t="s">
        <v>243</v>
      </c>
      <c r="D15" s="571">
        <v>10</v>
      </c>
      <c r="E15" s="528">
        <f t="array" aca="1" ref="E15" ca="1">IF($D15&gt;Calc1!$B$14,"",ROW(10:10)-SUM((($L$6:$L14="")+($N$6:$N14="")&gt;0)*1))</f>
        <v>10</v>
      </c>
      <c r="F15" s="173">
        <f ca="1">IF(OR($V$15,$D15&gt;Calc1!$B$14),"",$S$5+QUOTIENT(($E15-1),$V$11)*($S$7+$S$9)/1440+SUM($P$6:$P14)/1440)</f>
        <v>0.4236111111111111</v>
      </c>
      <c r="G15" s="175">
        <f ca="1">IF(OR($V$15,$D15&gt;Calc1!$B$14),"",MOD($E15-1,$V$11)+1)</f>
        <v>2</v>
      </c>
      <c r="H15" s="309" t="str">
        <f t="shared" ca="1" si="0"/>
        <v>B</v>
      </c>
      <c r="I15" s="330" t="str">
        <f ca="1"/>
        <v>B5</v>
      </c>
      <c r="J15" s="331" t="s">
        <v>4</v>
      </c>
      <c r="K15" s="332" t="str">
        <f ca="1"/>
        <v>B1</v>
      </c>
      <c r="L15" s="178" t="str">
        <f t="shared" ca="1" si="1"/>
        <v>FC Grönlingen</v>
      </c>
      <c r="M15" s="179" t="s">
        <v>4</v>
      </c>
      <c r="N15" s="180" t="str">
        <f t="shared" ca="1" si="2"/>
        <v>Mainz 05</v>
      </c>
      <c r="O15" s="349"/>
      <c r="P15" s="749"/>
      <c r="Q15" s="325"/>
      <c r="R15" s="582" t="str">
        <f>Sprache!$E$103</f>
        <v>Turnierende (Endrunde 1):</v>
      </c>
      <c r="S15" s="585">
        <f ca="1">'Endrunde 1'!$J$52</f>
        <v>0.78472222222222232</v>
      </c>
      <c r="T15" s="435"/>
      <c r="U15" s="167"/>
      <c r="V15" s="409" t="b">
        <f>OR($S$5="",$S$7="",$S$9="",$S$11="",Calc1!$F$14&lt;3)</f>
        <v>0</v>
      </c>
      <c r="W15" s="405">
        <v>4</v>
      </c>
      <c r="X15" s="560">
        <v>6</v>
      </c>
      <c r="Y15" s="561">
        <v>6</v>
      </c>
      <c r="Z15" s="561">
        <v>6</v>
      </c>
      <c r="AA15" s="561">
        <v>6</v>
      </c>
      <c r="AB15" s="561">
        <v>6</v>
      </c>
      <c r="AC15" s="562">
        <v>6</v>
      </c>
      <c r="AD15" s="560">
        <v>6</v>
      </c>
      <c r="AE15" s="561">
        <v>6</v>
      </c>
      <c r="AF15" s="561">
        <v>6</v>
      </c>
      <c r="AG15" s="561">
        <v>6</v>
      </c>
      <c r="AH15" s="561">
        <v>6</v>
      </c>
      <c r="AI15" s="562">
        <v>6</v>
      </c>
      <c r="AJ15" s="560">
        <v>6</v>
      </c>
      <c r="AK15" s="561">
        <v>6</v>
      </c>
      <c r="AL15" s="561">
        <v>6</v>
      </c>
      <c r="AM15" s="561">
        <v>6</v>
      </c>
      <c r="AN15" s="561">
        <v>6</v>
      </c>
      <c r="AO15" s="562">
        <v>6</v>
      </c>
      <c r="AP15" s="560">
        <v>6</v>
      </c>
      <c r="AQ15" s="561">
        <v>6</v>
      </c>
      <c r="AR15" s="561">
        <v>6</v>
      </c>
      <c r="AS15" s="561">
        <v>6</v>
      </c>
      <c r="AT15" s="561">
        <v>6</v>
      </c>
      <c r="AU15" s="562">
        <v>6</v>
      </c>
      <c r="AV15" s="560">
        <v>6</v>
      </c>
      <c r="AW15" s="561">
        <v>6</v>
      </c>
      <c r="AX15" s="561">
        <v>6</v>
      </c>
      <c r="AY15" s="561">
        <v>6</v>
      </c>
      <c r="AZ15" s="561">
        <v>6</v>
      </c>
      <c r="BA15" s="562">
        <v>6</v>
      </c>
      <c r="BB15" s="560">
        <v>6</v>
      </c>
      <c r="BC15" s="561">
        <v>6</v>
      </c>
      <c r="BD15" s="561">
        <v>6</v>
      </c>
      <c r="BE15" s="561">
        <v>6</v>
      </c>
      <c r="BF15" s="561">
        <v>6</v>
      </c>
      <c r="BG15" s="562">
        <v>6</v>
      </c>
      <c r="BH15" s="467"/>
    </row>
    <row r="16" spans="1:60" ht="15.95" customHeight="1" x14ac:dyDescent="0.25">
      <c r="A16" s="68"/>
      <c r="B16" s="800"/>
      <c r="C16" s="802"/>
      <c r="D16" s="571">
        <v>11</v>
      </c>
      <c r="E16" s="528">
        <f t="array" aca="1" ref="E16" ca="1">IF($D16&gt;Calc1!$B$14,"",ROW(11:11)-SUM((($L$6:$L15="")+($N$6:$N15="")&gt;0)*1))</f>
        <v>11</v>
      </c>
      <c r="F16" s="173">
        <f ca="1">IF(OR($V$15,$D16&gt;Calc1!$B$14),"",$S$5+QUOTIENT(($E16-1),$V$11)*($S$7+$S$9)/1440+SUM($P$6:$P15)/1440)</f>
        <v>0.4236111111111111</v>
      </c>
      <c r="G16" s="175">
        <f ca="1">IF(OR($V$15,$D16&gt;Calc1!$B$14),"",MOD($E16-1,$V$11)+1)</f>
        <v>3</v>
      </c>
      <c r="H16" s="309" t="str">
        <f t="shared" ca="1" si="0"/>
        <v>C</v>
      </c>
      <c r="I16" s="330" t="str">
        <f ca="1"/>
        <v>C5</v>
      </c>
      <c r="J16" s="331" t="s">
        <v>4</v>
      </c>
      <c r="K16" s="332" t="str">
        <f ca="1"/>
        <v>C1</v>
      </c>
      <c r="L16" s="178" t="str">
        <f t="shared" ca="1" si="1"/>
        <v>1. FC Nürnberg</v>
      </c>
      <c r="M16" s="179" t="s">
        <v>4</v>
      </c>
      <c r="N16" s="180" t="str">
        <f t="shared" ca="1" si="2"/>
        <v>Kickers Rodendorf</v>
      </c>
      <c r="O16" s="349"/>
      <c r="P16" s="749"/>
      <c r="Q16" s="325"/>
      <c r="R16" s="583" t="str">
        <f>Sprache!$E$104</f>
        <v>Turnierende (Endrunde 2):</v>
      </c>
      <c r="S16" s="586">
        <f ca="1">'Endrunde 2'!$K$23</f>
        <v>0.71180555555555569</v>
      </c>
      <c r="T16" s="581"/>
      <c r="U16" s="167"/>
      <c r="W16" s="405">
        <v>5</v>
      </c>
      <c r="X16" s="560">
        <v>6</v>
      </c>
      <c r="Y16" s="561">
        <v>6</v>
      </c>
      <c r="Z16" s="561">
        <v>6</v>
      </c>
      <c r="AA16" s="561">
        <v>6</v>
      </c>
      <c r="AB16" s="561">
        <v>6</v>
      </c>
      <c r="AC16" s="562">
        <v>6</v>
      </c>
      <c r="AD16" s="560">
        <v>6</v>
      </c>
      <c r="AE16" s="561">
        <v>6</v>
      </c>
      <c r="AF16" s="561">
        <v>6</v>
      </c>
      <c r="AG16" s="561">
        <v>6</v>
      </c>
      <c r="AH16" s="561">
        <v>6</v>
      </c>
      <c r="AI16" s="562">
        <v>6</v>
      </c>
      <c r="AJ16" s="560">
        <v>6</v>
      </c>
      <c r="AK16" s="561">
        <v>6</v>
      </c>
      <c r="AL16" s="561">
        <v>6</v>
      </c>
      <c r="AM16" s="561">
        <v>6</v>
      </c>
      <c r="AN16" s="561">
        <v>6</v>
      </c>
      <c r="AO16" s="562">
        <v>6</v>
      </c>
      <c r="AP16" s="560">
        <v>6</v>
      </c>
      <c r="AQ16" s="561">
        <v>6</v>
      </c>
      <c r="AR16" s="561">
        <v>6</v>
      </c>
      <c r="AS16" s="561">
        <v>6</v>
      </c>
      <c r="AT16" s="561">
        <v>6</v>
      </c>
      <c r="AU16" s="562">
        <v>6</v>
      </c>
      <c r="AV16" s="560">
        <v>6</v>
      </c>
      <c r="AW16" s="561">
        <v>6</v>
      </c>
      <c r="AX16" s="561">
        <v>6</v>
      </c>
      <c r="AY16" s="561">
        <v>6</v>
      </c>
      <c r="AZ16" s="561">
        <v>6</v>
      </c>
      <c r="BA16" s="562">
        <v>6</v>
      </c>
      <c r="BB16" s="560">
        <v>6</v>
      </c>
      <c r="BC16" s="561">
        <v>6</v>
      </c>
      <c r="BD16" s="561">
        <v>6</v>
      </c>
      <c r="BE16" s="561">
        <v>6</v>
      </c>
      <c r="BF16" s="561">
        <v>6</v>
      </c>
      <c r="BG16" s="562">
        <v>6</v>
      </c>
      <c r="BH16" s="467"/>
    </row>
    <row r="17" spans="1:60" ht="15.95" customHeight="1" thickBot="1" x14ac:dyDescent="0.3">
      <c r="A17" s="68"/>
      <c r="B17" s="799" t="s">
        <v>199</v>
      </c>
      <c r="C17" s="801"/>
      <c r="D17" s="571">
        <v>12</v>
      </c>
      <c r="E17" s="528">
        <f t="array" aca="1" ref="E17" ca="1">IF($D17&gt;Calc1!$B$14,"",ROW(12:12)-SUM((($L$6:$L16="")+($N$6:$N16="")&gt;0)*1))</f>
        <v>12</v>
      </c>
      <c r="F17" s="173">
        <f ca="1">IF(OR($V$15,$D17&gt;Calc1!$B$14),"",$S$5+QUOTIENT(($E17-1),$V$11)*($S$7+$S$9)/1440+SUM($P$6:$P16)/1440)</f>
        <v>0.4236111111111111</v>
      </c>
      <c r="G17" s="175">
        <f ca="1">IF(OR($V$15,$D17&gt;Calc1!$B$14),"",MOD($E17-1,$V$11)+1)</f>
        <v>4</v>
      </c>
      <c r="H17" s="309" t="str">
        <f t="shared" ca="1" si="0"/>
        <v>D</v>
      </c>
      <c r="I17" s="330" t="str">
        <f ca="1"/>
        <v>D5</v>
      </c>
      <c r="J17" s="331" t="s">
        <v>4</v>
      </c>
      <c r="K17" s="332" t="str">
        <f ca="1"/>
        <v>D1</v>
      </c>
      <c r="L17" s="178" t="str">
        <f t="shared" ca="1" si="1"/>
        <v>SV Oberredenburg</v>
      </c>
      <c r="M17" s="179" t="s">
        <v>4</v>
      </c>
      <c r="N17" s="180" t="str">
        <f t="shared" ca="1" si="2"/>
        <v>TSG Saalberg eV</v>
      </c>
      <c r="O17" s="349"/>
      <c r="P17" s="749"/>
      <c r="Q17" s="555"/>
      <c r="R17" s="583" t="str">
        <f>Sprache!$E$105</f>
        <v>Turnierende (Endrunde 3):</v>
      </c>
      <c r="S17" s="586">
        <f ca="1">'Endrunde 3'!$K$18</f>
        <v>0.68750000000000011</v>
      </c>
      <c r="T17" s="581"/>
      <c r="U17" s="556"/>
      <c r="V17" s="465" t="str">
        <f>Calc1!$F$13&amp;"  "&amp;Calc2!$F$13&amp;"  "&amp;Calc3!$F$13&amp;"  "&amp;Calc4!$F$13</f>
        <v>5  5  5  5</v>
      </c>
      <c r="W17" s="406">
        <v>6</v>
      </c>
      <c r="X17" s="563">
        <v>6</v>
      </c>
      <c r="Y17" s="564">
        <v>6</v>
      </c>
      <c r="Z17" s="564">
        <v>6</v>
      </c>
      <c r="AA17" s="564">
        <v>6</v>
      </c>
      <c r="AB17" s="564">
        <v>6</v>
      </c>
      <c r="AC17" s="565">
        <v>6</v>
      </c>
      <c r="AD17" s="563">
        <v>6</v>
      </c>
      <c r="AE17" s="564">
        <v>6</v>
      </c>
      <c r="AF17" s="564">
        <v>6</v>
      </c>
      <c r="AG17" s="564">
        <v>6</v>
      </c>
      <c r="AH17" s="564">
        <v>6</v>
      </c>
      <c r="AI17" s="565">
        <v>6</v>
      </c>
      <c r="AJ17" s="563">
        <v>6</v>
      </c>
      <c r="AK17" s="564">
        <v>6</v>
      </c>
      <c r="AL17" s="564">
        <v>6</v>
      </c>
      <c r="AM17" s="564">
        <v>6</v>
      </c>
      <c r="AN17" s="564">
        <v>6</v>
      </c>
      <c r="AO17" s="565">
        <v>6</v>
      </c>
      <c r="AP17" s="563">
        <v>6</v>
      </c>
      <c r="AQ17" s="564">
        <v>6</v>
      </c>
      <c r="AR17" s="564">
        <v>6</v>
      </c>
      <c r="AS17" s="564">
        <v>6</v>
      </c>
      <c r="AT17" s="564">
        <v>6</v>
      </c>
      <c r="AU17" s="565">
        <v>6</v>
      </c>
      <c r="AV17" s="563">
        <v>6</v>
      </c>
      <c r="AW17" s="564">
        <v>6</v>
      </c>
      <c r="AX17" s="564">
        <v>6</v>
      </c>
      <c r="AY17" s="564">
        <v>6</v>
      </c>
      <c r="AZ17" s="564">
        <v>6</v>
      </c>
      <c r="BA17" s="565">
        <v>6</v>
      </c>
      <c r="BB17" s="563">
        <v>6</v>
      </c>
      <c r="BC17" s="564">
        <v>6</v>
      </c>
      <c r="BD17" s="564">
        <v>6</v>
      </c>
      <c r="BE17" s="564">
        <v>6</v>
      </c>
      <c r="BF17" s="564">
        <v>6</v>
      </c>
      <c r="BG17" s="565">
        <v>6</v>
      </c>
      <c r="BH17" s="467"/>
    </row>
    <row r="18" spans="1:60" ht="15.95" customHeight="1" thickTop="1" thickBot="1" x14ac:dyDescent="0.3">
      <c r="A18" s="68"/>
      <c r="B18" s="803"/>
      <c r="C18" s="804"/>
      <c r="D18" s="571">
        <v>13</v>
      </c>
      <c r="E18" s="528">
        <f t="array" aca="1" ref="E18" ca="1">IF($D18&gt;Calc1!$B$14,"",ROW(13:13)-SUM((($L$6:$L17="")+($N$6:$N17="")&gt;0)*1))</f>
        <v>13</v>
      </c>
      <c r="F18" s="173">
        <f ca="1">IF(OR($V$15,$D18&gt;Calc1!$B$14),"",$S$5+QUOTIENT(($E18-1),$V$11)*($S$7+$S$9)/1440+SUM($P$6:$P17)/1440)</f>
        <v>0.44791666666666669</v>
      </c>
      <c r="G18" s="175">
        <f ca="1">IF(OR($V$15,$D18&gt;Calc1!$B$14),"",MOD($E18-1,$V$11)+1)</f>
        <v>1</v>
      </c>
      <c r="H18" s="309" t="str">
        <f t="shared" ca="1" si="0"/>
        <v>A</v>
      </c>
      <c r="I18" s="330" t="str">
        <f ca="1"/>
        <v>A2</v>
      </c>
      <c r="J18" s="331" t="s">
        <v>4</v>
      </c>
      <c r="K18" s="332" t="str">
        <f ca="1"/>
        <v>A3</v>
      </c>
      <c r="L18" s="178" t="str">
        <f t="shared" ca="1" si="1"/>
        <v>FC Barcelona</v>
      </c>
      <c r="M18" s="179" t="s">
        <v>4</v>
      </c>
      <c r="N18" s="180" t="str">
        <f t="shared" ca="1" si="2"/>
        <v>Eintracht Frankfurt</v>
      </c>
      <c r="O18" s="349"/>
      <c r="P18" s="749"/>
      <c r="Q18" s="555"/>
      <c r="R18" s="584" t="str">
        <f>Sprache!$E$106</f>
        <v>Turnierende (Endrunde 4):</v>
      </c>
      <c r="S18" s="587">
        <f ca="1">'Endrunde 4'!$I$50</f>
        <v>0.80902777777777779</v>
      </c>
      <c r="T18" s="434"/>
      <c r="U18" s="556"/>
      <c r="W18" s="405">
        <v>1</v>
      </c>
      <c r="X18" s="557">
        <v>6</v>
      </c>
      <c r="Y18" s="558">
        <v>6</v>
      </c>
      <c r="Z18" s="558">
        <v>6</v>
      </c>
      <c r="AA18" s="558">
        <v>6</v>
      </c>
      <c r="AB18" s="558">
        <v>6</v>
      </c>
      <c r="AC18" s="559">
        <v>6</v>
      </c>
      <c r="AD18" s="557">
        <v>6</v>
      </c>
      <c r="AE18" s="558">
        <v>6</v>
      </c>
      <c r="AF18" s="558">
        <v>6</v>
      </c>
      <c r="AG18" s="558">
        <v>6</v>
      </c>
      <c r="AH18" s="558">
        <v>6</v>
      </c>
      <c r="AI18" s="559">
        <v>6</v>
      </c>
      <c r="AJ18" s="557">
        <v>6</v>
      </c>
      <c r="AK18" s="558">
        <v>6</v>
      </c>
      <c r="AL18" s="558">
        <v>6</v>
      </c>
      <c r="AM18" s="558">
        <v>6</v>
      </c>
      <c r="AN18" s="558">
        <v>6</v>
      </c>
      <c r="AO18" s="559">
        <v>6</v>
      </c>
      <c r="AP18" s="557">
        <v>6</v>
      </c>
      <c r="AQ18" s="558">
        <v>6</v>
      </c>
      <c r="AR18" s="558">
        <v>6</v>
      </c>
      <c r="AS18" s="558">
        <v>6</v>
      </c>
      <c r="AT18" s="558">
        <v>6</v>
      </c>
      <c r="AU18" s="559">
        <v>6</v>
      </c>
      <c r="AV18" s="557">
        <v>6</v>
      </c>
      <c r="AW18" s="558">
        <v>6</v>
      </c>
      <c r="AX18" s="558">
        <v>6</v>
      </c>
      <c r="AY18" s="558">
        <v>6</v>
      </c>
      <c r="AZ18" s="558">
        <v>6</v>
      </c>
      <c r="BA18" s="559">
        <v>6</v>
      </c>
      <c r="BB18" s="557">
        <v>6</v>
      </c>
      <c r="BC18" s="558">
        <v>6</v>
      </c>
      <c r="BD18" s="558">
        <v>6</v>
      </c>
      <c r="BE18" s="558">
        <v>6</v>
      </c>
      <c r="BF18" s="558">
        <v>6</v>
      </c>
      <c r="BG18" s="559">
        <v>6</v>
      </c>
      <c r="BH18" s="466">
        <v>3</v>
      </c>
    </row>
    <row r="19" spans="1:60" ht="15.95" customHeight="1" thickTop="1" x14ac:dyDescent="0.25">
      <c r="A19" s="68"/>
      <c r="B19" s="295"/>
      <c r="C19" s="446"/>
      <c r="D19" s="571">
        <v>14</v>
      </c>
      <c r="E19" s="528">
        <f t="array" aca="1" ref="E19" ca="1">IF($D19&gt;Calc1!$B$14,"",ROW(14:14)-SUM((($L$6:$L18="")+($N$6:$N18="")&gt;0)*1))</f>
        <v>14</v>
      </c>
      <c r="F19" s="173">
        <f ca="1">IF(OR($V$15,$D19&gt;Calc1!$B$14),"",$S$5+QUOTIENT(($E19-1),$V$11)*($S$7+$S$9)/1440+SUM($P$6:$P18)/1440)</f>
        <v>0.44791666666666669</v>
      </c>
      <c r="G19" s="175">
        <f ca="1">IF(OR($V$15,$D19&gt;Calc1!$B$14),"",MOD($E19-1,$V$11)+1)</f>
        <v>2</v>
      </c>
      <c r="H19" s="309" t="str">
        <f t="shared" ca="1" si="0"/>
        <v>B</v>
      </c>
      <c r="I19" s="330" t="str">
        <f ca="1"/>
        <v>B2</v>
      </c>
      <c r="J19" s="331" t="s">
        <v>4</v>
      </c>
      <c r="K19" s="332" t="str">
        <f ca="1"/>
        <v>B3</v>
      </c>
      <c r="L19" s="178" t="str">
        <f t="shared" ca="1" si="1"/>
        <v>Inter Mailand</v>
      </c>
      <c r="M19" s="179" t="s">
        <v>4</v>
      </c>
      <c r="N19" s="180" t="str">
        <f t="shared" ca="1" si="2"/>
        <v>SSV Wildbach</v>
      </c>
      <c r="O19" s="349"/>
      <c r="P19" s="749"/>
      <c r="Q19" s="555"/>
      <c r="U19" s="556"/>
      <c r="W19" s="405">
        <v>2</v>
      </c>
      <c r="X19" s="560">
        <v>6</v>
      </c>
      <c r="Y19" s="561">
        <v>6</v>
      </c>
      <c r="Z19" s="561">
        <v>6</v>
      </c>
      <c r="AA19" s="561">
        <v>6</v>
      </c>
      <c r="AB19" s="561">
        <v>6</v>
      </c>
      <c r="AC19" s="562">
        <v>6</v>
      </c>
      <c r="AD19" s="560">
        <v>6</v>
      </c>
      <c r="AE19" s="561">
        <v>6</v>
      </c>
      <c r="AF19" s="561">
        <v>6</v>
      </c>
      <c r="AG19" s="561">
        <v>6</v>
      </c>
      <c r="AH19" s="561">
        <v>6</v>
      </c>
      <c r="AI19" s="562">
        <v>6</v>
      </c>
      <c r="AJ19" s="560">
        <v>6</v>
      </c>
      <c r="AK19" s="561">
        <v>6</v>
      </c>
      <c r="AL19" s="561">
        <v>6</v>
      </c>
      <c r="AM19" s="561">
        <v>6</v>
      </c>
      <c r="AN19" s="561">
        <v>6</v>
      </c>
      <c r="AO19" s="562">
        <v>6</v>
      </c>
      <c r="AP19" s="560">
        <v>6</v>
      </c>
      <c r="AQ19" s="561">
        <v>6</v>
      </c>
      <c r="AR19" s="561">
        <v>6</v>
      </c>
      <c r="AS19" s="561">
        <v>6</v>
      </c>
      <c r="AT19" s="561">
        <v>6</v>
      </c>
      <c r="AU19" s="562">
        <v>6</v>
      </c>
      <c r="AV19" s="560">
        <v>6</v>
      </c>
      <c r="AW19" s="561">
        <v>6</v>
      </c>
      <c r="AX19" s="561">
        <v>6</v>
      </c>
      <c r="AY19" s="561">
        <v>6</v>
      </c>
      <c r="AZ19" s="561">
        <v>6</v>
      </c>
      <c r="BA19" s="562">
        <v>6</v>
      </c>
      <c r="BB19" s="560">
        <v>6</v>
      </c>
      <c r="BC19" s="561">
        <v>6</v>
      </c>
      <c r="BD19" s="561">
        <v>6</v>
      </c>
      <c r="BE19" s="561">
        <v>6</v>
      </c>
      <c r="BF19" s="561">
        <v>6</v>
      </c>
      <c r="BG19" s="562">
        <v>6</v>
      </c>
      <c r="BH19" s="467"/>
    </row>
    <row r="20" spans="1:60" ht="15.95" customHeight="1" x14ac:dyDescent="0.25">
      <c r="A20" s="68"/>
      <c r="B20" s="805"/>
      <c r="C20" s="807" t="str">
        <f>Sprache!$E$16&amp;" B"</f>
        <v>Gruppe B</v>
      </c>
      <c r="D20" s="571">
        <v>15</v>
      </c>
      <c r="E20" s="528">
        <f t="array" aca="1" ref="E20" ca="1">IF($D20&gt;Calc1!$B$14,"",ROW(15:15)-SUM((($L$6:$L19="")+($N$6:$N19="")&gt;0)*1))</f>
        <v>15</v>
      </c>
      <c r="F20" s="173">
        <f ca="1">IF(OR($V$15,$D20&gt;Calc1!$B$14),"",$S$5+QUOTIENT(($E20-1),$V$11)*($S$7+$S$9)/1440+SUM($P$6:$P19)/1440)</f>
        <v>0.44791666666666669</v>
      </c>
      <c r="G20" s="175">
        <f ca="1">IF(OR($V$15,$D20&gt;Calc1!$B$14),"",MOD($E20-1,$V$11)+1)</f>
        <v>3</v>
      </c>
      <c r="H20" s="309" t="str">
        <f t="shared" ca="1" si="0"/>
        <v>C</v>
      </c>
      <c r="I20" s="330" t="str">
        <f ca="1"/>
        <v>C2</v>
      </c>
      <c r="J20" s="331" t="s">
        <v>4</v>
      </c>
      <c r="K20" s="332" t="str">
        <f ca="1"/>
        <v>C3</v>
      </c>
      <c r="L20" s="178" t="str">
        <f t="shared" ca="1" si="1"/>
        <v>Real Madrid</v>
      </c>
      <c r="M20" s="179" t="s">
        <v>4</v>
      </c>
      <c r="N20" s="180" t="str">
        <f t="shared" ca="1" si="2"/>
        <v>Borussia Dortmund</v>
      </c>
      <c r="O20" s="349"/>
      <c r="P20" s="749"/>
      <c r="Q20" s="555"/>
      <c r="U20" s="556"/>
      <c r="W20" s="405">
        <v>3</v>
      </c>
      <c r="X20" s="560">
        <v>6</v>
      </c>
      <c r="Y20" s="561">
        <v>6</v>
      </c>
      <c r="Z20" s="561">
        <v>6</v>
      </c>
      <c r="AA20" s="561">
        <v>6</v>
      </c>
      <c r="AB20" s="561">
        <v>6</v>
      </c>
      <c r="AC20" s="562">
        <v>6</v>
      </c>
      <c r="AD20" s="560">
        <v>6</v>
      </c>
      <c r="AE20" s="561">
        <v>6</v>
      </c>
      <c r="AF20" s="561">
        <v>6</v>
      </c>
      <c r="AG20" s="561">
        <v>6</v>
      </c>
      <c r="AH20" s="561">
        <v>6</v>
      </c>
      <c r="AI20" s="562">
        <v>6</v>
      </c>
      <c r="AJ20" s="560">
        <v>6</v>
      </c>
      <c r="AK20" s="561">
        <v>6</v>
      </c>
      <c r="AL20" s="561">
        <v>6</v>
      </c>
      <c r="AM20" s="561">
        <v>6</v>
      </c>
      <c r="AN20" s="561">
        <v>6</v>
      </c>
      <c r="AO20" s="562">
        <v>6</v>
      </c>
      <c r="AP20" s="560">
        <v>6</v>
      </c>
      <c r="AQ20" s="561">
        <v>6</v>
      </c>
      <c r="AR20" s="561">
        <v>6</v>
      </c>
      <c r="AS20" s="561">
        <v>6</v>
      </c>
      <c r="AT20" s="561">
        <v>6</v>
      </c>
      <c r="AU20" s="562">
        <v>6</v>
      </c>
      <c r="AV20" s="560">
        <v>6</v>
      </c>
      <c r="AW20" s="561">
        <v>6</v>
      </c>
      <c r="AX20" s="561">
        <v>6</v>
      </c>
      <c r="AY20" s="561">
        <v>6</v>
      </c>
      <c r="AZ20" s="561">
        <v>6</v>
      </c>
      <c r="BA20" s="562">
        <v>6</v>
      </c>
      <c r="BB20" s="560">
        <v>6</v>
      </c>
      <c r="BC20" s="561">
        <v>6</v>
      </c>
      <c r="BD20" s="561">
        <v>6</v>
      </c>
      <c r="BE20" s="561">
        <v>6</v>
      </c>
      <c r="BF20" s="561">
        <v>6</v>
      </c>
      <c r="BG20" s="562">
        <v>6</v>
      </c>
      <c r="BH20" s="467"/>
    </row>
    <row r="21" spans="1:60" ht="15.95" customHeight="1" thickBot="1" x14ac:dyDescent="0.3">
      <c r="A21" s="68"/>
      <c r="B21" s="806"/>
      <c r="C21" s="808"/>
      <c r="D21" s="571">
        <v>16</v>
      </c>
      <c r="E21" s="528">
        <f t="array" aca="1" ref="E21" ca="1">IF($D21&gt;Calc1!$B$14,"",ROW(16:16)-SUM((($L$6:$L20="")+($N$6:$N20="")&gt;0)*1))</f>
        <v>16</v>
      </c>
      <c r="F21" s="173">
        <f ca="1">IF(OR($V$15,$D21&gt;Calc1!$B$14),"",$S$5+QUOTIENT(($E21-1),$V$11)*($S$7+$S$9)/1440+SUM($P$6:$P20)/1440)</f>
        <v>0.44791666666666669</v>
      </c>
      <c r="G21" s="175">
        <f ca="1">IF(OR($V$15,$D21&gt;Calc1!$B$14),"",MOD($E21-1,$V$11)+1)</f>
        <v>4</v>
      </c>
      <c r="H21" s="309" t="str">
        <f t="shared" ca="1" si="0"/>
        <v>D</v>
      </c>
      <c r="I21" s="330" t="str">
        <f ca="1"/>
        <v>D2</v>
      </c>
      <c r="J21" s="331" t="s">
        <v>4</v>
      </c>
      <c r="K21" s="332" t="str">
        <f ca="1"/>
        <v>D3</v>
      </c>
      <c r="L21" s="178" t="str">
        <f t="shared" ca="1" si="1"/>
        <v>Paris St. Germain</v>
      </c>
      <c r="M21" s="179" t="s">
        <v>4</v>
      </c>
      <c r="N21" s="180" t="str">
        <f t="shared" ca="1" si="2"/>
        <v>HSV</v>
      </c>
      <c r="O21" s="349"/>
      <c r="P21" s="749"/>
      <c r="Q21" s="555"/>
      <c r="U21" s="556"/>
      <c r="W21" s="405">
        <v>4</v>
      </c>
      <c r="X21" s="560">
        <v>6</v>
      </c>
      <c r="Y21" s="561">
        <v>6</v>
      </c>
      <c r="Z21" s="561">
        <v>6</v>
      </c>
      <c r="AA21" s="561">
        <v>6</v>
      </c>
      <c r="AB21" s="561">
        <v>6</v>
      </c>
      <c r="AC21" s="562">
        <v>6</v>
      </c>
      <c r="AD21" s="560">
        <v>6</v>
      </c>
      <c r="AE21" s="561">
        <v>6</v>
      </c>
      <c r="AF21" s="561">
        <v>6</v>
      </c>
      <c r="AG21" s="561">
        <v>6</v>
      </c>
      <c r="AH21" s="561">
        <v>6</v>
      </c>
      <c r="AI21" s="562">
        <v>6</v>
      </c>
      <c r="AJ21" s="560">
        <v>6</v>
      </c>
      <c r="AK21" s="561">
        <v>6</v>
      </c>
      <c r="AL21" s="561">
        <v>6</v>
      </c>
      <c r="AM21" s="561">
        <v>6</v>
      </c>
      <c r="AN21" s="561">
        <v>6</v>
      </c>
      <c r="AO21" s="562">
        <v>6</v>
      </c>
      <c r="AP21" s="560">
        <v>6</v>
      </c>
      <c r="AQ21" s="561">
        <v>6</v>
      </c>
      <c r="AR21" s="561">
        <v>6</v>
      </c>
      <c r="AS21" s="561">
        <v>6</v>
      </c>
      <c r="AT21" s="561">
        <v>6</v>
      </c>
      <c r="AU21" s="562">
        <v>6</v>
      </c>
      <c r="AV21" s="560">
        <v>6</v>
      </c>
      <c r="AW21" s="561">
        <v>6</v>
      </c>
      <c r="AX21" s="561">
        <v>6</v>
      </c>
      <c r="AY21" s="561">
        <v>6</v>
      </c>
      <c r="AZ21" s="561">
        <v>6</v>
      </c>
      <c r="BA21" s="562">
        <v>6</v>
      </c>
      <c r="BB21" s="560">
        <v>6</v>
      </c>
      <c r="BC21" s="561">
        <v>6</v>
      </c>
      <c r="BD21" s="561">
        <v>6</v>
      </c>
      <c r="BE21" s="561">
        <v>6</v>
      </c>
      <c r="BF21" s="561">
        <v>6</v>
      </c>
      <c r="BG21" s="562">
        <v>6</v>
      </c>
      <c r="BH21" s="467"/>
    </row>
    <row r="22" spans="1:60" ht="15.95" customHeight="1" thickTop="1" x14ac:dyDescent="0.25">
      <c r="A22" s="68"/>
      <c r="B22" s="809"/>
      <c r="C22" s="811" t="str">
        <f>Sprache!$E$10</f>
        <v>Teilnehmer bzw. Mannschaft</v>
      </c>
      <c r="D22" s="571">
        <v>17</v>
      </c>
      <c r="E22" s="528">
        <f t="array" aca="1" ref="E22" ca="1">IF($D22&gt;Calc1!$B$14,"",ROW(17:17)-SUM((($L$6:$L21="")+($N$6:$N21="")&gt;0)*1))</f>
        <v>17</v>
      </c>
      <c r="F22" s="173">
        <f ca="1">IF(OR($V$15,$D22&gt;Calc1!$B$14),"",$S$5+QUOTIENT(($E22-1),$V$11)*($S$7+$S$9)/1440+SUM($P$6:$P21)/1440)</f>
        <v>0.47222222222222221</v>
      </c>
      <c r="G22" s="175">
        <f ca="1">IF(OR($V$15,$D22&gt;Calc1!$B$14),"",MOD($E22-1,$V$11)+1)</f>
        <v>1</v>
      </c>
      <c r="H22" s="309" t="str">
        <f t="shared" ca="1" si="0"/>
        <v>A</v>
      </c>
      <c r="I22" s="330" t="str">
        <f ca="1"/>
        <v>A1</v>
      </c>
      <c r="J22" s="331" t="s">
        <v>4</v>
      </c>
      <c r="K22" s="332" t="str">
        <f ca="1"/>
        <v>A4</v>
      </c>
      <c r="L22" s="178" t="str">
        <f t="shared" ca="1" si="1"/>
        <v>1. FC Riedwald</v>
      </c>
      <c r="M22" s="179" t="s">
        <v>4</v>
      </c>
      <c r="N22" s="180" t="str">
        <f t="shared" ca="1" si="2"/>
        <v>Maibach 1822 eV</v>
      </c>
      <c r="O22" s="349"/>
      <c r="P22" s="749"/>
      <c r="Q22" s="555"/>
      <c r="R22" s="838" t="str">
        <f ca="1">Sprache!$E$101&amp;$V$10&amp;Sprache!$E$102</f>
        <v>Wegen zeitlicher Konflikte kann nur auf maximal 6 Spielplätzen gleichzeitig gespielt werden.</v>
      </c>
      <c r="S22" s="838"/>
      <c r="T22" s="838"/>
      <c r="U22" s="556"/>
      <c r="W22" s="405">
        <v>5</v>
      </c>
      <c r="X22" s="560">
        <v>6</v>
      </c>
      <c r="Y22" s="561">
        <v>6</v>
      </c>
      <c r="Z22" s="561">
        <v>6</v>
      </c>
      <c r="AA22" s="561">
        <v>6</v>
      </c>
      <c r="AB22" s="561">
        <v>6</v>
      </c>
      <c r="AC22" s="562">
        <v>6</v>
      </c>
      <c r="AD22" s="560">
        <v>6</v>
      </c>
      <c r="AE22" s="561">
        <v>6</v>
      </c>
      <c r="AF22" s="561">
        <v>6</v>
      </c>
      <c r="AG22" s="561">
        <v>6</v>
      </c>
      <c r="AH22" s="561">
        <v>6</v>
      </c>
      <c r="AI22" s="562">
        <v>6</v>
      </c>
      <c r="AJ22" s="560">
        <v>6</v>
      </c>
      <c r="AK22" s="561">
        <v>6</v>
      </c>
      <c r="AL22" s="561">
        <v>6</v>
      </c>
      <c r="AM22" s="561">
        <v>6</v>
      </c>
      <c r="AN22" s="561">
        <v>6</v>
      </c>
      <c r="AO22" s="562">
        <v>6</v>
      </c>
      <c r="AP22" s="560">
        <v>6</v>
      </c>
      <c r="AQ22" s="561">
        <v>6</v>
      </c>
      <c r="AR22" s="561">
        <v>6</v>
      </c>
      <c r="AS22" s="561">
        <v>6</v>
      </c>
      <c r="AT22" s="561">
        <v>6</v>
      </c>
      <c r="AU22" s="562">
        <v>6</v>
      </c>
      <c r="AV22" s="560">
        <v>6</v>
      </c>
      <c r="AW22" s="561">
        <v>6</v>
      </c>
      <c r="AX22" s="561">
        <v>6</v>
      </c>
      <c r="AY22" s="561">
        <v>6</v>
      </c>
      <c r="AZ22" s="561">
        <v>6</v>
      </c>
      <c r="BA22" s="562">
        <v>6</v>
      </c>
      <c r="BB22" s="560">
        <v>6</v>
      </c>
      <c r="BC22" s="561">
        <v>6</v>
      </c>
      <c r="BD22" s="561">
        <v>6</v>
      </c>
      <c r="BE22" s="561">
        <v>6</v>
      </c>
      <c r="BF22" s="561">
        <v>6</v>
      </c>
      <c r="BG22" s="562">
        <v>6</v>
      </c>
      <c r="BH22" s="467"/>
    </row>
    <row r="23" spans="1:60" ht="15.95" customHeight="1" thickBot="1" x14ac:dyDescent="0.3">
      <c r="A23" s="68"/>
      <c r="B23" s="810"/>
      <c r="C23" s="812"/>
      <c r="D23" s="571">
        <v>18</v>
      </c>
      <c r="E23" s="528">
        <f t="array" aca="1" ref="E23" ca="1">IF($D23&gt;Calc1!$B$14,"",ROW(18:18)-SUM((($L$6:$L22="")+($N$6:$N22="")&gt;0)*1))</f>
        <v>18</v>
      </c>
      <c r="F23" s="173">
        <f ca="1">IF(OR($V$15,$D23&gt;Calc1!$B$14),"",$S$5+QUOTIENT(($E23-1),$V$11)*($S$7+$S$9)/1440+SUM($P$6:$P22)/1440)</f>
        <v>0.47222222222222221</v>
      </c>
      <c r="G23" s="175">
        <f ca="1">IF(OR($V$15,$D23&gt;Calc1!$B$14),"",MOD($E23-1,$V$11)+1)</f>
        <v>2</v>
      </c>
      <c r="H23" s="309" t="str">
        <f t="shared" ca="1" si="0"/>
        <v>B</v>
      </c>
      <c r="I23" s="330" t="str">
        <f ca="1"/>
        <v>B1</v>
      </c>
      <c r="J23" s="331" t="s">
        <v>4</v>
      </c>
      <c r="K23" s="332" t="str">
        <f ca="1"/>
        <v>B4</v>
      </c>
      <c r="L23" s="178" t="str">
        <f t="shared" ca="1" si="1"/>
        <v>Mainz 05</v>
      </c>
      <c r="M23" s="179" t="s">
        <v>4</v>
      </c>
      <c r="N23" s="180" t="str">
        <f t="shared" ca="1" si="2"/>
        <v>Manchester City</v>
      </c>
      <c r="O23" s="349"/>
      <c r="P23" s="749"/>
      <c r="Q23" s="555"/>
      <c r="R23" s="838"/>
      <c r="S23" s="838"/>
      <c r="T23" s="838"/>
      <c r="U23" s="556"/>
      <c r="W23" s="406">
        <v>6</v>
      </c>
      <c r="X23" s="563">
        <v>6</v>
      </c>
      <c r="Y23" s="564">
        <v>6</v>
      </c>
      <c r="Z23" s="564">
        <v>6</v>
      </c>
      <c r="AA23" s="564">
        <v>6</v>
      </c>
      <c r="AB23" s="564">
        <v>6</v>
      </c>
      <c r="AC23" s="565">
        <v>6</v>
      </c>
      <c r="AD23" s="563">
        <v>6</v>
      </c>
      <c r="AE23" s="564">
        <v>6</v>
      </c>
      <c r="AF23" s="564">
        <v>6</v>
      </c>
      <c r="AG23" s="564">
        <v>6</v>
      </c>
      <c r="AH23" s="564">
        <v>6</v>
      </c>
      <c r="AI23" s="565">
        <v>6</v>
      </c>
      <c r="AJ23" s="563">
        <v>6</v>
      </c>
      <c r="AK23" s="564">
        <v>6</v>
      </c>
      <c r="AL23" s="564">
        <v>6</v>
      </c>
      <c r="AM23" s="564">
        <v>6</v>
      </c>
      <c r="AN23" s="564">
        <v>6</v>
      </c>
      <c r="AO23" s="565">
        <v>6</v>
      </c>
      <c r="AP23" s="563">
        <v>6</v>
      </c>
      <c r="AQ23" s="564">
        <v>6</v>
      </c>
      <c r="AR23" s="564">
        <v>6</v>
      </c>
      <c r="AS23" s="564">
        <v>6</v>
      </c>
      <c r="AT23" s="564">
        <v>6</v>
      </c>
      <c r="AU23" s="565">
        <v>6</v>
      </c>
      <c r="AV23" s="563">
        <v>6</v>
      </c>
      <c r="AW23" s="564">
        <v>6</v>
      </c>
      <c r="AX23" s="564">
        <v>6</v>
      </c>
      <c r="AY23" s="564">
        <v>6</v>
      </c>
      <c r="AZ23" s="564">
        <v>6</v>
      </c>
      <c r="BA23" s="565">
        <v>6</v>
      </c>
      <c r="BB23" s="563">
        <v>6</v>
      </c>
      <c r="BC23" s="564">
        <v>6</v>
      </c>
      <c r="BD23" s="564">
        <v>6</v>
      </c>
      <c r="BE23" s="564">
        <v>6</v>
      </c>
      <c r="BF23" s="564">
        <v>6</v>
      </c>
      <c r="BG23" s="565">
        <v>6</v>
      </c>
      <c r="BH23" s="467"/>
    </row>
    <row r="24" spans="1:60" ht="15.95" customHeight="1" thickTop="1" x14ac:dyDescent="0.25">
      <c r="A24" s="68"/>
      <c r="B24" s="813" t="s">
        <v>192</v>
      </c>
      <c r="C24" s="814" t="s">
        <v>244</v>
      </c>
      <c r="D24" s="571">
        <v>19</v>
      </c>
      <c r="E24" s="528">
        <f t="array" aca="1" ref="E24" ca="1">IF($D24&gt;Calc1!$B$14,"",ROW(19:19)-SUM((($L$6:$L23="")+($N$6:$N23="")&gt;0)*1))</f>
        <v>19</v>
      </c>
      <c r="F24" s="173">
        <f ca="1">IF(OR($V$15,$D24&gt;Calc1!$B$14),"",$S$5+QUOTIENT(($E24-1),$V$11)*($S$7+$S$9)/1440+SUM($P$6:$P23)/1440)</f>
        <v>0.47222222222222221</v>
      </c>
      <c r="G24" s="175">
        <f ca="1">IF(OR($V$15,$D24&gt;Calc1!$B$14),"",MOD($E24-1,$V$11)+1)</f>
        <v>3</v>
      </c>
      <c r="H24" s="309" t="str">
        <f t="shared" ca="1" si="0"/>
        <v>C</v>
      </c>
      <c r="I24" s="330" t="str">
        <f ca="1"/>
        <v>C1</v>
      </c>
      <c r="J24" s="331" t="s">
        <v>4</v>
      </c>
      <c r="K24" s="332" t="str">
        <f ca="1"/>
        <v>C4</v>
      </c>
      <c r="L24" s="178" t="str">
        <f t="shared" ca="1" si="1"/>
        <v>Kickers Rodendorf</v>
      </c>
      <c r="M24" s="179" t="s">
        <v>4</v>
      </c>
      <c r="N24" s="180" t="str">
        <f t="shared" ca="1" si="2"/>
        <v>FSV Rauen</v>
      </c>
      <c r="O24" s="349"/>
      <c r="P24" s="749"/>
      <c r="Q24" s="555"/>
      <c r="R24" s="410"/>
      <c r="S24" s="545" t="str">
        <f t="array" aca="1" ref="S24" ca="1">IFERROR(proof!$E$3-SUM(((OFFSET($L$6,0,0,proof!$E$3,1)="")+(OFFSET($N$6,0,0,proof!$E$3,1)="")&gt;0)*1),"")</f>
        <v/>
      </c>
      <c r="T24" s="545" t="str">
        <f t="array" aca="1" ref="T24" ca="1">IFERROR(proof!$E$4-SUM(((OFFSET($L$6,0,0,proof!$E$4,1)="")+(OFFSET($N$6,0,0,proof!$E$4,1)="")&gt;0)*1),"")</f>
        <v/>
      </c>
      <c r="U24" s="556"/>
      <c r="W24" s="405">
        <v>1</v>
      </c>
      <c r="X24" s="557">
        <v>6</v>
      </c>
      <c r="Y24" s="558">
        <v>6</v>
      </c>
      <c r="Z24" s="558">
        <v>6</v>
      </c>
      <c r="AA24" s="558">
        <v>6</v>
      </c>
      <c r="AB24" s="558">
        <v>6</v>
      </c>
      <c r="AC24" s="559">
        <v>6</v>
      </c>
      <c r="AD24" s="557">
        <v>6</v>
      </c>
      <c r="AE24" s="558">
        <v>6</v>
      </c>
      <c r="AF24" s="558">
        <v>6</v>
      </c>
      <c r="AG24" s="558">
        <v>6</v>
      </c>
      <c r="AH24" s="558">
        <v>6</v>
      </c>
      <c r="AI24" s="559">
        <v>6</v>
      </c>
      <c r="AJ24" s="557">
        <v>6</v>
      </c>
      <c r="AK24" s="558">
        <v>6</v>
      </c>
      <c r="AL24" s="558">
        <v>6</v>
      </c>
      <c r="AM24" s="558">
        <v>6</v>
      </c>
      <c r="AN24" s="558">
        <v>6</v>
      </c>
      <c r="AO24" s="559">
        <v>6</v>
      </c>
      <c r="AP24" s="557">
        <v>6</v>
      </c>
      <c r="AQ24" s="558">
        <v>6</v>
      </c>
      <c r="AR24" s="558">
        <v>6</v>
      </c>
      <c r="AS24" s="558">
        <v>6</v>
      </c>
      <c r="AT24" s="558">
        <v>6</v>
      </c>
      <c r="AU24" s="559">
        <v>6</v>
      </c>
      <c r="AV24" s="557">
        <v>6</v>
      </c>
      <c r="AW24" s="558">
        <v>6</v>
      </c>
      <c r="AX24" s="558">
        <v>6</v>
      </c>
      <c r="AY24" s="558">
        <v>6</v>
      </c>
      <c r="AZ24" s="558">
        <v>6</v>
      </c>
      <c r="BA24" s="559">
        <v>6</v>
      </c>
      <c r="BB24" s="557">
        <v>6</v>
      </c>
      <c r="BC24" s="558">
        <v>6</v>
      </c>
      <c r="BD24" s="558">
        <v>6</v>
      </c>
      <c r="BE24" s="558">
        <v>6</v>
      </c>
      <c r="BF24" s="558">
        <v>6</v>
      </c>
      <c r="BG24" s="559">
        <v>6</v>
      </c>
      <c r="BH24" s="466">
        <v>4</v>
      </c>
    </row>
    <row r="25" spans="1:60" ht="15.95" customHeight="1" x14ac:dyDescent="0.25">
      <c r="B25" s="800"/>
      <c r="C25" s="802"/>
      <c r="D25" s="571">
        <v>20</v>
      </c>
      <c r="E25" s="528">
        <f t="array" aca="1" ref="E25" ca="1">IF($D25&gt;Calc1!$B$14,"",ROW(20:20)-SUM((($L$6:$L24="")+($N$6:$N24="")&gt;0)*1))</f>
        <v>20</v>
      </c>
      <c r="F25" s="173">
        <f ca="1">IF(OR($V$15,$D25&gt;Calc1!$B$14),"",$S$5+QUOTIENT(($E25-1),$V$11)*($S$7+$S$9)/1440+SUM($P$6:$P24)/1440)</f>
        <v>0.47222222222222221</v>
      </c>
      <c r="G25" s="175">
        <f ca="1">IF(OR($V$15,$D25&gt;Calc1!$B$14),"",MOD($E25-1,$V$11)+1)</f>
        <v>4</v>
      </c>
      <c r="H25" s="309" t="str">
        <f t="shared" ca="1" si="0"/>
        <v>D</v>
      </c>
      <c r="I25" s="330" t="str">
        <f ca="1"/>
        <v>D1</v>
      </c>
      <c r="J25" s="331" t="s">
        <v>4</v>
      </c>
      <c r="K25" s="332" t="str">
        <f ca="1"/>
        <v>D4</v>
      </c>
      <c r="L25" s="178" t="str">
        <f t="shared" ca="1" si="1"/>
        <v>TSG Saalberg eV</v>
      </c>
      <c r="M25" s="179" t="s">
        <v>4</v>
      </c>
      <c r="N25" s="180" t="str">
        <f t="shared" ca="1" si="2"/>
        <v>RB Leipzig</v>
      </c>
      <c r="O25" s="349"/>
      <c r="P25" s="749"/>
      <c r="Q25" s="555"/>
      <c r="R25" s="798" t="str">
        <f ca="1">IF($V$15,"",IF(proof!$G$2="FEHLER",Sprache!$E$109&amp;proof!$E$6,""))</f>
        <v/>
      </c>
      <c r="S25" s="798"/>
      <c r="T25" s="798"/>
      <c r="U25" s="556"/>
      <c r="W25" s="405">
        <v>2</v>
      </c>
      <c r="X25" s="560">
        <v>6</v>
      </c>
      <c r="Y25" s="561">
        <v>6</v>
      </c>
      <c r="Z25" s="561">
        <v>6</v>
      </c>
      <c r="AA25" s="561">
        <v>6</v>
      </c>
      <c r="AB25" s="561">
        <v>6</v>
      </c>
      <c r="AC25" s="562">
        <v>6</v>
      </c>
      <c r="AD25" s="560">
        <v>6</v>
      </c>
      <c r="AE25" s="561">
        <v>6</v>
      </c>
      <c r="AF25" s="561">
        <v>6</v>
      </c>
      <c r="AG25" s="561">
        <v>6</v>
      </c>
      <c r="AH25" s="561">
        <v>6</v>
      </c>
      <c r="AI25" s="562">
        <v>6</v>
      </c>
      <c r="AJ25" s="560">
        <v>6</v>
      </c>
      <c r="AK25" s="561">
        <v>6</v>
      </c>
      <c r="AL25" s="561">
        <v>6</v>
      </c>
      <c r="AM25" s="561">
        <v>6</v>
      </c>
      <c r="AN25" s="561">
        <v>6</v>
      </c>
      <c r="AO25" s="562">
        <v>6</v>
      </c>
      <c r="AP25" s="560">
        <v>6</v>
      </c>
      <c r="AQ25" s="561">
        <v>6</v>
      </c>
      <c r="AR25" s="561">
        <v>6</v>
      </c>
      <c r="AS25" s="561">
        <v>6</v>
      </c>
      <c r="AT25" s="561">
        <v>6</v>
      </c>
      <c r="AU25" s="562">
        <v>6</v>
      </c>
      <c r="AV25" s="560">
        <v>6</v>
      </c>
      <c r="AW25" s="561">
        <v>6</v>
      </c>
      <c r="AX25" s="561">
        <v>6</v>
      </c>
      <c r="AY25" s="561">
        <v>6</v>
      </c>
      <c r="AZ25" s="561">
        <v>6</v>
      </c>
      <c r="BA25" s="562">
        <v>6</v>
      </c>
      <c r="BB25" s="560">
        <v>6</v>
      </c>
      <c r="BC25" s="561">
        <v>6</v>
      </c>
      <c r="BD25" s="561">
        <v>6</v>
      </c>
      <c r="BE25" s="561">
        <v>6</v>
      </c>
      <c r="BF25" s="561">
        <v>6</v>
      </c>
      <c r="BG25" s="562">
        <v>6</v>
      </c>
      <c r="BH25" s="467"/>
    </row>
    <row r="26" spans="1:60" ht="15.95" customHeight="1" x14ac:dyDescent="0.25">
      <c r="B26" s="799" t="s">
        <v>194</v>
      </c>
      <c r="C26" s="801" t="s">
        <v>245</v>
      </c>
      <c r="D26" s="571">
        <v>21</v>
      </c>
      <c r="E26" s="528">
        <f t="array" aca="1" ref="E26" ca="1">IF($D26&gt;Calc1!$B$14,"",ROW(21:21)-SUM((($L$6:$L25="")+($N$6:$N25="")&gt;0)*1))</f>
        <v>21</v>
      </c>
      <c r="F26" s="173">
        <f ca="1">IF(OR($V$15,$D26&gt;Calc1!$B$14),"",$S$5+QUOTIENT(($E26-1),$V$11)*($S$7+$S$9)/1440+SUM($P$6:$P25)/1440)</f>
        <v>0.49652777777777779</v>
      </c>
      <c r="G26" s="175">
        <f ca="1">IF(OR($V$15,$D26&gt;Calc1!$B$14),"",MOD($E26-1,$V$11)+1)</f>
        <v>1</v>
      </c>
      <c r="H26" s="309" t="str">
        <f t="shared" ca="1" si="0"/>
        <v>A</v>
      </c>
      <c r="I26" s="330" t="str">
        <f ca="1"/>
        <v>A3</v>
      </c>
      <c r="J26" s="331" t="s">
        <v>4</v>
      </c>
      <c r="K26" s="332" t="str">
        <f ca="1"/>
        <v>A5</v>
      </c>
      <c r="L26" s="178" t="str">
        <f t="shared" ca="1" si="1"/>
        <v>Eintracht Frankfurt</v>
      </c>
      <c r="M26" s="179" t="s">
        <v>4</v>
      </c>
      <c r="N26" s="180" t="str">
        <f t="shared" ca="1" si="2"/>
        <v>VFB Essenheim</v>
      </c>
      <c r="O26" s="349"/>
      <c r="P26" s="749"/>
      <c r="Q26" s="555"/>
      <c r="R26" s="798" t="str">
        <f ca="1">IF($V$15,"",IF(proof!$G$2="FEHLER",Sprache!$E$110&amp;$S$24&amp;Sprache!$E$111&amp;$T$24,""))</f>
        <v/>
      </c>
      <c r="S26" s="798"/>
      <c r="T26" s="798"/>
      <c r="U26" s="556"/>
      <c r="W26" s="405">
        <v>3</v>
      </c>
      <c r="X26" s="560">
        <v>6</v>
      </c>
      <c r="Y26" s="561">
        <v>6</v>
      </c>
      <c r="Z26" s="561">
        <v>6</v>
      </c>
      <c r="AA26" s="561">
        <v>6</v>
      </c>
      <c r="AB26" s="561">
        <v>6</v>
      </c>
      <c r="AC26" s="562">
        <v>6</v>
      </c>
      <c r="AD26" s="560">
        <v>6</v>
      </c>
      <c r="AE26" s="561">
        <v>6</v>
      </c>
      <c r="AF26" s="561">
        <v>6</v>
      </c>
      <c r="AG26" s="561">
        <v>6</v>
      </c>
      <c r="AH26" s="561">
        <v>6</v>
      </c>
      <c r="AI26" s="562">
        <v>6</v>
      </c>
      <c r="AJ26" s="560">
        <v>6</v>
      </c>
      <c r="AK26" s="561">
        <v>6</v>
      </c>
      <c r="AL26" s="561">
        <v>6</v>
      </c>
      <c r="AM26" s="561">
        <v>6</v>
      </c>
      <c r="AN26" s="561">
        <v>6</v>
      </c>
      <c r="AO26" s="562">
        <v>6</v>
      </c>
      <c r="AP26" s="560">
        <v>6</v>
      </c>
      <c r="AQ26" s="561">
        <v>6</v>
      </c>
      <c r="AR26" s="561">
        <v>6</v>
      </c>
      <c r="AS26" s="561">
        <v>6</v>
      </c>
      <c r="AT26" s="561">
        <v>6</v>
      </c>
      <c r="AU26" s="562">
        <v>6</v>
      </c>
      <c r="AV26" s="560">
        <v>6</v>
      </c>
      <c r="AW26" s="561">
        <v>6</v>
      </c>
      <c r="AX26" s="561">
        <v>6</v>
      </c>
      <c r="AY26" s="561">
        <v>6</v>
      </c>
      <c r="AZ26" s="561">
        <v>6</v>
      </c>
      <c r="BA26" s="562">
        <v>6</v>
      </c>
      <c r="BB26" s="560">
        <v>6</v>
      </c>
      <c r="BC26" s="561">
        <v>6</v>
      </c>
      <c r="BD26" s="561">
        <v>6</v>
      </c>
      <c r="BE26" s="561">
        <v>6</v>
      </c>
      <c r="BF26" s="561">
        <v>6</v>
      </c>
      <c r="BG26" s="562">
        <v>6</v>
      </c>
      <c r="BH26" s="467"/>
    </row>
    <row r="27" spans="1:60" ht="15.95" customHeight="1" x14ac:dyDescent="0.25">
      <c r="B27" s="800"/>
      <c r="C27" s="802"/>
      <c r="D27" s="571">
        <v>22</v>
      </c>
      <c r="E27" s="528">
        <f t="array" aca="1" ref="E27" ca="1">IF($D27&gt;Calc1!$B$14,"",ROW(22:22)-SUM((($L$6:$L26="")+($N$6:$N26="")&gt;0)*1))</f>
        <v>22</v>
      </c>
      <c r="F27" s="173">
        <f ca="1">IF(OR($V$15,$D27&gt;Calc1!$B$14),"",$S$5+QUOTIENT(($E27-1),$V$11)*($S$7+$S$9)/1440+SUM($P$6:$P26)/1440)</f>
        <v>0.49652777777777779</v>
      </c>
      <c r="G27" s="175">
        <f ca="1">IF(OR($V$15,$D27&gt;Calc1!$B$14),"",MOD($E27-1,$V$11)+1)</f>
        <v>2</v>
      </c>
      <c r="H27" s="309" t="str">
        <f t="shared" ca="1" si="0"/>
        <v>B</v>
      </c>
      <c r="I27" s="330" t="str">
        <f ca="1"/>
        <v>B3</v>
      </c>
      <c r="J27" s="331" t="s">
        <v>4</v>
      </c>
      <c r="K27" s="332" t="str">
        <f ca="1"/>
        <v>B5</v>
      </c>
      <c r="L27" s="178" t="str">
        <f t="shared" ca="1" si="1"/>
        <v>SSV Wildbach</v>
      </c>
      <c r="M27" s="179" t="s">
        <v>4</v>
      </c>
      <c r="N27" s="180" t="str">
        <f t="shared" ca="1" si="2"/>
        <v>FC Grönlingen</v>
      </c>
      <c r="O27" s="349"/>
      <c r="P27" s="749"/>
      <c r="Q27" s="555"/>
      <c r="R27" s="446"/>
      <c r="S27" s="170"/>
      <c r="T27" s="170"/>
      <c r="U27" s="556"/>
      <c r="W27" s="405">
        <v>4</v>
      </c>
      <c r="X27" s="560">
        <v>6</v>
      </c>
      <c r="Y27" s="561">
        <v>6</v>
      </c>
      <c r="Z27" s="561">
        <v>6</v>
      </c>
      <c r="AA27" s="561">
        <v>6</v>
      </c>
      <c r="AB27" s="561">
        <v>6</v>
      </c>
      <c r="AC27" s="562">
        <v>6</v>
      </c>
      <c r="AD27" s="560">
        <v>6</v>
      </c>
      <c r="AE27" s="561">
        <v>6</v>
      </c>
      <c r="AF27" s="561">
        <v>6</v>
      </c>
      <c r="AG27" s="561">
        <v>6</v>
      </c>
      <c r="AH27" s="561">
        <v>6</v>
      </c>
      <c r="AI27" s="562">
        <v>6</v>
      </c>
      <c r="AJ27" s="560">
        <v>6</v>
      </c>
      <c r="AK27" s="561">
        <v>6</v>
      </c>
      <c r="AL27" s="561">
        <v>6</v>
      </c>
      <c r="AM27" s="561">
        <v>6</v>
      </c>
      <c r="AN27" s="561">
        <v>6</v>
      </c>
      <c r="AO27" s="562">
        <v>6</v>
      </c>
      <c r="AP27" s="560">
        <v>6</v>
      </c>
      <c r="AQ27" s="561">
        <v>6</v>
      </c>
      <c r="AR27" s="561">
        <v>6</v>
      </c>
      <c r="AS27" s="561">
        <v>6</v>
      </c>
      <c r="AT27" s="561">
        <v>6</v>
      </c>
      <c r="AU27" s="562">
        <v>6</v>
      </c>
      <c r="AV27" s="560">
        <v>6</v>
      </c>
      <c r="AW27" s="561">
        <v>6</v>
      </c>
      <c r="AX27" s="561">
        <v>6</v>
      </c>
      <c r="AY27" s="561">
        <v>6</v>
      </c>
      <c r="AZ27" s="561">
        <v>6</v>
      </c>
      <c r="BA27" s="562">
        <v>6</v>
      </c>
      <c r="BB27" s="560">
        <v>6</v>
      </c>
      <c r="BC27" s="561">
        <v>6</v>
      </c>
      <c r="BD27" s="561">
        <v>6</v>
      </c>
      <c r="BE27" s="561">
        <v>6</v>
      </c>
      <c r="BF27" s="561">
        <v>6</v>
      </c>
      <c r="BG27" s="562">
        <v>6</v>
      </c>
      <c r="BH27" s="467"/>
    </row>
    <row r="28" spans="1:60" ht="15.95" customHeight="1" x14ac:dyDescent="0.25">
      <c r="B28" s="799" t="s">
        <v>190</v>
      </c>
      <c r="C28" s="801" t="s">
        <v>247</v>
      </c>
      <c r="D28" s="571">
        <v>23</v>
      </c>
      <c r="E28" s="528">
        <f t="array" aca="1" ref="E28" ca="1">IF($D28&gt;Calc1!$B$14,"",ROW(23:23)-SUM((($L$6:$L27="")+($N$6:$N27="")&gt;0)*1))</f>
        <v>23</v>
      </c>
      <c r="F28" s="173">
        <f ca="1">IF(OR($V$15,$D28&gt;Calc1!$B$14),"",$S$5+QUOTIENT(($E28-1),$V$11)*($S$7+$S$9)/1440+SUM($P$6:$P27)/1440)</f>
        <v>0.49652777777777779</v>
      </c>
      <c r="G28" s="175">
        <f ca="1">IF(OR($V$15,$D28&gt;Calc1!$B$14),"",MOD($E28-1,$V$11)+1)</f>
        <v>3</v>
      </c>
      <c r="H28" s="309" t="str">
        <f t="shared" ca="1" si="0"/>
        <v>C</v>
      </c>
      <c r="I28" s="330" t="str">
        <f ca="1"/>
        <v>C3</v>
      </c>
      <c r="J28" s="331" t="s">
        <v>4</v>
      </c>
      <c r="K28" s="332" t="str">
        <f ca="1"/>
        <v>C5</v>
      </c>
      <c r="L28" s="178" t="str">
        <f t="shared" ca="1" si="1"/>
        <v>Borussia Dortmund</v>
      </c>
      <c r="M28" s="179" t="s">
        <v>4</v>
      </c>
      <c r="N28" s="180" t="str">
        <f t="shared" ca="1" si="2"/>
        <v>1. FC Nürnberg</v>
      </c>
      <c r="O28" s="349"/>
      <c r="P28" s="749"/>
      <c r="Q28" s="555"/>
      <c r="R28" s="446"/>
      <c r="S28" s="170"/>
      <c r="T28" s="170"/>
      <c r="U28" s="556"/>
      <c r="W28" s="405">
        <v>5</v>
      </c>
      <c r="X28" s="560">
        <v>6</v>
      </c>
      <c r="Y28" s="561">
        <v>6</v>
      </c>
      <c r="Z28" s="561">
        <v>6</v>
      </c>
      <c r="AA28" s="561">
        <v>6</v>
      </c>
      <c r="AB28" s="561">
        <v>6</v>
      </c>
      <c r="AC28" s="562">
        <v>6</v>
      </c>
      <c r="AD28" s="560">
        <v>6</v>
      </c>
      <c r="AE28" s="561">
        <v>6</v>
      </c>
      <c r="AF28" s="561">
        <v>6</v>
      </c>
      <c r="AG28" s="561">
        <v>6</v>
      </c>
      <c r="AH28" s="561">
        <v>6</v>
      </c>
      <c r="AI28" s="562">
        <v>6</v>
      </c>
      <c r="AJ28" s="560">
        <v>6</v>
      </c>
      <c r="AK28" s="561">
        <v>6</v>
      </c>
      <c r="AL28" s="561">
        <v>6</v>
      </c>
      <c r="AM28" s="561">
        <v>6</v>
      </c>
      <c r="AN28" s="561">
        <v>6</v>
      </c>
      <c r="AO28" s="562">
        <v>6</v>
      </c>
      <c r="AP28" s="560">
        <v>6</v>
      </c>
      <c r="AQ28" s="561">
        <v>6</v>
      </c>
      <c r="AR28" s="561">
        <v>6</v>
      </c>
      <c r="AS28" s="561">
        <v>6</v>
      </c>
      <c r="AT28" s="561">
        <v>6</v>
      </c>
      <c r="AU28" s="562">
        <v>6</v>
      </c>
      <c r="AV28" s="560">
        <v>6</v>
      </c>
      <c r="AW28" s="561">
        <v>6</v>
      </c>
      <c r="AX28" s="561">
        <v>6</v>
      </c>
      <c r="AY28" s="561">
        <v>6</v>
      </c>
      <c r="AZ28" s="561">
        <v>6</v>
      </c>
      <c r="BA28" s="562">
        <v>6</v>
      </c>
      <c r="BB28" s="560">
        <v>6</v>
      </c>
      <c r="BC28" s="561">
        <v>6</v>
      </c>
      <c r="BD28" s="561">
        <v>6</v>
      </c>
      <c r="BE28" s="561">
        <v>6</v>
      </c>
      <c r="BF28" s="561">
        <v>6</v>
      </c>
      <c r="BG28" s="562">
        <v>6</v>
      </c>
      <c r="BH28" s="467"/>
    </row>
    <row r="29" spans="1:60" ht="15.95" customHeight="1" thickBot="1" x14ac:dyDescent="0.3">
      <c r="B29" s="800"/>
      <c r="C29" s="802"/>
      <c r="D29" s="571">
        <v>24</v>
      </c>
      <c r="E29" s="528">
        <f t="array" aca="1" ref="E29" ca="1">IF($D29&gt;Calc1!$B$14,"",ROW(24:24)-SUM((($L$6:$L28="")+($N$6:$N28="")&gt;0)*1))</f>
        <v>24</v>
      </c>
      <c r="F29" s="173">
        <f ca="1">IF(OR($V$15,$D29&gt;Calc1!$B$14),"",$S$5+QUOTIENT(($E29-1),$V$11)*($S$7+$S$9)/1440+SUM($P$6:$P28)/1440)</f>
        <v>0.49652777777777779</v>
      </c>
      <c r="G29" s="175">
        <f ca="1">IF(OR($V$15,$D29&gt;Calc1!$B$14),"",MOD($E29-1,$V$11)+1)</f>
        <v>4</v>
      </c>
      <c r="H29" s="309" t="str">
        <f t="shared" ca="1" si="0"/>
        <v>D</v>
      </c>
      <c r="I29" s="330" t="str">
        <f ca="1"/>
        <v>D3</v>
      </c>
      <c r="J29" s="331" t="s">
        <v>4</v>
      </c>
      <c r="K29" s="332" t="str">
        <f ca="1"/>
        <v>D5</v>
      </c>
      <c r="L29" s="178" t="str">
        <f t="shared" ca="1" si="1"/>
        <v>HSV</v>
      </c>
      <c r="M29" s="179" t="s">
        <v>4</v>
      </c>
      <c r="N29" s="180" t="str">
        <f t="shared" ca="1" si="2"/>
        <v>SV Oberredenburg</v>
      </c>
      <c r="O29" s="349"/>
      <c r="P29" s="749"/>
      <c r="Q29" s="555"/>
      <c r="R29" s="446"/>
      <c r="S29" s="170"/>
      <c r="T29" s="170"/>
      <c r="U29" s="556"/>
      <c r="W29" s="406">
        <v>6</v>
      </c>
      <c r="X29" s="563">
        <v>6</v>
      </c>
      <c r="Y29" s="564">
        <v>6</v>
      </c>
      <c r="Z29" s="564">
        <v>6</v>
      </c>
      <c r="AA29" s="564">
        <v>6</v>
      </c>
      <c r="AB29" s="564">
        <v>6</v>
      </c>
      <c r="AC29" s="565">
        <v>6</v>
      </c>
      <c r="AD29" s="563">
        <v>6</v>
      </c>
      <c r="AE29" s="564">
        <v>6</v>
      </c>
      <c r="AF29" s="564">
        <v>6</v>
      </c>
      <c r="AG29" s="564">
        <v>6</v>
      </c>
      <c r="AH29" s="564">
        <v>6</v>
      </c>
      <c r="AI29" s="565">
        <v>6</v>
      </c>
      <c r="AJ29" s="563">
        <v>6</v>
      </c>
      <c r="AK29" s="564">
        <v>6</v>
      </c>
      <c r="AL29" s="564">
        <v>6</v>
      </c>
      <c r="AM29" s="564">
        <v>6</v>
      </c>
      <c r="AN29" s="564">
        <v>6</v>
      </c>
      <c r="AO29" s="565">
        <v>6</v>
      </c>
      <c r="AP29" s="563">
        <v>6</v>
      </c>
      <c r="AQ29" s="564">
        <v>6</v>
      </c>
      <c r="AR29" s="564">
        <v>6</v>
      </c>
      <c r="AS29" s="564">
        <v>6</v>
      </c>
      <c r="AT29" s="564">
        <v>6</v>
      </c>
      <c r="AU29" s="565">
        <v>6</v>
      </c>
      <c r="AV29" s="563">
        <v>6</v>
      </c>
      <c r="AW29" s="564">
        <v>6</v>
      </c>
      <c r="AX29" s="564">
        <v>6</v>
      </c>
      <c r="AY29" s="564">
        <v>6</v>
      </c>
      <c r="AZ29" s="564">
        <v>6</v>
      </c>
      <c r="BA29" s="565">
        <v>6</v>
      </c>
      <c r="BB29" s="563">
        <v>6</v>
      </c>
      <c r="BC29" s="564">
        <v>6</v>
      </c>
      <c r="BD29" s="564">
        <v>6</v>
      </c>
      <c r="BE29" s="564">
        <v>6</v>
      </c>
      <c r="BF29" s="564">
        <v>6</v>
      </c>
      <c r="BG29" s="565">
        <v>6</v>
      </c>
      <c r="BH29" s="467"/>
    </row>
    <row r="30" spans="1:60" ht="15.95" customHeight="1" thickTop="1" x14ac:dyDescent="0.25">
      <c r="B30" s="799" t="s">
        <v>196</v>
      </c>
      <c r="C30" s="801" t="s">
        <v>246</v>
      </c>
      <c r="D30" s="571">
        <v>25</v>
      </c>
      <c r="E30" s="528">
        <f t="array" aca="1" ref="E30" ca="1">IF($D30&gt;Calc1!$B$14,"",ROW(25:25)-SUM((($L$6:$L29="")+($N$6:$N29="")&gt;0)*1))</f>
        <v>25</v>
      </c>
      <c r="F30" s="173">
        <f ca="1">IF(OR($V$15,$D30&gt;Calc1!$B$14),"",$S$5+QUOTIENT(($E30-1),$V$11)*($S$7+$S$9)/1440+SUM($P$6:$P29)/1440)</f>
        <v>0.52083333333333337</v>
      </c>
      <c r="G30" s="175">
        <f ca="1">IF(OR($V$15,$D30&gt;Calc1!$B$14),"",MOD($E30-1,$V$11)+1)</f>
        <v>1</v>
      </c>
      <c r="H30" s="309" t="str">
        <f t="shared" ca="1" si="0"/>
        <v>A</v>
      </c>
      <c r="I30" s="330" t="str">
        <f ca="1"/>
        <v>A2</v>
      </c>
      <c r="J30" s="331" t="s">
        <v>4</v>
      </c>
      <c r="K30" s="332" t="str">
        <f ca="1"/>
        <v>A4</v>
      </c>
      <c r="L30" s="178" t="str">
        <f t="shared" ca="1" si="1"/>
        <v>FC Barcelona</v>
      </c>
      <c r="M30" s="179" t="s">
        <v>4</v>
      </c>
      <c r="N30" s="180" t="str">
        <f t="shared" ca="1" si="2"/>
        <v>Maibach 1822 eV</v>
      </c>
      <c r="O30" s="349"/>
      <c r="P30" s="749"/>
      <c r="Q30" s="555"/>
      <c r="R30" s="446"/>
      <c r="S30" s="170"/>
      <c r="T30" s="170"/>
      <c r="U30" s="556"/>
      <c r="W30" s="405">
        <v>1</v>
      </c>
      <c r="X30" s="557">
        <v>6</v>
      </c>
      <c r="Y30" s="558">
        <v>6</v>
      </c>
      <c r="Z30" s="558">
        <v>6</v>
      </c>
      <c r="AA30" s="558">
        <v>6</v>
      </c>
      <c r="AB30" s="558">
        <v>6</v>
      </c>
      <c r="AC30" s="559">
        <v>6</v>
      </c>
      <c r="AD30" s="557">
        <v>6</v>
      </c>
      <c r="AE30" s="558">
        <v>6</v>
      </c>
      <c r="AF30" s="558">
        <v>6</v>
      </c>
      <c r="AG30" s="558">
        <v>6</v>
      </c>
      <c r="AH30" s="558">
        <v>6</v>
      </c>
      <c r="AI30" s="559">
        <v>6</v>
      </c>
      <c r="AJ30" s="557">
        <v>6</v>
      </c>
      <c r="AK30" s="558">
        <v>6</v>
      </c>
      <c r="AL30" s="558">
        <v>6</v>
      </c>
      <c r="AM30" s="558">
        <v>6</v>
      </c>
      <c r="AN30" s="558">
        <v>6</v>
      </c>
      <c r="AO30" s="559">
        <v>6</v>
      </c>
      <c r="AP30" s="557">
        <v>6</v>
      </c>
      <c r="AQ30" s="558">
        <v>6</v>
      </c>
      <c r="AR30" s="558">
        <v>6</v>
      </c>
      <c r="AS30" s="558">
        <v>6</v>
      </c>
      <c r="AT30" s="558">
        <v>6</v>
      </c>
      <c r="AU30" s="559">
        <v>6</v>
      </c>
      <c r="AV30" s="557">
        <v>6</v>
      </c>
      <c r="AW30" s="558">
        <v>6</v>
      </c>
      <c r="AX30" s="558">
        <v>6</v>
      </c>
      <c r="AY30" s="558">
        <v>6</v>
      </c>
      <c r="AZ30" s="558">
        <v>6</v>
      </c>
      <c r="BA30" s="559">
        <v>6</v>
      </c>
      <c r="BB30" s="557">
        <v>6</v>
      </c>
      <c r="BC30" s="558">
        <v>6</v>
      </c>
      <c r="BD30" s="558">
        <v>6</v>
      </c>
      <c r="BE30" s="558">
        <v>6</v>
      </c>
      <c r="BF30" s="558">
        <v>6</v>
      </c>
      <c r="BG30" s="559">
        <v>6</v>
      </c>
      <c r="BH30" s="466">
        <v>5</v>
      </c>
    </row>
    <row r="31" spans="1:60" ht="15.95" customHeight="1" x14ac:dyDescent="0.25">
      <c r="B31" s="800"/>
      <c r="C31" s="802"/>
      <c r="D31" s="571">
        <v>26</v>
      </c>
      <c r="E31" s="528">
        <f t="array" aca="1" ref="E31" ca="1">IF($D31&gt;Calc1!$B$14,"",ROW(26:26)-SUM((($L$6:$L30="")+($N$6:$N30="")&gt;0)*1))</f>
        <v>26</v>
      </c>
      <c r="F31" s="173">
        <f ca="1">IF(OR($V$15,$D31&gt;Calc1!$B$14),"",$S$5+QUOTIENT(($E31-1),$V$11)*($S$7+$S$9)/1440+SUM($P$6:$P30)/1440)</f>
        <v>0.52083333333333337</v>
      </c>
      <c r="G31" s="175">
        <f ca="1">IF(OR($V$15,$D31&gt;Calc1!$B$14),"",MOD($E31-1,$V$11)+1)</f>
        <v>2</v>
      </c>
      <c r="H31" s="309" t="str">
        <f t="shared" ca="1" si="0"/>
        <v>B</v>
      </c>
      <c r="I31" s="330" t="str">
        <f ca="1"/>
        <v>B2</v>
      </c>
      <c r="J31" s="331" t="s">
        <v>4</v>
      </c>
      <c r="K31" s="332" t="str">
        <f ca="1"/>
        <v>B4</v>
      </c>
      <c r="L31" s="178" t="str">
        <f t="shared" ca="1" si="1"/>
        <v>Inter Mailand</v>
      </c>
      <c r="M31" s="179" t="s">
        <v>4</v>
      </c>
      <c r="N31" s="180" t="str">
        <f t="shared" ca="1" si="2"/>
        <v>Manchester City</v>
      </c>
      <c r="O31" s="349"/>
      <c r="P31" s="749"/>
      <c r="Q31" s="555"/>
      <c r="R31" s="446"/>
      <c r="S31" s="170"/>
      <c r="T31" s="170"/>
      <c r="U31" s="556"/>
      <c r="W31" s="405">
        <v>2</v>
      </c>
      <c r="X31" s="560">
        <v>6</v>
      </c>
      <c r="Y31" s="561">
        <v>6</v>
      </c>
      <c r="Z31" s="561">
        <v>6</v>
      </c>
      <c r="AA31" s="561">
        <v>6</v>
      </c>
      <c r="AB31" s="561">
        <v>6</v>
      </c>
      <c r="AC31" s="562">
        <v>6</v>
      </c>
      <c r="AD31" s="560">
        <v>6</v>
      </c>
      <c r="AE31" s="561">
        <v>6</v>
      </c>
      <c r="AF31" s="561">
        <v>6</v>
      </c>
      <c r="AG31" s="561">
        <v>6</v>
      </c>
      <c r="AH31" s="561">
        <v>6</v>
      </c>
      <c r="AI31" s="562">
        <v>6</v>
      </c>
      <c r="AJ31" s="560">
        <v>6</v>
      </c>
      <c r="AK31" s="561">
        <v>6</v>
      </c>
      <c r="AL31" s="561">
        <v>6</v>
      </c>
      <c r="AM31" s="561">
        <v>6</v>
      </c>
      <c r="AN31" s="561">
        <v>6</v>
      </c>
      <c r="AO31" s="562">
        <v>6</v>
      </c>
      <c r="AP31" s="560">
        <v>6</v>
      </c>
      <c r="AQ31" s="561">
        <v>6</v>
      </c>
      <c r="AR31" s="561">
        <v>6</v>
      </c>
      <c r="AS31" s="561">
        <v>6</v>
      </c>
      <c r="AT31" s="561">
        <v>6</v>
      </c>
      <c r="AU31" s="562">
        <v>6</v>
      </c>
      <c r="AV31" s="560">
        <v>6</v>
      </c>
      <c r="AW31" s="561">
        <v>6</v>
      </c>
      <c r="AX31" s="561">
        <v>6</v>
      </c>
      <c r="AY31" s="561">
        <v>6</v>
      </c>
      <c r="AZ31" s="561">
        <v>6</v>
      </c>
      <c r="BA31" s="562">
        <v>6</v>
      </c>
      <c r="BB31" s="560">
        <v>6</v>
      </c>
      <c r="BC31" s="561">
        <v>6</v>
      </c>
      <c r="BD31" s="561">
        <v>6</v>
      </c>
      <c r="BE31" s="561">
        <v>6</v>
      </c>
      <c r="BF31" s="561">
        <v>6</v>
      </c>
      <c r="BG31" s="562">
        <v>6</v>
      </c>
      <c r="BH31" s="467"/>
    </row>
    <row r="32" spans="1:60" ht="15.95" customHeight="1" x14ac:dyDescent="0.25">
      <c r="B32" s="799" t="s">
        <v>198</v>
      </c>
      <c r="C32" s="801" t="s">
        <v>248</v>
      </c>
      <c r="D32" s="571">
        <v>27</v>
      </c>
      <c r="E32" s="528">
        <f t="array" aca="1" ref="E32" ca="1">IF($D32&gt;Calc1!$B$14,"",ROW(27:27)-SUM((($L$6:$L31="")+($N$6:$N31="")&gt;0)*1))</f>
        <v>27</v>
      </c>
      <c r="F32" s="173">
        <f ca="1">IF(OR($V$15,$D32&gt;Calc1!$B$14),"",$S$5+QUOTIENT(($E32-1),$V$11)*($S$7+$S$9)/1440+SUM($P$6:$P31)/1440)</f>
        <v>0.52083333333333337</v>
      </c>
      <c r="G32" s="175">
        <f ca="1">IF(OR($V$15,$D32&gt;Calc1!$B$14),"",MOD($E32-1,$V$11)+1)</f>
        <v>3</v>
      </c>
      <c r="H32" s="309" t="str">
        <f t="shared" ca="1" si="0"/>
        <v>C</v>
      </c>
      <c r="I32" s="330" t="str">
        <f ca="1"/>
        <v>C2</v>
      </c>
      <c r="J32" s="331" t="s">
        <v>4</v>
      </c>
      <c r="K32" s="332" t="str">
        <f ca="1"/>
        <v>C4</v>
      </c>
      <c r="L32" s="178" t="str">
        <f t="shared" ca="1" si="1"/>
        <v>Real Madrid</v>
      </c>
      <c r="M32" s="179" t="s">
        <v>4</v>
      </c>
      <c r="N32" s="180" t="str">
        <f t="shared" ca="1" si="2"/>
        <v>FSV Rauen</v>
      </c>
      <c r="O32" s="349"/>
      <c r="P32" s="749"/>
      <c r="Q32" s="555"/>
      <c r="R32" s="449"/>
      <c r="S32" s="170"/>
      <c r="T32" s="170"/>
      <c r="U32" s="556"/>
      <c r="W32" s="405">
        <v>3</v>
      </c>
      <c r="X32" s="560">
        <v>6</v>
      </c>
      <c r="Y32" s="561">
        <v>6</v>
      </c>
      <c r="Z32" s="561">
        <v>6</v>
      </c>
      <c r="AA32" s="561">
        <v>6</v>
      </c>
      <c r="AB32" s="561">
        <v>6</v>
      </c>
      <c r="AC32" s="562">
        <v>6</v>
      </c>
      <c r="AD32" s="560">
        <v>6</v>
      </c>
      <c r="AE32" s="561">
        <v>6</v>
      </c>
      <c r="AF32" s="561">
        <v>6</v>
      </c>
      <c r="AG32" s="561">
        <v>6</v>
      </c>
      <c r="AH32" s="561">
        <v>6</v>
      </c>
      <c r="AI32" s="562">
        <v>6</v>
      </c>
      <c r="AJ32" s="560">
        <v>6</v>
      </c>
      <c r="AK32" s="561">
        <v>6</v>
      </c>
      <c r="AL32" s="561">
        <v>6</v>
      </c>
      <c r="AM32" s="561">
        <v>6</v>
      </c>
      <c r="AN32" s="561">
        <v>6</v>
      </c>
      <c r="AO32" s="562">
        <v>6</v>
      </c>
      <c r="AP32" s="560">
        <v>6</v>
      </c>
      <c r="AQ32" s="561">
        <v>6</v>
      </c>
      <c r="AR32" s="561">
        <v>6</v>
      </c>
      <c r="AS32" s="561">
        <v>6</v>
      </c>
      <c r="AT32" s="561">
        <v>6</v>
      </c>
      <c r="AU32" s="562">
        <v>6</v>
      </c>
      <c r="AV32" s="560">
        <v>6</v>
      </c>
      <c r="AW32" s="561">
        <v>6</v>
      </c>
      <c r="AX32" s="561">
        <v>6</v>
      </c>
      <c r="AY32" s="561">
        <v>6</v>
      </c>
      <c r="AZ32" s="561">
        <v>6</v>
      </c>
      <c r="BA32" s="562">
        <v>6</v>
      </c>
      <c r="BB32" s="560">
        <v>6</v>
      </c>
      <c r="BC32" s="561">
        <v>6</v>
      </c>
      <c r="BD32" s="561">
        <v>6</v>
      </c>
      <c r="BE32" s="561">
        <v>6</v>
      </c>
      <c r="BF32" s="561">
        <v>6</v>
      </c>
      <c r="BG32" s="562">
        <v>6</v>
      </c>
      <c r="BH32" s="467"/>
    </row>
    <row r="33" spans="2:60" ht="15.95" customHeight="1" x14ac:dyDescent="0.25">
      <c r="B33" s="800"/>
      <c r="C33" s="802"/>
      <c r="D33" s="571">
        <v>28</v>
      </c>
      <c r="E33" s="528">
        <f t="array" aca="1" ref="E33" ca="1">IF($D33&gt;Calc1!$B$14,"",ROW(28:28)-SUM((($L$6:$L32="")+($N$6:$N32="")&gt;0)*1))</f>
        <v>28</v>
      </c>
      <c r="F33" s="173">
        <f ca="1">IF(OR($V$15,$D33&gt;Calc1!$B$14),"",$S$5+QUOTIENT(($E33-1),$V$11)*($S$7+$S$9)/1440+SUM($P$6:$P32)/1440)</f>
        <v>0.52083333333333337</v>
      </c>
      <c r="G33" s="175">
        <f ca="1">IF(OR($V$15,$D33&gt;Calc1!$B$14),"",MOD($E33-1,$V$11)+1)</f>
        <v>4</v>
      </c>
      <c r="H33" s="309" t="str">
        <f t="shared" ca="1" si="0"/>
        <v>D</v>
      </c>
      <c r="I33" s="330" t="str">
        <f ca="1"/>
        <v>D2</v>
      </c>
      <c r="J33" s="331" t="s">
        <v>4</v>
      </c>
      <c r="K33" s="332" t="str">
        <f ca="1"/>
        <v>D4</v>
      </c>
      <c r="L33" s="178" t="str">
        <f t="shared" ca="1" si="1"/>
        <v>Paris St. Germain</v>
      </c>
      <c r="M33" s="179" t="s">
        <v>4</v>
      </c>
      <c r="N33" s="180" t="str">
        <f t="shared" ca="1" si="2"/>
        <v>RB Leipzig</v>
      </c>
      <c r="O33" s="349"/>
      <c r="P33" s="749"/>
      <c r="Q33" s="555"/>
      <c r="R33" s="446"/>
      <c r="S33" s="170"/>
      <c r="T33" s="170"/>
      <c r="U33" s="556"/>
      <c r="W33" s="405">
        <v>4</v>
      </c>
      <c r="X33" s="560">
        <v>6</v>
      </c>
      <c r="Y33" s="561">
        <v>6</v>
      </c>
      <c r="Z33" s="561">
        <v>6</v>
      </c>
      <c r="AA33" s="561">
        <v>6</v>
      </c>
      <c r="AB33" s="561">
        <v>6</v>
      </c>
      <c r="AC33" s="562">
        <v>6</v>
      </c>
      <c r="AD33" s="560">
        <v>6</v>
      </c>
      <c r="AE33" s="561">
        <v>6</v>
      </c>
      <c r="AF33" s="561">
        <v>6</v>
      </c>
      <c r="AG33" s="561">
        <v>6</v>
      </c>
      <c r="AH33" s="561">
        <v>6</v>
      </c>
      <c r="AI33" s="562">
        <v>6</v>
      </c>
      <c r="AJ33" s="560">
        <v>6</v>
      </c>
      <c r="AK33" s="561">
        <v>6</v>
      </c>
      <c r="AL33" s="561">
        <v>6</v>
      </c>
      <c r="AM33" s="561">
        <v>6</v>
      </c>
      <c r="AN33" s="561">
        <v>6</v>
      </c>
      <c r="AO33" s="562">
        <v>6</v>
      </c>
      <c r="AP33" s="560">
        <v>6</v>
      </c>
      <c r="AQ33" s="561">
        <v>6</v>
      </c>
      <c r="AR33" s="561">
        <v>6</v>
      </c>
      <c r="AS33" s="561">
        <v>6</v>
      </c>
      <c r="AT33" s="561">
        <v>6</v>
      </c>
      <c r="AU33" s="562">
        <v>6</v>
      </c>
      <c r="AV33" s="560">
        <v>6</v>
      </c>
      <c r="AW33" s="561">
        <v>6</v>
      </c>
      <c r="AX33" s="561">
        <v>6</v>
      </c>
      <c r="AY33" s="561">
        <v>6</v>
      </c>
      <c r="AZ33" s="561">
        <v>6</v>
      </c>
      <c r="BA33" s="562">
        <v>6</v>
      </c>
      <c r="BB33" s="560">
        <v>6</v>
      </c>
      <c r="BC33" s="561">
        <v>6</v>
      </c>
      <c r="BD33" s="561">
        <v>6</v>
      </c>
      <c r="BE33" s="561">
        <v>6</v>
      </c>
      <c r="BF33" s="561">
        <v>6</v>
      </c>
      <c r="BG33" s="562">
        <v>6</v>
      </c>
      <c r="BH33" s="467"/>
    </row>
    <row r="34" spans="2:60" ht="15.95" customHeight="1" x14ac:dyDescent="0.25">
      <c r="B34" s="799" t="s">
        <v>200</v>
      </c>
      <c r="C34" s="801"/>
      <c r="D34" s="571">
        <v>29</v>
      </c>
      <c r="E34" s="528">
        <f t="array" aca="1" ref="E34" ca="1">IF($D34&gt;Calc1!$B$14,"",ROW(29:29)-SUM((($L$6:$L33="")+($N$6:$N33="")&gt;0)*1))</f>
        <v>29</v>
      </c>
      <c r="F34" s="173">
        <f ca="1">IF(OR($V$15,$D34&gt;Calc1!$B$14),"",$S$5+QUOTIENT(($E34-1),$V$11)*($S$7+$S$9)/1440+SUM($P$6:$P33)/1440)</f>
        <v>0.54513888888888884</v>
      </c>
      <c r="G34" s="175">
        <f ca="1">IF(OR($V$15,$D34&gt;Calc1!$B$14),"",MOD($E34-1,$V$11)+1)</f>
        <v>1</v>
      </c>
      <c r="H34" s="309" t="str">
        <f t="shared" ca="1" si="0"/>
        <v>A</v>
      </c>
      <c r="I34" s="330" t="str">
        <f ca="1"/>
        <v>A3</v>
      </c>
      <c r="J34" s="331" t="s">
        <v>4</v>
      </c>
      <c r="K34" s="332" t="str">
        <f ca="1"/>
        <v>A1</v>
      </c>
      <c r="L34" s="178" t="str">
        <f t="shared" ca="1" si="1"/>
        <v>Eintracht Frankfurt</v>
      </c>
      <c r="M34" s="179" t="s">
        <v>4</v>
      </c>
      <c r="N34" s="180" t="str">
        <f t="shared" ca="1" si="2"/>
        <v>1. FC Riedwald</v>
      </c>
      <c r="O34" s="349"/>
      <c r="P34" s="750"/>
      <c r="Q34" s="555"/>
      <c r="R34" s="446"/>
      <c r="S34" s="170"/>
      <c r="T34" s="170"/>
      <c r="U34" s="556"/>
      <c r="W34" s="405">
        <v>5</v>
      </c>
      <c r="X34" s="560">
        <v>6</v>
      </c>
      <c r="Y34" s="561">
        <v>6</v>
      </c>
      <c r="Z34" s="561">
        <v>6</v>
      </c>
      <c r="AA34" s="561">
        <v>6</v>
      </c>
      <c r="AB34" s="561">
        <v>6</v>
      </c>
      <c r="AC34" s="562">
        <v>6</v>
      </c>
      <c r="AD34" s="560">
        <v>6</v>
      </c>
      <c r="AE34" s="561">
        <v>6</v>
      </c>
      <c r="AF34" s="561">
        <v>6</v>
      </c>
      <c r="AG34" s="561">
        <v>6</v>
      </c>
      <c r="AH34" s="561">
        <v>6</v>
      </c>
      <c r="AI34" s="562">
        <v>6</v>
      </c>
      <c r="AJ34" s="560">
        <v>6</v>
      </c>
      <c r="AK34" s="561">
        <v>6</v>
      </c>
      <c r="AL34" s="561">
        <v>6</v>
      </c>
      <c r="AM34" s="561">
        <v>6</v>
      </c>
      <c r="AN34" s="561">
        <v>6</v>
      </c>
      <c r="AO34" s="562">
        <v>6</v>
      </c>
      <c r="AP34" s="560">
        <v>6</v>
      </c>
      <c r="AQ34" s="561">
        <v>6</v>
      </c>
      <c r="AR34" s="561">
        <v>6</v>
      </c>
      <c r="AS34" s="561">
        <v>6</v>
      </c>
      <c r="AT34" s="561">
        <v>6</v>
      </c>
      <c r="AU34" s="562">
        <v>6</v>
      </c>
      <c r="AV34" s="560">
        <v>6</v>
      </c>
      <c r="AW34" s="561">
        <v>6</v>
      </c>
      <c r="AX34" s="561">
        <v>6</v>
      </c>
      <c r="AY34" s="561">
        <v>6</v>
      </c>
      <c r="AZ34" s="561">
        <v>6</v>
      </c>
      <c r="BA34" s="562">
        <v>6</v>
      </c>
      <c r="BB34" s="560">
        <v>6</v>
      </c>
      <c r="BC34" s="561">
        <v>6</v>
      </c>
      <c r="BD34" s="561">
        <v>6</v>
      </c>
      <c r="BE34" s="561">
        <v>6</v>
      </c>
      <c r="BF34" s="561">
        <v>6</v>
      </c>
      <c r="BG34" s="562">
        <v>6</v>
      </c>
      <c r="BH34" s="467"/>
    </row>
    <row r="35" spans="2:60" ht="15.95" customHeight="1" thickBot="1" x14ac:dyDescent="0.3">
      <c r="B35" s="803"/>
      <c r="C35" s="804"/>
      <c r="D35" s="571">
        <v>30</v>
      </c>
      <c r="E35" s="528">
        <f t="array" aca="1" ref="E35" ca="1">IF($D35&gt;Calc1!$B$14,"",ROW(30:30)-SUM((($L$6:$L34="")+($N$6:$N34="")&gt;0)*1))</f>
        <v>30</v>
      </c>
      <c r="F35" s="173">
        <f ca="1">IF(OR($V$15,$D35&gt;Calc1!$B$14),"",$S$5+QUOTIENT(($E35-1),$V$11)*($S$7+$S$9)/1440+SUM($P$6:$P34)/1440)</f>
        <v>0.54513888888888884</v>
      </c>
      <c r="G35" s="175">
        <f ca="1">IF(OR($V$15,$D35&gt;Calc1!$B$14),"",MOD($E35-1,$V$11)+1)</f>
        <v>2</v>
      </c>
      <c r="H35" s="309" t="str">
        <f t="shared" ca="1" si="0"/>
        <v>B</v>
      </c>
      <c r="I35" s="330" t="str">
        <f ca="1"/>
        <v>B3</v>
      </c>
      <c r="J35" s="331" t="s">
        <v>4</v>
      </c>
      <c r="K35" s="332" t="str">
        <f ca="1"/>
        <v>B1</v>
      </c>
      <c r="L35" s="178" t="str">
        <f t="shared" ca="1" si="1"/>
        <v>SSV Wildbach</v>
      </c>
      <c r="M35" s="179" t="s">
        <v>4</v>
      </c>
      <c r="N35" s="180" t="str">
        <f t="shared" ca="1" si="2"/>
        <v>Mainz 05</v>
      </c>
      <c r="O35" s="349"/>
      <c r="P35" s="750"/>
      <c r="Q35" s="555"/>
      <c r="R35" s="446"/>
      <c r="S35" s="170"/>
      <c r="T35" s="170"/>
      <c r="U35" s="556"/>
      <c r="W35" s="406">
        <v>6</v>
      </c>
      <c r="X35" s="563">
        <v>6</v>
      </c>
      <c r="Y35" s="564">
        <v>6</v>
      </c>
      <c r="Z35" s="564">
        <v>6</v>
      </c>
      <c r="AA35" s="564">
        <v>6</v>
      </c>
      <c r="AB35" s="564">
        <v>6</v>
      </c>
      <c r="AC35" s="565">
        <v>6</v>
      </c>
      <c r="AD35" s="563">
        <v>6</v>
      </c>
      <c r="AE35" s="564">
        <v>6</v>
      </c>
      <c r="AF35" s="564">
        <v>6</v>
      </c>
      <c r="AG35" s="564">
        <v>6</v>
      </c>
      <c r="AH35" s="564">
        <v>6</v>
      </c>
      <c r="AI35" s="565">
        <v>6</v>
      </c>
      <c r="AJ35" s="563">
        <v>6</v>
      </c>
      <c r="AK35" s="564">
        <v>6</v>
      </c>
      <c r="AL35" s="564">
        <v>6</v>
      </c>
      <c r="AM35" s="564">
        <v>6</v>
      </c>
      <c r="AN35" s="564">
        <v>6</v>
      </c>
      <c r="AO35" s="565">
        <v>6</v>
      </c>
      <c r="AP35" s="563">
        <v>6</v>
      </c>
      <c r="AQ35" s="564">
        <v>6</v>
      </c>
      <c r="AR35" s="564">
        <v>6</v>
      </c>
      <c r="AS35" s="564">
        <v>6</v>
      </c>
      <c r="AT35" s="564">
        <v>6</v>
      </c>
      <c r="AU35" s="565">
        <v>6</v>
      </c>
      <c r="AV35" s="563">
        <v>6</v>
      </c>
      <c r="AW35" s="564">
        <v>6</v>
      </c>
      <c r="AX35" s="564">
        <v>6</v>
      </c>
      <c r="AY35" s="564">
        <v>6</v>
      </c>
      <c r="AZ35" s="564">
        <v>6</v>
      </c>
      <c r="BA35" s="565">
        <v>6</v>
      </c>
      <c r="BB35" s="563">
        <v>6</v>
      </c>
      <c r="BC35" s="564">
        <v>6</v>
      </c>
      <c r="BD35" s="564">
        <v>6</v>
      </c>
      <c r="BE35" s="564">
        <v>6</v>
      </c>
      <c r="BF35" s="564">
        <v>6</v>
      </c>
      <c r="BG35" s="565">
        <v>6</v>
      </c>
      <c r="BH35" s="467"/>
    </row>
    <row r="36" spans="2:60" ht="18" customHeight="1" thickTop="1" x14ac:dyDescent="0.25">
      <c r="C36" s="447"/>
      <c r="D36" s="571">
        <v>31</v>
      </c>
      <c r="E36" s="528">
        <f t="array" aca="1" ref="E36" ca="1">IF($D36&gt;Calc1!$B$14,"",ROW(31:31)-SUM((($L$6:$L35="")+($N$6:$N35="")&gt;0)*1))</f>
        <v>31</v>
      </c>
      <c r="F36" s="173">
        <f ca="1">IF(OR($V$15,$D36&gt;Calc1!$B$14),"",$S$5+QUOTIENT(($E36-1),$V$11)*($S$7+$S$9)/1440+SUM($P$6:$P35)/1440)</f>
        <v>0.54513888888888884</v>
      </c>
      <c r="G36" s="175">
        <f ca="1">IF(OR($V$15,$D36&gt;Calc1!$B$14),"",MOD($E36-1,$V$11)+1)</f>
        <v>3</v>
      </c>
      <c r="H36" s="309" t="str">
        <f t="shared" ca="1" si="0"/>
        <v>C</v>
      </c>
      <c r="I36" s="330" t="str">
        <f ca="1"/>
        <v>C3</v>
      </c>
      <c r="J36" s="331" t="s">
        <v>4</v>
      </c>
      <c r="K36" s="332" t="str">
        <f ca="1"/>
        <v>C1</v>
      </c>
      <c r="L36" s="178" t="str">
        <f t="shared" ca="1" si="1"/>
        <v>Borussia Dortmund</v>
      </c>
      <c r="M36" s="179" t="s">
        <v>4</v>
      </c>
      <c r="N36" s="180" t="str">
        <f t="shared" ca="1" si="2"/>
        <v>Kickers Rodendorf</v>
      </c>
      <c r="O36" s="349"/>
      <c r="P36" s="750"/>
      <c r="Q36" s="169"/>
      <c r="R36" s="446"/>
      <c r="S36" s="170"/>
      <c r="T36" s="170"/>
      <c r="U36" s="326"/>
      <c r="W36" s="405">
        <v>1</v>
      </c>
      <c r="X36" s="557">
        <v>6</v>
      </c>
      <c r="Y36" s="558">
        <v>6</v>
      </c>
      <c r="Z36" s="558">
        <v>6</v>
      </c>
      <c r="AA36" s="558">
        <v>6</v>
      </c>
      <c r="AB36" s="558">
        <v>6</v>
      </c>
      <c r="AC36" s="559">
        <v>6</v>
      </c>
      <c r="AD36" s="557">
        <v>6</v>
      </c>
      <c r="AE36" s="558">
        <v>6</v>
      </c>
      <c r="AF36" s="558">
        <v>6</v>
      </c>
      <c r="AG36" s="558">
        <v>6</v>
      </c>
      <c r="AH36" s="558">
        <v>6</v>
      </c>
      <c r="AI36" s="559">
        <v>6</v>
      </c>
      <c r="AJ36" s="557">
        <v>6</v>
      </c>
      <c r="AK36" s="558">
        <v>6</v>
      </c>
      <c r="AL36" s="558">
        <v>6</v>
      </c>
      <c r="AM36" s="558">
        <v>6</v>
      </c>
      <c r="AN36" s="558">
        <v>6</v>
      </c>
      <c r="AO36" s="559">
        <v>6</v>
      </c>
      <c r="AP36" s="557">
        <v>6</v>
      </c>
      <c r="AQ36" s="558">
        <v>6</v>
      </c>
      <c r="AR36" s="558">
        <v>6</v>
      </c>
      <c r="AS36" s="558">
        <v>6</v>
      </c>
      <c r="AT36" s="558">
        <v>6</v>
      </c>
      <c r="AU36" s="559">
        <v>6</v>
      </c>
      <c r="AV36" s="557">
        <v>6</v>
      </c>
      <c r="AW36" s="558">
        <v>6</v>
      </c>
      <c r="AX36" s="558">
        <v>6</v>
      </c>
      <c r="AY36" s="558">
        <v>6</v>
      </c>
      <c r="AZ36" s="558">
        <v>6</v>
      </c>
      <c r="BA36" s="559">
        <v>6</v>
      </c>
      <c r="BB36" s="557">
        <v>6</v>
      </c>
      <c r="BC36" s="558">
        <v>6</v>
      </c>
      <c r="BD36" s="558">
        <v>6</v>
      </c>
      <c r="BE36" s="558">
        <v>6</v>
      </c>
      <c r="BF36" s="558">
        <v>6</v>
      </c>
      <c r="BG36" s="559">
        <v>6</v>
      </c>
      <c r="BH36" s="466">
        <v>6</v>
      </c>
    </row>
    <row r="37" spans="2:60" ht="17.25" customHeight="1" x14ac:dyDescent="0.25">
      <c r="B37" s="805"/>
      <c r="C37" s="807" t="str">
        <f>Sprache!$E$16&amp;" C"</f>
        <v>Gruppe C</v>
      </c>
      <c r="D37" s="571">
        <v>32</v>
      </c>
      <c r="E37" s="528">
        <f t="array" aca="1" ref="E37" ca="1">IF($D37&gt;Calc1!$B$14,"",ROW(32:32)-SUM((($L$6:$L36="")+($N$6:$N36="")&gt;0)*1))</f>
        <v>32</v>
      </c>
      <c r="F37" s="173">
        <f ca="1">IF(OR($V$15,$D37&gt;Calc1!$B$14),"",$S$5+QUOTIENT(($E37-1),$V$11)*($S$7+$S$9)/1440+SUM($P$6:$P36)/1440)</f>
        <v>0.54513888888888884</v>
      </c>
      <c r="G37" s="175">
        <f ca="1">IF(OR($V$15,$D37&gt;Calc1!$B$14),"",MOD($E37-1,$V$11)+1)</f>
        <v>4</v>
      </c>
      <c r="H37" s="309" t="str">
        <f t="shared" ca="1" si="0"/>
        <v>D</v>
      </c>
      <c r="I37" s="330" t="str">
        <f ca="1"/>
        <v>D3</v>
      </c>
      <c r="J37" s="331" t="s">
        <v>4</v>
      </c>
      <c r="K37" s="332" t="str">
        <f ca="1"/>
        <v>D1</v>
      </c>
      <c r="L37" s="178" t="str">
        <f t="shared" ca="1" si="1"/>
        <v>HSV</v>
      </c>
      <c r="M37" s="179" t="s">
        <v>4</v>
      </c>
      <c r="N37" s="180" t="str">
        <f t="shared" ca="1" si="2"/>
        <v>TSG Saalberg eV</v>
      </c>
      <c r="O37" s="349"/>
      <c r="P37" s="750"/>
      <c r="Q37" s="169"/>
      <c r="R37" s="446"/>
      <c r="S37" s="170"/>
      <c r="T37" s="170"/>
      <c r="U37" s="326"/>
      <c r="W37" s="405">
        <v>2</v>
      </c>
      <c r="X37" s="560">
        <v>6</v>
      </c>
      <c r="Y37" s="561">
        <v>6</v>
      </c>
      <c r="Z37" s="561">
        <v>6</v>
      </c>
      <c r="AA37" s="561">
        <v>6</v>
      </c>
      <c r="AB37" s="561">
        <v>6</v>
      </c>
      <c r="AC37" s="562">
        <v>6</v>
      </c>
      <c r="AD37" s="560">
        <v>6</v>
      </c>
      <c r="AE37" s="561">
        <v>6</v>
      </c>
      <c r="AF37" s="561">
        <v>6</v>
      </c>
      <c r="AG37" s="561">
        <v>6</v>
      </c>
      <c r="AH37" s="561">
        <v>6</v>
      </c>
      <c r="AI37" s="562">
        <v>6</v>
      </c>
      <c r="AJ37" s="560">
        <v>6</v>
      </c>
      <c r="AK37" s="561">
        <v>6</v>
      </c>
      <c r="AL37" s="561">
        <v>6</v>
      </c>
      <c r="AM37" s="561">
        <v>6</v>
      </c>
      <c r="AN37" s="561">
        <v>6</v>
      </c>
      <c r="AO37" s="562">
        <v>6</v>
      </c>
      <c r="AP37" s="560">
        <v>6</v>
      </c>
      <c r="AQ37" s="561">
        <v>6</v>
      </c>
      <c r="AR37" s="561">
        <v>6</v>
      </c>
      <c r="AS37" s="561">
        <v>6</v>
      </c>
      <c r="AT37" s="561">
        <v>6</v>
      </c>
      <c r="AU37" s="562">
        <v>6</v>
      </c>
      <c r="AV37" s="560">
        <v>6</v>
      </c>
      <c r="AW37" s="561">
        <v>6</v>
      </c>
      <c r="AX37" s="561">
        <v>6</v>
      </c>
      <c r="AY37" s="561">
        <v>6</v>
      </c>
      <c r="AZ37" s="561">
        <v>6</v>
      </c>
      <c r="BA37" s="562">
        <v>6</v>
      </c>
      <c r="BB37" s="560">
        <v>6</v>
      </c>
      <c r="BC37" s="561">
        <v>6</v>
      </c>
      <c r="BD37" s="561">
        <v>6</v>
      </c>
      <c r="BE37" s="561">
        <v>6</v>
      </c>
      <c r="BF37" s="561">
        <v>6</v>
      </c>
      <c r="BG37" s="562">
        <v>6</v>
      </c>
    </row>
    <row r="38" spans="2:60" ht="18" customHeight="1" thickBot="1" x14ac:dyDescent="0.3">
      <c r="B38" s="806"/>
      <c r="C38" s="808"/>
      <c r="D38" s="571">
        <v>33</v>
      </c>
      <c r="E38" s="528">
        <f t="array" aca="1" ref="E38" ca="1">IF($D38&gt;Calc1!$B$14,"",ROW(33:33)-SUM((($L$6:$L37="")+($N$6:$N37="")&gt;0)*1))</f>
        <v>33</v>
      </c>
      <c r="F38" s="173">
        <f ca="1">IF(OR($V$15,$D38&gt;Calc1!$B$14),"",$S$5+QUOTIENT(($E38-1),$V$11)*($S$7+$S$9)/1440+SUM($P$6:$P37)/1440)</f>
        <v>0.56944444444444442</v>
      </c>
      <c r="G38" s="175">
        <f ca="1">IF(OR($V$15,$D38&gt;Calc1!$B$14),"",MOD($E38-1,$V$11)+1)</f>
        <v>1</v>
      </c>
      <c r="H38" s="309" t="str">
        <f t="shared" ca="1" si="0"/>
        <v>A</v>
      </c>
      <c r="I38" s="330" t="str">
        <f ca="1"/>
        <v>A4</v>
      </c>
      <c r="J38" s="331" t="s">
        <v>4</v>
      </c>
      <c r="K38" s="332" t="str">
        <f ca="1"/>
        <v>A5</v>
      </c>
      <c r="L38" s="178" t="str">
        <f t="shared" ca="1" si="1"/>
        <v>Maibach 1822 eV</v>
      </c>
      <c r="M38" s="179" t="s">
        <v>4</v>
      </c>
      <c r="N38" s="180" t="str">
        <f t="shared" ca="1" si="2"/>
        <v>VFB Essenheim</v>
      </c>
      <c r="O38" s="349"/>
      <c r="P38" s="750"/>
      <c r="Q38" s="169"/>
      <c r="R38" s="446"/>
      <c r="S38" s="170"/>
      <c r="T38" s="170"/>
      <c r="U38" s="170"/>
      <c r="W38" s="405">
        <v>3</v>
      </c>
      <c r="X38" s="560">
        <v>6</v>
      </c>
      <c r="Y38" s="561">
        <v>6</v>
      </c>
      <c r="Z38" s="561">
        <v>6</v>
      </c>
      <c r="AA38" s="561">
        <v>6</v>
      </c>
      <c r="AB38" s="561">
        <v>6</v>
      </c>
      <c r="AC38" s="562">
        <v>6</v>
      </c>
      <c r="AD38" s="560">
        <v>6</v>
      </c>
      <c r="AE38" s="561">
        <v>6</v>
      </c>
      <c r="AF38" s="561">
        <v>6</v>
      </c>
      <c r="AG38" s="561">
        <v>6</v>
      </c>
      <c r="AH38" s="561">
        <v>6</v>
      </c>
      <c r="AI38" s="562">
        <v>6</v>
      </c>
      <c r="AJ38" s="560">
        <v>6</v>
      </c>
      <c r="AK38" s="561">
        <v>6</v>
      </c>
      <c r="AL38" s="561">
        <v>6</v>
      </c>
      <c r="AM38" s="561">
        <v>6</v>
      </c>
      <c r="AN38" s="561">
        <v>6</v>
      </c>
      <c r="AO38" s="562">
        <v>6</v>
      </c>
      <c r="AP38" s="560">
        <v>6</v>
      </c>
      <c r="AQ38" s="561">
        <v>6</v>
      </c>
      <c r="AR38" s="561">
        <v>6</v>
      </c>
      <c r="AS38" s="561">
        <v>6</v>
      </c>
      <c r="AT38" s="561">
        <v>6</v>
      </c>
      <c r="AU38" s="562">
        <v>6</v>
      </c>
      <c r="AV38" s="560">
        <v>6</v>
      </c>
      <c r="AW38" s="561">
        <v>6</v>
      </c>
      <c r="AX38" s="561">
        <v>6</v>
      </c>
      <c r="AY38" s="561">
        <v>6</v>
      </c>
      <c r="AZ38" s="561">
        <v>6</v>
      </c>
      <c r="BA38" s="562">
        <v>6</v>
      </c>
      <c r="BB38" s="560">
        <v>6</v>
      </c>
      <c r="BC38" s="561">
        <v>6</v>
      </c>
      <c r="BD38" s="561">
        <v>6</v>
      </c>
      <c r="BE38" s="561">
        <v>6</v>
      </c>
      <c r="BF38" s="561">
        <v>6</v>
      </c>
      <c r="BG38" s="562">
        <v>6</v>
      </c>
    </row>
    <row r="39" spans="2:60" ht="18" customHeight="1" thickTop="1" x14ac:dyDescent="0.25">
      <c r="B39" s="809"/>
      <c r="C39" s="811" t="str">
        <f>Sprache!$E$10</f>
        <v>Teilnehmer bzw. Mannschaft</v>
      </c>
      <c r="D39" s="571">
        <v>34</v>
      </c>
      <c r="E39" s="528">
        <f t="array" aca="1" ref="E39" ca="1">IF($D39&gt;Calc1!$B$14,"",ROW(34:34)-SUM((($L$6:$L38="")+($N$6:$N38="")&gt;0)*1))</f>
        <v>34</v>
      </c>
      <c r="F39" s="173">
        <f ca="1">IF(OR($V$15,$D39&gt;Calc1!$B$14),"",$S$5+QUOTIENT(($E39-1),$V$11)*($S$7+$S$9)/1440+SUM($P$6:$P38)/1440)</f>
        <v>0.56944444444444442</v>
      </c>
      <c r="G39" s="175">
        <f ca="1">IF(OR($V$15,$D39&gt;Calc1!$B$14),"",MOD($E39-1,$V$11)+1)</f>
        <v>2</v>
      </c>
      <c r="H39" s="309" t="str">
        <f t="shared" ca="1" si="0"/>
        <v>B</v>
      </c>
      <c r="I39" s="330" t="str">
        <f ca="1"/>
        <v>B4</v>
      </c>
      <c r="J39" s="331" t="s">
        <v>4</v>
      </c>
      <c r="K39" s="332" t="str">
        <f ca="1"/>
        <v>B5</v>
      </c>
      <c r="L39" s="178" t="str">
        <f t="shared" ca="1" si="1"/>
        <v>Manchester City</v>
      </c>
      <c r="M39" s="179" t="s">
        <v>4</v>
      </c>
      <c r="N39" s="180" t="str">
        <f t="shared" ca="1" si="2"/>
        <v>FC Grönlingen</v>
      </c>
      <c r="O39" s="349"/>
      <c r="P39" s="750"/>
      <c r="Q39" s="169"/>
      <c r="R39" s="446"/>
      <c r="S39" s="170"/>
      <c r="T39" s="170"/>
      <c r="U39" s="170"/>
      <c r="W39" s="405">
        <v>4</v>
      </c>
      <c r="X39" s="560">
        <v>6</v>
      </c>
      <c r="Y39" s="561">
        <v>6</v>
      </c>
      <c r="Z39" s="561">
        <v>6</v>
      </c>
      <c r="AA39" s="561">
        <v>6</v>
      </c>
      <c r="AB39" s="561">
        <v>6</v>
      </c>
      <c r="AC39" s="562">
        <v>6</v>
      </c>
      <c r="AD39" s="560">
        <v>6</v>
      </c>
      <c r="AE39" s="561">
        <v>6</v>
      </c>
      <c r="AF39" s="561">
        <v>6</v>
      </c>
      <c r="AG39" s="561">
        <v>6</v>
      </c>
      <c r="AH39" s="561">
        <v>6</v>
      </c>
      <c r="AI39" s="562">
        <v>6</v>
      </c>
      <c r="AJ39" s="560">
        <v>6</v>
      </c>
      <c r="AK39" s="561">
        <v>6</v>
      </c>
      <c r="AL39" s="561">
        <v>6</v>
      </c>
      <c r="AM39" s="561">
        <v>6</v>
      </c>
      <c r="AN39" s="561">
        <v>6</v>
      </c>
      <c r="AO39" s="562">
        <v>6</v>
      </c>
      <c r="AP39" s="560">
        <v>6</v>
      </c>
      <c r="AQ39" s="561">
        <v>6</v>
      </c>
      <c r="AR39" s="561">
        <v>6</v>
      </c>
      <c r="AS39" s="561">
        <v>6</v>
      </c>
      <c r="AT39" s="561">
        <v>6</v>
      </c>
      <c r="AU39" s="562">
        <v>6</v>
      </c>
      <c r="AV39" s="560">
        <v>6</v>
      </c>
      <c r="AW39" s="561">
        <v>6</v>
      </c>
      <c r="AX39" s="561">
        <v>6</v>
      </c>
      <c r="AY39" s="561">
        <v>6</v>
      </c>
      <c r="AZ39" s="561">
        <v>6</v>
      </c>
      <c r="BA39" s="562">
        <v>6</v>
      </c>
      <c r="BB39" s="560">
        <v>6</v>
      </c>
      <c r="BC39" s="561">
        <v>6</v>
      </c>
      <c r="BD39" s="561">
        <v>6</v>
      </c>
      <c r="BE39" s="561">
        <v>6</v>
      </c>
      <c r="BF39" s="561">
        <v>6</v>
      </c>
      <c r="BG39" s="562">
        <v>6</v>
      </c>
    </row>
    <row r="40" spans="2:60" ht="17.25" customHeight="1" x14ac:dyDescent="0.25">
      <c r="B40" s="810"/>
      <c r="C40" s="812"/>
      <c r="D40" s="571">
        <v>35</v>
      </c>
      <c r="E40" s="528">
        <f t="array" aca="1" ref="E40" ca="1">IF($D40&gt;Calc1!$B$14,"",ROW(35:35)-SUM((($L$6:$L39="")+($N$6:$N39="")&gt;0)*1))</f>
        <v>35</v>
      </c>
      <c r="F40" s="173">
        <f ca="1">IF(OR($V$15,$D40&gt;Calc1!$B$14),"",$S$5+QUOTIENT(($E40-1),$V$11)*($S$7+$S$9)/1440+SUM($P$6:$P39)/1440)</f>
        <v>0.56944444444444442</v>
      </c>
      <c r="G40" s="175">
        <f ca="1">IF(OR($V$15,$D40&gt;Calc1!$B$14),"",MOD($E40-1,$V$11)+1)</f>
        <v>3</v>
      </c>
      <c r="H40" s="309" t="str">
        <f t="shared" ca="1" si="0"/>
        <v>C</v>
      </c>
      <c r="I40" s="330" t="str">
        <f ca="1"/>
        <v>C4</v>
      </c>
      <c r="J40" s="331" t="s">
        <v>4</v>
      </c>
      <c r="K40" s="332" t="str">
        <f ca="1"/>
        <v>C5</v>
      </c>
      <c r="L40" s="178" t="str">
        <f t="shared" ca="1" si="1"/>
        <v>FSV Rauen</v>
      </c>
      <c r="M40" s="179" t="s">
        <v>4</v>
      </c>
      <c r="N40" s="180" t="str">
        <f t="shared" ca="1" si="2"/>
        <v>1. FC Nürnberg</v>
      </c>
      <c r="O40" s="349"/>
      <c r="P40" s="750"/>
      <c r="Q40" s="169"/>
      <c r="R40" s="446"/>
      <c r="S40" s="170"/>
      <c r="T40" s="170"/>
      <c r="U40" s="170"/>
      <c r="W40" s="405">
        <v>5</v>
      </c>
      <c r="X40" s="560">
        <v>6</v>
      </c>
      <c r="Y40" s="561">
        <v>6</v>
      </c>
      <c r="Z40" s="561">
        <v>6</v>
      </c>
      <c r="AA40" s="561">
        <v>6</v>
      </c>
      <c r="AB40" s="561">
        <v>6</v>
      </c>
      <c r="AC40" s="562">
        <v>6</v>
      </c>
      <c r="AD40" s="560">
        <v>6</v>
      </c>
      <c r="AE40" s="561">
        <v>6</v>
      </c>
      <c r="AF40" s="561">
        <v>6</v>
      </c>
      <c r="AG40" s="561">
        <v>6</v>
      </c>
      <c r="AH40" s="561">
        <v>6</v>
      </c>
      <c r="AI40" s="562">
        <v>6</v>
      </c>
      <c r="AJ40" s="560">
        <v>6</v>
      </c>
      <c r="AK40" s="561">
        <v>6</v>
      </c>
      <c r="AL40" s="561">
        <v>6</v>
      </c>
      <c r="AM40" s="561">
        <v>6</v>
      </c>
      <c r="AN40" s="561">
        <v>6</v>
      </c>
      <c r="AO40" s="562">
        <v>6</v>
      </c>
      <c r="AP40" s="560">
        <v>6</v>
      </c>
      <c r="AQ40" s="561">
        <v>6</v>
      </c>
      <c r="AR40" s="561">
        <v>6</v>
      </c>
      <c r="AS40" s="561">
        <v>6</v>
      </c>
      <c r="AT40" s="561">
        <v>6</v>
      </c>
      <c r="AU40" s="562">
        <v>6</v>
      </c>
      <c r="AV40" s="560">
        <v>6</v>
      </c>
      <c r="AW40" s="561">
        <v>6</v>
      </c>
      <c r="AX40" s="561">
        <v>6</v>
      </c>
      <c r="AY40" s="561">
        <v>6</v>
      </c>
      <c r="AZ40" s="561">
        <v>6</v>
      </c>
      <c r="BA40" s="562">
        <v>6</v>
      </c>
      <c r="BB40" s="560">
        <v>6</v>
      </c>
      <c r="BC40" s="561">
        <v>6</v>
      </c>
      <c r="BD40" s="561">
        <v>6</v>
      </c>
      <c r="BE40" s="561">
        <v>6</v>
      </c>
      <c r="BF40" s="561">
        <v>6</v>
      </c>
      <c r="BG40" s="562">
        <v>6</v>
      </c>
    </row>
    <row r="41" spans="2:60" ht="17.25" customHeight="1" thickBot="1" x14ac:dyDescent="0.3">
      <c r="B41" s="813" t="s">
        <v>268</v>
      </c>
      <c r="C41" s="814" t="s">
        <v>261</v>
      </c>
      <c r="D41" s="571">
        <v>36</v>
      </c>
      <c r="E41" s="528">
        <f t="array" aca="1" ref="E41" ca="1">IF($D41&gt;Calc1!$B$14,"",ROW(36:36)-SUM((($L$6:$L40="")+($N$6:$N40="")&gt;0)*1))</f>
        <v>36</v>
      </c>
      <c r="F41" s="173">
        <f ca="1">IF(OR($V$15,$D41&gt;Calc1!$B$14),"",$S$5+QUOTIENT(($E41-1),$V$11)*($S$7+$S$9)/1440+SUM($P$6:$P40)/1440)</f>
        <v>0.56944444444444442</v>
      </c>
      <c r="G41" s="175">
        <f ca="1">IF(OR($V$15,$D41&gt;Calc1!$B$14),"",MOD($E41-1,$V$11)+1)</f>
        <v>4</v>
      </c>
      <c r="H41" s="309" t="str">
        <f t="shared" ca="1" si="0"/>
        <v>D</v>
      </c>
      <c r="I41" s="330" t="str">
        <f ca="1"/>
        <v>D4</v>
      </c>
      <c r="J41" s="331" t="s">
        <v>4</v>
      </c>
      <c r="K41" s="332" t="str">
        <f ca="1"/>
        <v>D5</v>
      </c>
      <c r="L41" s="178" t="str">
        <f t="shared" ca="1" si="1"/>
        <v>RB Leipzig</v>
      </c>
      <c r="M41" s="179" t="s">
        <v>4</v>
      </c>
      <c r="N41" s="180" t="str">
        <f t="shared" ca="1" si="2"/>
        <v>SV Oberredenburg</v>
      </c>
      <c r="O41" s="349"/>
      <c r="P41" s="750"/>
      <c r="Q41" s="169"/>
      <c r="R41" s="446"/>
      <c r="S41" s="170"/>
      <c r="T41" s="170"/>
      <c r="U41" s="170"/>
      <c r="W41" s="406">
        <v>6</v>
      </c>
      <c r="X41" s="563">
        <v>6</v>
      </c>
      <c r="Y41" s="564">
        <v>6</v>
      </c>
      <c r="Z41" s="564">
        <v>6</v>
      </c>
      <c r="AA41" s="564">
        <v>6</v>
      </c>
      <c r="AB41" s="564">
        <v>6</v>
      </c>
      <c r="AC41" s="565">
        <v>6</v>
      </c>
      <c r="AD41" s="563">
        <v>6</v>
      </c>
      <c r="AE41" s="564">
        <v>6</v>
      </c>
      <c r="AF41" s="564">
        <v>6</v>
      </c>
      <c r="AG41" s="564">
        <v>6</v>
      </c>
      <c r="AH41" s="564">
        <v>6</v>
      </c>
      <c r="AI41" s="565">
        <v>6</v>
      </c>
      <c r="AJ41" s="563">
        <v>6</v>
      </c>
      <c r="AK41" s="564">
        <v>6</v>
      </c>
      <c r="AL41" s="564">
        <v>6</v>
      </c>
      <c r="AM41" s="564">
        <v>6</v>
      </c>
      <c r="AN41" s="564">
        <v>6</v>
      </c>
      <c r="AO41" s="565">
        <v>6</v>
      </c>
      <c r="AP41" s="563">
        <v>6</v>
      </c>
      <c r="AQ41" s="564">
        <v>6</v>
      </c>
      <c r="AR41" s="564">
        <v>6</v>
      </c>
      <c r="AS41" s="564">
        <v>6</v>
      </c>
      <c r="AT41" s="564">
        <v>6</v>
      </c>
      <c r="AU41" s="565">
        <v>6</v>
      </c>
      <c r="AV41" s="563">
        <v>6</v>
      </c>
      <c r="AW41" s="564">
        <v>6</v>
      </c>
      <c r="AX41" s="564">
        <v>6</v>
      </c>
      <c r="AY41" s="564">
        <v>6</v>
      </c>
      <c r="AZ41" s="564">
        <v>6</v>
      </c>
      <c r="BA41" s="565">
        <v>6</v>
      </c>
      <c r="BB41" s="563">
        <v>6</v>
      </c>
      <c r="BC41" s="564">
        <v>6</v>
      </c>
      <c r="BD41" s="564">
        <v>6</v>
      </c>
      <c r="BE41" s="564">
        <v>6</v>
      </c>
      <c r="BF41" s="564">
        <v>6</v>
      </c>
      <c r="BG41" s="565">
        <v>6</v>
      </c>
    </row>
    <row r="42" spans="2:60" ht="17.25" customHeight="1" thickTop="1" x14ac:dyDescent="0.25">
      <c r="B42" s="800"/>
      <c r="C42" s="802"/>
      <c r="D42" s="571">
        <v>37</v>
      </c>
      <c r="E42" s="528">
        <f t="array" aca="1" ref="E42" ca="1">IF($D42&gt;Calc1!$B$14,"",ROW(37:37)-SUM((($L$6:$L41="")+($N$6:$N41="")&gt;0)*1))</f>
        <v>37</v>
      </c>
      <c r="F42" s="173">
        <f ca="1">IF(OR($V$15,$D42&gt;Calc1!$B$14),"",$S$5+QUOTIENT(($E42-1),$V$11)*($S$7+$S$9)/1440+SUM($P$6:$P41)/1440)</f>
        <v>0.59375</v>
      </c>
      <c r="G42" s="175">
        <f ca="1">IF(OR($V$15,$D42&gt;Calc1!$B$14),"",MOD($E42-1,$V$11)+1)</f>
        <v>1</v>
      </c>
      <c r="H42" s="309" t="str">
        <f t="shared" ca="1" si="0"/>
        <v>A</v>
      </c>
      <c r="I42" s="330" t="str">
        <f ca="1"/>
        <v>A1</v>
      </c>
      <c r="J42" s="331" t="s">
        <v>4</v>
      </c>
      <c r="K42" s="332" t="str">
        <f ca="1"/>
        <v>A2</v>
      </c>
      <c r="L42" s="178" t="str">
        <f t="shared" ca="1" si="1"/>
        <v>1. FC Riedwald</v>
      </c>
      <c r="M42" s="179" t="s">
        <v>4</v>
      </c>
      <c r="N42" s="180" t="str">
        <f t="shared" ca="1" si="2"/>
        <v>FC Barcelona</v>
      </c>
      <c r="O42" s="349"/>
      <c r="P42" s="750"/>
      <c r="Q42" s="169"/>
      <c r="R42" s="446"/>
      <c r="S42" s="170"/>
      <c r="T42" s="170"/>
      <c r="U42" s="170"/>
    </row>
    <row r="43" spans="2:60" ht="17.25" x14ac:dyDescent="0.25">
      <c r="B43" s="799" t="s">
        <v>267</v>
      </c>
      <c r="C43" s="801" t="s">
        <v>262</v>
      </c>
      <c r="D43" s="571">
        <v>38</v>
      </c>
      <c r="E43" s="528">
        <f t="array" aca="1" ref="E43" ca="1">IF($D43&gt;Calc1!$B$14,"",ROW(38:38)-SUM((($L$6:$L42="")+($N$6:$N42="")&gt;0)*1))</f>
        <v>38</v>
      </c>
      <c r="F43" s="173">
        <f ca="1">IF(OR($V$15,$D43&gt;Calc1!$B$14),"",$S$5+QUOTIENT(($E43-1),$V$11)*($S$7+$S$9)/1440+SUM($P$6:$P42)/1440)</f>
        <v>0.59375</v>
      </c>
      <c r="G43" s="175">
        <f ca="1">IF(OR($V$15,$D43&gt;Calc1!$B$14),"",MOD($E43-1,$V$11)+1)</f>
        <v>2</v>
      </c>
      <c r="H43" s="309" t="str">
        <f t="shared" ca="1" si="0"/>
        <v>B</v>
      </c>
      <c r="I43" s="330" t="str">
        <f ca="1"/>
        <v>B1</v>
      </c>
      <c r="J43" s="331" t="s">
        <v>4</v>
      </c>
      <c r="K43" s="332" t="str">
        <f ca="1"/>
        <v>B2</v>
      </c>
      <c r="L43" s="178" t="str">
        <f t="shared" ca="1" si="1"/>
        <v>Mainz 05</v>
      </c>
      <c r="M43" s="179" t="s">
        <v>4</v>
      </c>
      <c r="N43" s="180" t="str">
        <f t="shared" ca="1" si="2"/>
        <v>Inter Mailand</v>
      </c>
      <c r="O43" s="349"/>
      <c r="P43" s="750"/>
      <c r="Q43" s="169"/>
      <c r="R43" s="450"/>
      <c r="S43" s="170"/>
      <c r="T43" s="170"/>
      <c r="U43" s="170"/>
    </row>
    <row r="44" spans="2:60" ht="17.25" customHeight="1" x14ac:dyDescent="0.25">
      <c r="B44" s="800"/>
      <c r="C44" s="802"/>
      <c r="D44" s="571">
        <v>39</v>
      </c>
      <c r="E44" s="528">
        <f t="array" aca="1" ref="E44" ca="1">IF($D44&gt;Calc1!$B$14,"",ROW(39:39)-SUM((($L$6:$L43="")+($N$6:$N43="")&gt;0)*1))</f>
        <v>39</v>
      </c>
      <c r="F44" s="173">
        <f ca="1">IF(OR($V$15,$D44&gt;Calc1!$B$14),"",$S$5+QUOTIENT(($E44-1),$V$11)*($S$7+$S$9)/1440+SUM($P$6:$P43)/1440)</f>
        <v>0.59375</v>
      </c>
      <c r="G44" s="175">
        <f ca="1">IF(OR($V$15,$D44&gt;Calc1!$B$14),"",MOD($E44-1,$V$11)+1)</f>
        <v>3</v>
      </c>
      <c r="H44" s="309" t="str">
        <f t="shared" ca="1" si="0"/>
        <v>C</v>
      </c>
      <c r="I44" s="330" t="str">
        <f ca="1"/>
        <v>C1</v>
      </c>
      <c r="J44" s="331" t="s">
        <v>4</v>
      </c>
      <c r="K44" s="332" t="str">
        <f ca="1"/>
        <v>C2</v>
      </c>
      <c r="L44" s="178" t="str">
        <f t="shared" ca="1" si="1"/>
        <v>Kickers Rodendorf</v>
      </c>
      <c r="M44" s="179" t="s">
        <v>4</v>
      </c>
      <c r="N44" s="180" t="str">
        <f t="shared" ca="1" si="2"/>
        <v>Real Madrid</v>
      </c>
      <c r="O44" s="349"/>
      <c r="P44" s="750"/>
      <c r="Q44" s="169"/>
      <c r="R44" s="446"/>
      <c r="S44" s="170"/>
      <c r="T44" s="170"/>
      <c r="U44" s="170"/>
    </row>
    <row r="45" spans="2:60" ht="17.25" customHeight="1" thickBot="1" x14ac:dyDescent="0.3">
      <c r="B45" s="799" t="s">
        <v>266</v>
      </c>
      <c r="C45" s="801" t="s">
        <v>263</v>
      </c>
      <c r="D45" s="571">
        <v>40</v>
      </c>
      <c r="E45" s="528">
        <f t="array" aca="1" ref="E45" ca="1">IF($D45&gt;Calc1!$B$14,"",ROW(40:40)-SUM((($L$6:$L44="")+($N$6:$N44="")&gt;0)*1))</f>
        <v>40</v>
      </c>
      <c r="F45" s="173">
        <f ca="1">IF(OR($V$15,$D45&gt;Calc1!$B$14),"",$S$5+QUOTIENT(($E45-1),$V$11)*($S$7+$S$9)/1440+SUM($P$6:$P44)/1440)</f>
        <v>0.59375</v>
      </c>
      <c r="G45" s="175">
        <f ca="1">IF(OR($V$15,$D45&gt;Calc1!$B$14),"",MOD($E45-1,$V$11)+1)</f>
        <v>4</v>
      </c>
      <c r="H45" s="309" t="str">
        <f t="shared" ca="1" si="0"/>
        <v>D</v>
      </c>
      <c r="I45" s="330" t="str">
        <f ca="1"/>
        <v>D1</v>
      </c>
      <c r="J45" s="331" t="s">
        <v>4</v>
      </c>
      <c r="K45" s="332" t="str">
        <f ca="1"/>
        <v>D2</v>
      </c>
      <c r="L45" s="178" t="str">
        <f t="shared" ca="1" si="1"/>
        <v>TSG Saalberg eV</v>
      </c>
      <c r="M45" s="179" t="s">
        <v>4</v>
      </c>
      <c r="N45" s="180" t="str">
        <f t="shared" ca="1" si="2"/>
        <v>Paris St. Germain</v>
      </c>
      <c r="O45" s="349"/>
      <c r="P45" s="750"/>
      <c r="Q45" s="169"/>
      <c r="R45" s="446"/>
      <c r="S45" s="170"/>
      <c r="T45" s="170"/>
      <c r="U45" s="170"/>
      <c r="X45" s="165">
        <v>1</v>
      </c>
      <c r="Y45" s="165"/>
      <c r="Z45" s="165"/>
      <c r="AA45" s="165"/>
      <c r="AB45" s="165"/>
      <c r="AC45" s="165"/>
      <c r="AD45" s="165">
        <v>2</v>
      </c>
      <c r="AE45" s="165"/>
      <c r="AF45" s="165"/>
      <c r="AG45" s="165"/>
      <c r="AH45" s="165"/>
      <c r="AI45" s="165"/>
      <c r="AJ45" s="165">
        <v>3</v>
      </c>
      <c r="AK45" s="165"/>
      <c r="AL45" s="165"/>
      <c r="AM45" s="165"/>
      <c r="AN45" s="165"/>
      <c r="AO45" s="165"/>
      <c r="AP45" s="165">
        <v>4</v>
      </c>
      <c r="AQ45" s="165"/>
      <c r="AR45" s="165"/>
      <c r="AS45" s="165"/>
      <c r="AT45" s="165"/>
      <c r="AU45" s="165"/>
      <c r="AV45" s="165">
        <v>5</v>
      </c>
      <c r="AW45" s="165"/>
      <c r="AX45" s="165"/>
      <c r="AY45" s="165"/>
      <c r="AZ45" s="165"/>
      <c r="BA45" s="165"/>
      <c r="BB45" s="165">
        <v>6</v>
      </c>
    </row>
    <row r="46" spans="2:60" ht="17.25" customHeight="1" thickTop="1" thickBot="1" x14ac:dyDescent="0.3">
      <c r="B46" s="800"/>
      <c r="C46" s="802"/>
      <c r="D46" s="571">
        <v>41</v>
      </c>
      <c r="E46" s="528" t="str">
        <f t="array" ref="E46">IF($D46&gt;Calc1!$B$14,"",ROW(41:41)-SUM((($L$6:$L45="")+($N$6:$N45="")&gt;0)*1))</f>
        <v/>
      </c>
      <c r="F46" s="173" t="str">
        <f>IF(OR($V$15,$D46&gt;Calc1!$B$14),"",$S$5+QUOTIENT(($E46-1),$V$11)*($S$7+$S$9)/1440+SUM($P$6:$P45)/1440)</f>
        <v/>
      </c>
      <c r="G46" s="175" t="str">
        <f>IF(OR($V$15,$D46&gt;Calc1!$B$14),"",MOD($E46-1,$V$11)+1)</f>
        <v/>
      </c>
      <c r="H46" s="309" t="str">
        <f t="shared" ca="1" si="0"/>
        <v/>
      </c>
      <c r="I46" s="330" t="str">
        <f ca="1"/>
        <v/>
      </c>
      <c r="J46" s="331" t="s">
        <v>4</v>
      </c>
      <c r="K46" s="332" t="str">
        <f ca="1"/>
        <v/>
      </c>
      <c r="L46" s="178" t="str">
        <f t="shared" ca="1" si="1"/>
        <v/>
      </c>
      <c r="M46" s="179" t="s">
        <v>4</v>
      </c>
      <c r="N46" s="180" t="str">
        <f t="shared" ca="1" si="2"/>
        <v/>
      </c>
      <c r="O46" s="349"/>
      <c r="P46" s="750"/>
      <c r="Q46" s="169"/>
      <c r="R46" s="446"/>
      <c r="S46" s="170"/>
      <c r="T46" s="170"/>
      <c r="U46" s="170"/>
      <c r="W46" s="402"/>
      <c r="X46" s="403">
        <v>1</v>
      </c>
      <c r="Y46" s="403">
        <v>2</v>
      </c>
      <c r="Z46" s="403">
        <v>3</v>
      </c>
      <c r="AA46" s="403">
        <v>4</v>
      </c>
      <c r="AB46" s="403">
        <v>5</v>
      </c>
      <c r="AC46" s="404">
        <v>6</v>
      </c>
      <c r="AD46" s="403">
        <v>1</v>
      </c>
      <c r="AE46" s="403">
        <v>2</v>
      </c>
      <c r="AF46" s="403">
        <v>3</v>
      </c>
      <c r="AG46" s="403">
        <v>4</v>
      </c>
      <c r="AH46" s="403">
        <v>5</v>
      </c>
      <c r="AI46" s="404">
        <v>6</v>
      </c>
      <c r="AJ46" s="403">
        <v>1</v>
      </c>
      <c r="AK46" s="403">
        <v>2</v>
      </c>
      <c r="AL46" s="403">
        <v>3</v>
      </c>
      <c r="AM46" s="403">
        <v>4</v>
      </c>
      <c r="AN46" s="403">
        <v>5</v>
      </c>
      <c r="AO46" s="404">
        <v>6</v>
      </c>
      <c r="AP46" s="403">
        <v>1</v>
      </c>
      <c r="AQ46" s="403">
        <v>2</v>
      </c>
      <c r="AR46" s="403">
        <v>3</v>
      </c>
      <c r="AS46" s="403">
        <v>4</v>
      </c>
      <c r="AT46" s="403">
        <v>5</v>
      </c>
      <c r="AU46" s="404">
        <v>6</v>
      </c>
      <c r="AV46" s="403">
        <v>1</v>
      </c>
      <c r="AW46" s="403">
        <v>2</v>
      </c>
      <c r="AX46" s="403">
        <v>3</v>
      </c>
      <c r="AY46" s="403">
        <v>4</v>
      </c>
      <c r="AZ46" s="403">
        <v>5</v>
      </c>
      <c r="BA46" s="404">
        <v>6</v>
      </c>
      <c r="BB46" s="403">
        <v>1</v>
      </c>
      <c r="BC46" s="403">
        <v>2</v>
      </c>
      <c r="BD46" s="403">
        <v>3</v>
      </c>
      <c r="BE46" s="403">
        <v>4</v>
      </c>
      <c r="BF46" s="403">
        <v>5</v>
      </c>
      <c r="BG46" s="404">
        <v>6</v>
      </c>
    </row>
    <row r="47" spans="2:60" ht="17.25" customHeight="1" x14ac:dyDescent="0.25">
      <c r="B47" s="799" t="s">
        <v>269</v>
      </c>
      <c r="C47" s="801" t="s">
        <v>264</v>
      </c>
      <c r="D47" s="571">
        <v>42</v>
      </c>
      <c r="E47" s="528" t="str">
        <f t="array" ref="E47">IF($D47&gt;Calc1!$B$14,"",ROW(42:42)-SUM((($L$6:$L46="")+($N$6:$N46="")&gt;0)*1))</f>
        <v/>
      </c>
      <c r="F47" s="173" t="str">
        <f>IF(OR($V$15,$D47&gt;Calc1!$B$14),"",$S$5+QUOTIENT(($E47-1),$V$11)*($S$7+$S$9)/1440+SUM($P$6:$P46)/1440)</f>
        <v/>
      </c>
      <c r="G47" s="175" t="str">
        <f>IF(OR($V$15,$D47&gt;Calc1!$B$14),"",MOD($E47-1,$V$11)+1)</f>
        <v/>
      </c>
      <c r="H47" s="309" t="str">
        <f t="shared" ca="1" si="0"/>
        <v/>
      </c>
      <c r="I47" s="330" t="str">
        <f ca="1"/>
        <v/>
      </c>
      <c r="J47" s="331" t="s">
        <v>4</v>
      </c>
      <c r="K47" s="332" t="str">
        <f ca="1"/>
        <v/>
      </c>
      <c r="L47" s="178" t="str">
        <f t="shared" ca="1" si="1"/>
        <v/>
      </c>
      <c r="M47" s="179" t="s">
        <v>4</v>
      </c>
      <c r="N47" s="180" t="str">
        <f t="shared" ca="1" si="2"/>
        <v/>
      </c>
      <c r="O47" s="349"/>
      <c r="P47" s="750"/>
      <c r="Q47" s="169"/>
      <c r="R47" s="446"/>
      <c r="S47" s="170"/>
      <c r="T47" s="170"/>
      <c r="U47" s="170"/>
      <c r="W47" s="405">
        <v>1</v>
      </c>
      <c r="X47" s="557">
        <v>8</v>
      </c>
      <c r="Y47" s="558">
        <v>8</v>
      </c>
      <c r="Z47" s="558">
        <v>8</v>
      </c>
      <c r="AA47" s="558">
        <v>8</v>
      </c>
      <c r="AB47" s="558">
        <v>8</v>
      </c>
      <c r="AC47" s="559">
        <v>8</v>
      </c>
      <c r="AD47" s="557">
        <v>8</v>
      </c>
      <c r="AE47" s="558">
        <v>8</v>
      </c>
      <c r="AF47" s="558">
        <v>8</v>
      </c>
      <c r="AG47" s="558">
        <v>8</v>
      </c>
      <c r="AH47" s="558">
        <v>8</v>
      </c>
      <c r="AI47" s="559">
        <v>8</v>
      </c>
      <c r="AJ47" s="557">
        <v>8</v>
      </c>
      <c r="AK47" s="558">
        <v>8</v>
      </c>
      <c r="AL47" s="558">
        <v>8</v>
      </c>
      <c r="AM47" s="558">
        <v>8</v>
      </c>
      <c r="AN47" s="558">
        <v>8</v>
      </c>
      <c r="AO47" s="559">
        <v>8</v>
      </c>
      <c r="AP47" s="557">
        <v>8</v>
      </c>
      <c r="AQ47" s="558">
        <v>8</v>
      </c>
      <c r="AR47" s="558">
        <v>8</v>
      </c>
      <c r="AS47" s="558">
        <v>8</v>
      </c>
      <c r="AT47" s="558">
        <v>8</v>
      </c>
      <c r="AU47" s="559">
        <v>8</v>
      </c>
      <c r="AV47" s="557">
        <v>8</v>
      </c>
      <c r="AW47" s="558">
        <v>8</v>
      </c>
      <c r="AX47" s="558">
        <v>8</v>
      </c>
      <c r="AY47" s="558">
        <v>8</v>
      </c>
      <c r="AZ47" s="558">
        <v>8</v>
      </c>
      <c r="BA47" s="559">
        <v>8</v>
      </c>
      <c r="BB47" s="557">
        <v>8</v>
      </c>
      <c r="BC47" s="558">
        <v>8</v>
      </c>
      <c r="BD47" s="558">
        <v>8</v>
      </c>
      <c r="BE47" s="558">
        <v>8</v>
      </c>
      <c r="BF47" s="558">
        <v>8</v>
      </c>
      <c r="BG47" s="559">
        <v>8</v>
      </c>
      <c r="BH47" s="466">
        <v>1</v>
      </c>
    </row>
    <row r="48" spans="2:60" ht="17.25" customHeight="1" x14ac:dyDescent="0.25">
      <c r="B48" s="800"/>
      <c r="C48" s="802"/>
      <c r="D48" s="571">
        <v>43</v>
      </c>
      <c r="E48" s="528" t="str">
        <f t="array" ref="E48">IF($D48&gt;Calc1!$B$14,"",ROW(43:43)-SUM((($L$6:$L47="")+($N$6:$N47="")&gt;0)*1))</f>
        <v/>
      </c>
      <c r="F48" s="173" t="str">
        <f>IF(OR($V$15,$D48&gt;Calc1!$B$14),"",$S$5+QUOTIENT(($E48-1),$V$11)*($S$7+$S$9)/1440+SUM($P$6:$P47)/1440)</f>
        <v/>
      </c>
      <c r="G48" s="175" t="str">
        <f>IF(OR($V$15,$D48&gt;Calc1!$B$14),"",MOD($E48-1,$V$11)+1)</f>
        <v/>
      </c>
      <c r="H48" s="309" t="str">
        <f t="shared" ca="1" si="0"/>
        <v/>
      </c>
      <c r="I48" s="330" t="str">
        <f ca="1"/>
        <v/>
      </c>
      <c r="J48" s="331" t="s">
        <v>4</v>
      </c>
      <c r="K48" s="332" t="str">
        <f ca="1"/>
        <v/>
      </c>
      <c r="L48" s="178" t="str">
        <f t="shared" ca="1" si="1"/>
        <v/>
      </c>
      <c r="M48" s="179" t="s">
        <v>4</v>
      </c>
      <c r="N48" s="180" t="str">
        <f t="shared" ca="1" si="2"/>
        <v/>
      </c>
      <c r="O48" s="349"/>
      <c r="P48" s="750"/>
      <c r="Q48" s="169"/>
      <c r="R48" s="446"/>
      <c r="S48" s="170"/>
      <c r="T48" s="170"/>
      <c r="U48" s="170"/>
      <c r="W48" s="405">
        <v>2</v>
      </c>
      <c r="X48" s="560">
        <v>8</v>
      </c>
      <c r="Y48" s="561">
        <v>8</v>
      </c>
      <c r="Z48" s="561">
        <v>8</v>
      </c>
      <c r="AA48" s="561">
        <v>8</v>
      </c>
      <c r="AB48" s="561">
        <v>8</v>
      </c>
      <c r="AC48" s="562">
        <v>8</v>
      </c>
      <c r="AD48" s="560">
        <v>8</v>
      </c>
      <c r="AE48" s="561">
        <v>8</v>
      </c>
      <c r="AF48" s="561">
        <v>8</v>
      </c>
      <c r="AG48" s="561">
        <v>8</v>
      </c>
      <c r="AH48" s="561">
        <v>8</v>
      </c>
      <c r="AI48" s="562">
        <v>8</v>
      </c>
      <c r="AJ48" s="560">
        <v>8</v>
      </c>
      <c r="AK48" s="561">
        <v>8</v>
      </c>
      <c r="AL48" s="561">
        <v>8</v>
      </c>
      <c r="AM48" s="561">
        <v>8</v>
      </c>
      <c r="AN48" s="561">
        <v>8</v>
      </c>
      <c r="AO48" s="562">
        <v>8</v>
      </c>
      <c r="AP48" s="560">
        <v>8</v>
      </c>
      <c r="AQ48" s="561">
        <v>8</v>
      </c>
      <c r="AR48" s="561">
        <v>8</v>
      </c>
      <c r="AS48" s="561">
        <v>8</v>
      </c>
      <c r="AT48" s="561">
        <v>8</v>
      </c>
      <c r="AU48" s="562">
        <v>8</v>
      </c>
      <c r="AV48" s="560">
        <v>8</v>
      </c>
      <c r="AW48" s="561">
        <v>8</v>
      </c>
      <c r="AX48" s="561">
        <v>8</v>
      </c>
      <c r="AY48" s="561">
        <v>8</v>
      </c>
      <c r="AZ48" s="561">
        <v>8</v>
      </c>
      <c r="BA48" s="562">
        <v>8</v>
      </c>
      <c r="BB48" s="560">
        <v>8</v>
      </c>
      <c r="BC48" s="561">
        <v>8</v>
      </c>
      <c r="BD48" s="561">
        <v>8</v>
      </c>
      <c r="BE48" s="561">
        <v>8</v>
      </c>
      <c r="BF48" s="561">
        <v>8</v>
      </c>
      <c r="BG48" s="562">
        <v>8</v>
      </c>
      <c r="BH48" s="467"/>
    </row>
    <row r="49" spans="2:60" ht="17.25" customHeight="1" x14ac:dyDescent="0.25">
      <c r="B49" s="799" t="s">
        <v>270</v>
      </c>
      <c r="C49" s="801" t="s">
        <v>265</v>
      </c>
      <c r="D49" s="571">
        <v>44</v>
      </c>
      <c r="E49" s="528" t="str">
        <f t="array" ref="E49">IF($D49&gt;Calc1!$B$14,"",ROW(44:44)-SUM((($L$6:$L48="")+($N$6:$N48="")&gt;0)*1))</f>
        <v/>
      </c>
      <c r="F49" s="173" t="str">
        <f>IF(OR($V$15,$D49&gt;Calc1!$B$14),"",$S$5+QUOTIENT(($E49-1),$V$11)*($S$7+$S$9)/1440+SUM($P$6:$P48)/1440)</f>
        <v/>
      </c>
      <c r="G49" s="175" t="str">
        <f>IF(OR($V$15,$D49&gt;Calc1!$B$14),"",MOD($E49-1,$V$11)+1)</f>
        <v/>
      </c>
      <c r="H49" s="309" t="str">
        <f t="shared" ca="1" si="0"/>
        <v/>
      </c>
      <c r="I49" s="330" t="str">
        <f ca="1"/>
        <v/>
      </c>
      <c r="J49" s="331" t="s">
        <v>4</v>
      </c>
      <c r="K49" s="332" t="str">
        <f ca="1"/>
        <v/>
      </c>
      <c r="L49" s="178" t="str">
        <f t="shared" ca="1" si="1"/>
        <v/>
      </c>
      <c r="M49" s="179" t="s">
        <v>4</v>
      </c>
      <c r="N49" s="180" t="str">
        <f t="shared" ca="1" si="2"/>
        <v/>
      </c>
      <c r="O49" s="349"/>
      <c r="P49" s="750"/>
      <c r="Q49" s="169"/>
      <c r="R49" s="446"/>
      <c r="S49" s="170"/>
      <c r="T49" s="170"/>
      <c r="U49" s="170"/>
      <c r="W49" s="405">
        <v>3</v>
      </c>
      <c r="X49" s="560">
        <v>8</v>
      </c>
      <c r="Y49" s="561">
        <v>8</v>
      </c>
      <c r="Z49" s="561">
        <v>8</v>
      </c>
      <c r="AA49" s="561">
        <v>8</v>
      </c>
      <c r="AB49" s="561">
        <v>8</v>
      </c>
      <c r="AC49" s="562">
        <v>8</v>
      </c>
      <c r="AD49" s="560">
        <v>8</v>
      </c>
      <c r="AE49" s="561">
        <v>8</v>
      </c>
      <c r="AF49" s="561">
        <v>8</v>
      </c>
      <c r="AG49" s="561">
        <v>8</v>
      </c>
      <c r="AH49" s="561">
        <v>8</v>
      </c>
      <c r="AI49" s="562">
        <v>8</v>
      </c>
      <c r="AJ49" s="560">
        <v>8</v>
      </c>
      <c r="AK49" s="561">
        <v>8</v>
      </c>
      <c r="AL49" s="561">
        <v>8</v>
      </c>
      <c r="AM49" s="561">
        <v>8</v>
      </c>
      <c r="AN49" s="561">
        <v>8</v>
      </c>
      <c r="AO49" s="562">
        <v>8</v>
      </c>
      <c r="AP49" s="560">
        <v>8</v>
      </c>
      <c r="AQ49" s="561">
        <v>8</v>
      </c>
      <c r="AR49" s="561">
        <v>8</v>
      </c>
      <c r="AS49" s="561">
        <v>8</v>
      </c>
      <c r="AT49" s="561">
        <v>8</v>
      </c>
      <c r="AU49" s="562">
        <v>8</v>
      </c>
      <c r="AV49" s="560">
        <v>8</v>
      </c>
      <c r="AW49" s="561">
        <v>8</v>
      </c>
      <c r="AX49" s="561">
        <v>8</v>
      </c>
      <c r="AY49" s="561">
        <v>8</v>
      </c>
      <c r="AZ49" s="561">
        <v>8</v>
      </c>
      <c r="BA49" s="562">
        <v>8</v>
      </c>
      <c r="BB49" s="560">
        <v>8</v>
      </c>
      <c r="BC49" s="561">
        <v>8</v>
      </c>
      <c r="BD49" s="561">
        <v>8</v>
      </c>
      <c r="BE49" s="561">
        <v>8</v>
      </c>
      <c r="BF49" s="561">
        <v>8</v>
      </c>
      <c r="BG49" s="562">
        <v>8</v>
      </c>
      <c r="BH49" s="467"/>
    </row>
    <row r="50" spans="2:60" ht="18" customHeight="1" x14ac:dyDescent="0.25">
      <c r="B50" s="800"/>
      <c r="C50" s="802"/>
      <c r="D50" s="571">
        <v>45</v>
      </c>
      <c r="E50" s="528" t="str">
        <f t="array" ref="E50">IF($D50&gt;Calc1!$B$14,"",ROW(45:45)-SUM((($L$6:$L49="")+($N$6:$N49="")&gt;0)*1))</f>
        <v/>
      </c>
      <c r="F50" s="173" t="str">
        <f>IF(OR($V$15,$D50&gt;Calc1!$B$14),"",$S$5+QUOTIENT(($E50-1),$V$11)*($S$7+$S$9)/1440+SUM($P$6:$P49)/1440)</f>
        <v/>
      </c>
      <c r="G50" s="175" t="str">
        <f>IF(OR($V$15,$D50&gt;Calc1!$B$14),"",MOD($E50-1,$V$11)+1)</f>
        <v/>
      </c>
      <c r="H50" s="309" t="str">
        <f t="shared" ca="1" si="0"/>
        <v/>
      </c>
      <c r="I50" s="330" t="str">
        <f ca="1"/>
        <v/>
      </c>
      <c r="J50" s="331" t="s">
        <v>4</v>
      </c>
      <c r="K50" s="332" t="str">
        <f ca="1"/>
        <v/>
      </c>
      <c r="L50" s="178" t="str">
        <f t="shared" ca="1" si="1"/>
        <v/>
      </c>
      <c r="M50" s="179" t="s">
        <v>4</v>
      </c>
      <c r="N50" s="180" t="str">
        <f t="shared" ca="1" si="2"/>
        <v/>
      </c>
      <c r="O50" s="349"/>
      <c r="P50" s="750"/>
      <c r="Q50" s="169"/>
      <c r="R50" s="446"/>
      <c r="S50" s="170"/>
      <c r="T50" s="170"/>
      <c r="U50" s="170"/>
      <c r="W50" s="405">
        <v>4</v>
      </c>
      <c r="X50" s="560">
        <v>8</v>
      </c>
      <c r="Y50" s="561">
        <v>8</v>
      </c>
      <c r="Z50" s="561">
        <v>8</v>
      </c>
      <c r="AA50" s="561">
        <v>8</v>
      </c>
      <c r="AB50" s="561">
        <v>8</v>
      </c>
      <c r="AC50" s="562">
        <v>8</v>
      </c>
      <c r="AD50" s="560">
        <v>8</v>
      </c>
      <c r="AE50" s="561">
        <v>8</v>
      </c>
      <c r="AF50" s="561">
        <v>8</v>
      </c>
      <c r="AG50" s="561">
        <v>8</v>
      </c>
      <c r="AH50" s="561">
        <v>8</v>
      </c>
      <c r="AI50" s="562">
        <v>8</v>
      </c>
      <c r="AJ50" s="560">
        <v>8</v>
      </c>
      <c r="AK50" s="561">
        <v>8</v>
      </c>
      <c r="AL50" s="561">
        <v>8</v>
      </c>
      <c r="AM50" s="561">
        <v>8</v>
      </c>
      <c r="AN50" s="561">
        <v>8</v>
      </c>
      <c r="AO50" s="562">
        <v>8</v>
      </c>
      <c r="AP50" s="560">
        <v>8</v>
      </c>
      <c r="AQ50" s="561">
        <v>8</v>
      </c>
      <c r="AR50" s="561">
        <v>8</v>
      </c>
      <c r="AS50" s="561">
        <v>8</v>
      </c>
      <c r="AT50" s="561">
        <v>8</v>
      </c>
      <c r="AU50" s="562">
        <v>8</v>
      </c>
      <c r="AV50" s="560">
        <v>8</v>
      </c>
      <c r="AW50" s="561">
        <v>8</v>
      </c>
      <c r="AX50" s="561">
        <v>8</v>
      </c>
      <c r="AY50" s="561">
        <v>8</v>
      </c>
      <c r="AZ50" s="561">
        <v>8</v>
      </c>
      <c r="BA50" s="562">
        <v>8</v>
      </c>
      <c r="BB50" s="560">
        <v>8</v>
      </c>
      <c r="BC50" s="561">
        <v>8</v>
      </c>
      <c r="BD50" s="561">
        <v>8</v>
      </c>
      <c r="BE50" s="561">
        <v>8</v>
      </c>
      <c r="BF50" s="561">
        <v>8</v>
      </c>
      <c r="BG50" s="562">
        <v>8</v>
      </c>
      <c r="BH50" s="467"/>
    </row>
    <row r="51" spans="2:60" ht="16.5" customHeight="1" x14ac:dyDescent="0.25">
      <c r="B51" s="799" t="s">
        <v>271</v>
      </c>
      <c r="C51" s="801"/>
      <c r="D51" s="571">
        <v>46</v>
      </c>
      <c r="E51" s="528" t="str">
        <f t="array" ref="E51">IF($D51&gt;Calc1!$B$14,"",ROW(46:46)-SUM((($L$6:$L50="")+($N$6:$N50="")&gt;0)*1))</f>
        <v/>
      </c>
      <c r="F51" s="173" t="str">
        <f>IF(OR($V$15,$D51&gt;Calc1!$B$14),"",$S$5+QUOTIENT(($E51-1),$V$11)*($S$7+$S$9)/1440+SUM($P$6:$P50)/1440)</f>
        <v/>
      </c>
      <c r="G51" s="175" t="str">
        <f>IF(OR($V$15,$D51&gt;Calc1!$B$14),"",MOD($E51-1,$V$11)+1)</f>
        <v/>
      </c>
      <c r="H51" s="309" t="str">
        <f t="shared" ca="1" si="0"/>
        <v/>
      </c>
      <c r="I51" s="330" t="str">
        <f ca="1"/>
        <v/>
      </c>
      <c r="J51" s="331" t="s">
        <v>4</v>
      </c>
      <c r="K51" s="332" t="str">
        <f ca="1"/>
        <v/>
      </c>
      <c r="L51" s="178" t="str">
        <f t="shared" ca="1" si="1"/>
        <v/>
      </c>
      <c r="M51" s="179" t="s">
        <v>4</v>
      </c>
      <c r="N51" s="180" t="str">
        <f t="shared" ca="1" si="2"/>
        <v/>
      </c>
      <c r="O51" s="349"/>
      <c r="P51" s="750"/>
      <c r="Q51" s="169"/>
      <c r="R51" s="446"/>
      <c r="S51" s="170"/>
      <c r="T51" s="170"/>
      <c r="U51" s="170"/>
      <c r="W51" s="405">
        <v>5</v>
      </c>
      <c r="X51" s="560">
        <v>8</v>
      </c>
      <c r="Y51" s="561">
        <v>8</v>
      </c>
      <c r="Z51" s="561">
        <v>8</v>
      </c>
      <c r="AA51" s="561">
        <v>8</v>
      </c>
      <c r="AB51" s="561">
        <v>8</v>
      </c>
      <c r="AC51" s="562">
        <v>8</v>
      </c>
      <c r="AD51" s="560">
        <v>8</v>
      </c>
      <c r="AE51" s="561">
        <v>8</v>
      </c>
      <c r="AF51" s="561">
        <v>8</v>
      </c>
      <c r="AG51" s="561">
        <v>8</v>
      </c>
      <c r="AH51" s="561">
        <v>8</v>
      </c>
      <c r="AI51" s="562">
        <v>8</v>
      </c>
      <c r="AJ51" s="560">
        <v>8</v>
      </c>
      <c r="AK51" s="561">
        <v>8</v>
      </c>
      <c r="AL51" s="561">
        <v>8</v>
      </c>
      <c r="AM51" s="561">
        <v>8</v>
      </c>
      <c r="AN51" s="561">
        <v>8</v>
      </c>
      <c r="AO51" s="562">
        <v>8</v>
      </c>
      <c r="AP51" s="560">
        <v>8</v>
      </c>
      <c r="AQ51" s="561">
        <v>8</v>
      </c>
      <c r="AR51" s="561">
        <v>8</v>
      </c>
      <c r="AS51" s="561">
        <v>8</v>
      </c>
      <c r="AT51" s="561">
        <v>8</v>
      </c>
      <c r="AU51" s="562">
        <v>8</v>
      </c>
      <c r="AV51" s="560">
        <v>8</v>
      </c>
      <c r="AW51" s="561">
        <v>8</v>
      </c>
      <c r="AX51" s="561">
        <v>8</v>
      </c>
      <c r="AY51" s="561">
        <v>8</v>
      </c>
      <c r="AZ51" s="561">
        <v>8</v>
      </c>
      <c r="BA51" s="562">
        <v>8</v>
      </c>
      <c r="BB51" s="560">
        <v>8</v>
      </c>
      <c r="BC51" s="561">
        <v>8</v>
      </c>
      <c r="BD51" s="561">
        <v>8</v>
      </c>
      <c r="BE51" s="561">
        <v>8</v>
      </c>
      <c r="BF51" s="561">
        <v>8</v>
      </c>
      <c r="BG51" s="562">
        <v>8</v>
      </c>
      <c r="BH51" s="467"/>
    </row>
    <row r="52" spans="2:60" ht="16.5" customHeight="1" thickBot="1" x14ac:dyDescent="0.3">
      <c r="B52" s="803"/>
      <c r="C52" s="804"/>
      <c r="D52" s="571">
        <v>47</v>
      </c>
      <c r="E52" s="528" t="str">
        <f t="array" ref="E52">IF($D52&gt;Calc1!$B$14,"",ROW(47:47)-SUM((($L$6:$L51="")+($N$6:$N51="")&gt;0)*1))</f>
        <v/>
      </c>
      <c r="F52" s="173" t="str">
        <f>IF(OR($V$15,$D52&gt;Calc1!$B$14),"",$S$5+QUOTIENT(($E52-1),$V$11)*($S$7+$S$9)/1440+SUM($P$6:$P51)/1440)</f>
        <v/>
      </c>
      <c r="G52" s="175" t="str">
        <f>IF(OR($V$15,$D52&gt;Calc1!$B$14),"",MOD($E52-1,$V$11)+1)</f>
        <v/>
      </c>
      <c r="H52" s="309" t="str">
        <f t="shared" ca="1" si="0"/>
        <v/>
      </c>
      <c r="I52" s="330" t="str">
        <f ca="1"/>
        <v/>
      </c>
      <c r="J52" s="331" t="s">
        <v>4</v>
      </c>
      <c r="K52" s="332" t="str">
        <f ca="1"/>
        <v/>
      </c>
      <c r="L52" s="178" t="str">
        <f t="shared" ca="1" si="1"/>
        <v/>
      </c>
      <c r="M52" s="179" t="s">
        <v>4</v>
      </c>
      <c r="N52" s="180" t="str">
        <f t="shared" ca="1" si="2"/>
        <v/>
      </c>
      <c r="O52" s="349"/>
      <c r="P52" s="750"/>
      <c r="Q52" s="169"/>
      <c r="R52" s="446"/>
      <c r="S52" s="170"/>
      <c r="T52" s="170"/>
      <c r="U52" s="170"/>
      <c r="W52" s="406">
        <v>6</v>
      </c>
      <c r="X52" s="563">
        <v>8</v>
      </c>
      <c r="Y52" s="564">
        <v>8</v>
      </c>
      <c r="Z52" s="564">
        <v>8</v>
      </c>
      <c r="AA52" s="564">
        <v>8</v>
      </c>
      <c r="AB52" s="564">
        <v>8</v>
      </c>
      <c r="AC52" s="565">
        <v>8</v>
      </c>
      <c r="AD52" s="563">
        <v>8</v>
      </c>
      <c r="AE52" s="564">
        <v>8</v>
      </c>
      <c r="AF52" s="564">
        <v>8</v>
      </c>
      <c r="AG52" s="564">
        <v>8</v>
      </c>
      <c r="AH52" s="564">
        <v>8</v>
      </c>
      <c r="AI52" s="565">
        <v>8</v>
      </c>
      <c r="AJ52" s="563">
        <v>8</v>
      </c>
      <c r="AK52" s="564">
        <v>8</v>
      </c>
      <c r="AL52" s="564">
        <v>8</v>
      </c>
      <c r="AM52" s="564">
        <v>8</v>
      </c>
      <c r="AN52" s="564">
        <v>8</v>
      </c>
      <c r="AO52" s="565">
        <v>8</v>
      </c>
      <c r="AP52" s="563">
        <v>8</v>
      </c>
      <c r="AQ52" s="564">
        <v>8</v>
      </c>
      <c r="AR52" s="564">
        <v>8</v>
      </c>
      <c r="AS52" s="564">
        <v>8</v>
      </c>
      <c r="AT52" s="564">
        <v>8</v>
      </c>
      <c r="AU52" s="565">
        <v>8</v>
      </c>
      <c r="AV52" s="563">
        <v>8</v>
      </c>
      <c r="AW52" s="564">
        <v>8</v>
      </c>
      <c r="AX52" s="564">
        <v>8</v>
      </c>
      <c r="AY52" s="564">
        <v>8</v>
      </c>
      <c r="AZ52" s="564">
        <v>8</v>
      </c>
      <c r="BA52" s="565">
        <v>8</v>
      </c>
      <c r="BB52" s="563">
        <v>8</v>
      </c>
      <c r="BC52" s="564">
        <v>8</v>
      </c>
      <c r="BD52" s="564">
        <v>8</v>
      </c>
      <c r="BE52" s="564">
        <v>8</v>
      </c>
      <c r="BF52" s="564">
        <v>8</v>
      </c>
      <c r="BG52" s="565">
        <v>8</v>
      </c>
      <c r="BH52" s="467"/>
    </row>
    <row r="53" spans="2:60" ht="16.5" customHeight="1" thickTop="1" x14ac:dyDescent="0.25">
      <c r="D53" s="571">
        <v>48</v>
      </c>
      <c r="E53" s="528" t="str">
        <f t="array" ref="E53">IF($D53&gt;Calc1!$B$14,"",ROW(48:48)-SUM((($L$6:$L52="")+($N$6:$N52="")&gt;0)*1))</f>
        <v/>
      </c>
      <c r="F53" s="173" t="str">
        <f>IF(OR($V$15,$D53&gt;Calc1!$B$14),"",$S$5+QUOTIENT(($E53-1),$V$11)*($S$7+$S$9)/1440+SUM($P$6:$P52)/1440)</f>
        <v/>
      </c>
      <c r="G53" s="175" t="str">
        <f>IF(OR($V$15,$D53&gt;Calc1!$B$14),"",MOD($E53-1,$V$11)+1)</f>
        <v/>
      </c>
      <c r="H53" s="309" t="str">
        <f t="shared" ca="1" si="0"/>
        <v/>
      </c>
      <c r="I53" s="330" t="str">
        <f ca="1"/>
        <v/>
      </c>
      <c r="J53" s="331" t="s">
        <v>4</v>
      </c>
      <c r="K53" s="332" t="str">
        <f ca="1"/>
        <v/>
      </c>
      <c r="L53" s="178" t="str">
        <f t="shared" ca="1" si="1"/>
        <v/>
      </c>
      <c r="M53" s="179" t="s">
        <v>4</v>
      </c>
      <c r="N53" s="180" t="str">
        <f t="shared" ca="1" si="2"/>
        <v/>
      </c>
      <c r="O53" s="349"/>
      <c r="P53" s="750"/>
      <c r="Q53" s="169"/>
      <c r="R53" s="446"/>
      <c r="S53" s="170"/>
      <c r="T53" s="170"/>
      <c r="U53" s="170"/>
      <c r="W53" s="405">
        <v>1</v>
      </c>
      <c r="X53" s="557">
        <v>8</v>
      </c>
      <c r="Y53" s="558">
        <v>8</v>
      </c>
      <c r="Z53" s="558">
        <v>8</v>
      </c>
      <c r="AA53" s="558">
        <v>8</v>
      </c>
      <c r="AB53" s="558">
        <v>8</v>
      </c>
      <c r="AC53" s="559">
        <v>8</v>
      </c>
      <c r="AD53" s="557">
        <v>8</v>
      </c>
      <c r="AE53" s="558">
        <v>8</v>
      </c>
      <c r="AF53" s="558">
        <v>8</v>
      </c>
      <c r="AG53" s="558">
        <v>8</v>
      </c>
      <c r="AH53" s="558">
        <v>8</v>
      </c>
      <c r="AI53" s="559">
        <v>8</v>
      </c>
      <c r="AJ53" s="557">
        <v>8</v>
      </c>
      <c r="AK53" s="558">
        <v>8</v>
      </c>
      <c r="AL53" s="558">
        <v>8</v>
      </c>
      <c r="AM53" s="558">
        <v>8</v>
      </c>
      <c r="AN53" s="558">
        <v>8</v>
      </c>
      <c r="AO53" s="559">
        <v>8</v>
      </c>
      <c r="AP53" s="557">
        <v>8</v>
      </c>
      <c r="AQ53" s="558">
        <v>8</v>
      </c>
      <c r="AR53" s="558">
        <v>8</v>
      </c>
      <c r="AS53" s="558">
        <v>8</v>
      </c>
      <c r="AT53" s="558">
        <v>8</v>
      </c>
      <c r="AU53" s="559">
        <v>8</v>
      </c>
      <c r="AV53" s="557">
        <v>8</v>
      </c>
      <c r="AW53" s="558">
        <v>8</v>
      </c>
      <c r="AX53" s="558">
        <v>8</v>
      </c>
      <c r="AY53" s="558">
        <v>8</v>
      </c>
      <c r="AZ53" s="558">
        <v>8</v>
      </c>
      <c r="BA53" s="559">
        <v>8</v>
      </c>
      <c r="BB53" s="557">
        <v>8</v>
      </c>
      <c r="BC53" s="558">
        <v>8</v>
      </c>
      <c r="BD53" s="558">
        <v>8</v>
      </c>
      <c r="BE53" s="558">
        <v>8</v>
      </c>
      <c r="BF53" s="558">
        <v>8</v>
      </c>
      <c r="BG53" s="559">
        <v>8</v>
      </c>
      <c r="BH53" s="466">
        <v>2</v>
      </c>
    </row>
    <row r="54" spans="2:60" ht="17.25" x14ac:dyDescent="0.25">
      <c r="B54" s="805"/>
      <c r="C54" s="807" t="str">
        <f>Sprache!$E$16&amp;" D"</f>
        <v>Gruppe D</v>
      </c>
      <c r="D54" s="571">
        <v>49</v>
      </c>
      <c r="E54" s="528" t="str">
        <f t="array" ref="E54">IF($D54&gt;Calc1!$B$14,"",ROW(49:49)-SUM((($L$6:$L53="")+($N$6:$N53="")&gt;0)*1))</f>
        <v/>
      </c>
      <c r="F54" s="173" t="str">
        <f>IF(OR($V$15,$D54&gt;Calc1!$B$14),"",$S$5+QUOTIENT(($E54-1),$V$11)*($S$7+$S$9)/1440+SUM($P$6:$P53)/1440)</f>
        <v/>
      </c>
      <c r="G54" s="175" t="str">
        <f>IF(OR($V$15,$D54&gt;Calc1!$B$14),"",MOD($E54-1,$V$11)+1)</f>
        <v/>
      </c>
      <c r="H54" s="309" t="str">
        <f t="shared" ca="1" si="0"/>
        <v/>
      </c>
      <c r="I54" s="330" t="str">
        <f ca="1"/>
        <v/>
      </c>
      <c r="J54" s="331" t="s">
        <v>4</v>
      </c>
      <c r="K54" s="332" t="str">
        <f ca="1"/>
        <v/>
      </c>
      <c r="L54" s="178" t="str">
        <f t="shared" ca="1" si="1"/>
        <v/>
      </c>
      <c r="M54" s="179" t="s">
        <v>4</v>
      </c>
      <c r="N54" s="180" t="str">
        <f t="shared" ca="1" si="2"/>
        <v/>
      </c>
      <c r="O54" s="349"/>
      <c r="P54" s="750"/>
      <c r="Q54" s="169"/>
      <c r="R54" s="170"/>
      <c r="S54" s="170"/>
      <c r="T54" s="170"/>
      <c r="U54" s="170"/>
      <c r="W54" s="405">
        <v>2</v>
      </c>
      <c r="X54" s="560">
        <v>8</v>
      </c>
      <c r="Y54" s="561">
        <v>8</v>
      </c>
      <c r="Z54" s="561">
        <v>8</v>
      </c>
      <c r="AA54" s="561">
        <v>8</v>
      </c>
      <c r="AB54" s="561">
        <v>8</v>
      </c>
      <c r="AC54" s="562">
        <v>8</v>
      </c>
      <c r="AD54" s="560">
        <v>8</v>
      </c>
      <c r="AE54" s="561">
        <v>8</v>
      </c>
      <c r="AF54" s="561">
        <v>8</v>
      </c>
      <c r="AG54" s="561">
        <v>8</v>
      </c>
      <c r="AH54" s="561">
        <v>8</v>
      </c>
      <c r="AI54" s="562">
        <v>8</v>
      </c>
      <c r="AJ54" s="560">
        <v>8</v>
      </c>
      <c r="AK54" s="561">
        <v>8</v>
      </c>
      <c r="AL54" s="561">
        <v>8</v>
      </c>
      <c r="AM54" s="561">
        <v>8</v>
      </c>
      <c r="AN54" s="561">
        <v>8</v>
      </c>
      <c r="AO54" s="562">
        <v>8</v>
      </c>
      <c r="AP54" s="560">
        <v>8</v>
      </c>
      <c r="AQ54" s="561">
        <v>8</v>
      </c>
      <c r="AR54" s="561">
        <v>8</v>
      </c>
      <c r="AS54" s="561">
        <v>8</v>
      </c>
      <c r="AT54" s="561">
        <v>8</v>
      </c>
      <c r="AU54" s="562">
        <v>8</v>
      </c>
      <c r="AV54" s="560">
        <v>8</v>
      </c>
      <c r="AW54" s="561">
        <v>8</v>
      </c>
      <c r="AX54" s="561">
        <v>8</v>
      </c>
      <c r="AY54" s="561">
        <v>8</v>
      </c>
      <c r="AZ54" s="561">
        <v>8</v>
      </c>
      <c r="BA54" s="562">
        <v>8</v>
      </c>
      <c r="BB54" s="560">
        <v>8</v>
      </c>
      <c r="BC54" s="561">
        <v>8</v>
      </c>
      <c r="BD54" s="561">
        <v>8</v>
      </c>
      <c r="BE54" s="561">
        <v>8</v>
      </c>
      <c r="BF54" s="561">
        <v>8</v>
      </c>
      <c r="BG54" s="562">
        <v>8</v>
      </c>
      <c r="BH54" s="467"/>
    </row>
    <row r="55" spans="2:60" ht="18" thickBot="1" x14ac:dyDescent="0.3">
      <c r="B55" s="806"/>
      <c r="C55" s="808"/>
      <c r="D55" s="571">
        <v>50</v>
      </c>
      <c r="E55" s="528" t="str">
        <f t="array" ref="E55">IF($D55&gt;Calc1!$B$14,"",ROW(50:50)-SUM((($L$6:$L54="")+($N$6:$N54="")&gt;0)*1))</f>
        <v/>
      </c>
      <c r="F55" s="173" t="str">
        <f>IF(OR($V$15,$D55&gt;Calc1!$B$14),"",$S$5+QUOTIENT(($E55-1),$V$11)*($S$7+$S$9)/1440+SUM($P$6:$P54)/1440)</f>
        <v/>
      </c>
      <c r="G55" s="175" t="str">
        <f>IF(OR($V$15,$D55&gt;Calc1!$B$14),"",MOD($E55-1,$V$11)+1)</f>
        <v/>
      </c>
      <c r="H55" s="309" t="str">
        <f t="shared" ca="1" si="0"/>
        <v/>
      </c>
      <c r="I55" s="330" t="str">
        <f ca="1"/>
        <v/>
      </c>
      <c r="J55" s="331" t="s">
        <v>4</v>
      </c>
      <c r="K55" s="332" t="str">
        <f ca="1"/>
        <v/>
      </c>
      <c r="L55" s="178" t="str">
        <f t="shared" ca="1" si="1"/>
        <v/>
      </c>
      <c r="M55" s="179" t="s">
        <v>4</v>
      </c>
      <c r="N55" s="180" t="str">
        <f t="shared" ca="1" si="2"/>
        <v/>
      </c>
      <c r="O55" s="349"/>
      <c r="P55" s="750"/>
      <c r="Q55" s="169"/>
      <c r="R55" s="170"/>
      <c r="S55" s="170"/>
      <c r="T55" s="170"/>
      <c r="U55" s="170"/>
      <c r="W55" s="405">
        <v>3</v>
      </c>
      <c r="X55" s="560">
        <v>8</v>
      </c>
      <c r="Y55" s="561">
        <v>8</v>
      </c>
      <c r="Z55" s="561">
        <v>8</v>
      </c>
      <c r="AA55" s="561">
        <v>8</v>
      </c>
      <c r="AB55" s="561">
        <v>8</v>
      </c>
      <c r="AC55" s="562">
        <v>8</v>
      </c>
      <c r="AD55" s="560">
        <v>8</v>
      </c>
      <c r="AE55" s="561">
        <v>8</v>
      </c>
      <c r="AF55" s="561">
        <v>8</v>
      </c>
      <c r="AG55" s="561">
        <v>8</v>
      </c>
      <c r="AH55" s="561">
        <v>8</v>
      </c>
      <c r="AI55" s="562">
        <v>8</v>
      </c>
      <c r="AJ55" s="560">
        <v>8</v>
      </c>
      <c r="AK55" s="561">
        <v>8</v>
      </c>
      <c r="AL55" s="561">
        <v>8</v>
      </c>
      <c r="AM55" s="561">
        <v>8</v>
      </c>
      <c r="AN55" s="561">
        <v>8</v>
      </c>
      <c r="AO55" s="562">
        <v>8</v>
      </c>
      <c r="AP55" s="560">
        <v>8</v>
      </c>
      <c r="AQ55" s="561">
        <v>8</v>
      </c>
      <c r="AR55" s="561">
        <v>8</v>
      </c>
      <c r="AS55" s="561">
        <v>8</v>
      </c>
      <c r="AT55" s="561">
        <v>8</v>
      </c>
      <c r="AU55" s="562">
        <v>8</v>
      </c>
      <c r="AV55" s="560">
        <v>8</v>
      </c>
      <c r="AW55" s="561">
        <v>8</v>
      </c>
      <c r="AX55" s="561">
        <v>8</v>
      </c>
      <c r="AY55" s="561">
        <v>8</v>
      </c>
      <c r="AZ55" s="561">
        <v>8</v>
      </c>
      <c r="BA55" s="562">
        <v>8</v>
      </c>
      <c r="BB55" s="560">
        <v>8</v>
      </c>
      <c r="BC55" s="561">
        <v>8</v>
      </c>
      <c r="BD55" s="561">
        <v>8</v>
      </c>
      <c r="BE55" s="561">
        <v>8</v>
      </c>
      <c r="BF55" s="561">
        <v>8</v>
      </c>
      <c r="BG55" s="562">
        <v>8</v>
      </c>
      <c r="BH55" s="467"/>
    </row>
    <row r="56" spans="2:60" ht="18" thickTop="1" x14ac:dyDescent="0.25">
      <c r="B56" s="809"/>
      <c r="C56" s="811" t="str">
        <f>Sprache!$E$10</f>
        <v>Teilnehmer bzw. Mannschaft</v>
      </c>
      <c r="D56" s="571">
        <v>51</v>
      </c>
      <c r="E56" s="528" t="str">
        <f t="array" ref="E56">IF($D56&gt;Calc1!$B$14,"",ROW(51:51)-SUM((($L$6:$L55="")+($N$6:$N55="")&gt;0)*1))</f>
        <v/>
      </c>
      <c r="F56" s="173" t="str">
        <f>IF(OR($V$15,$D56&gt;Calc1!$B$14),"",$S$5+QUOTIENT(($E56-1),$V$11)*($S$7+$S$9)/1440+SUM($P$6:$P55)/1440)</f>
        <v/>
      </c>
      <c r="G56" s="175" t="str">
        <f>IF(OR($V$15,$D56&gt;Calc1!$B$14),"",MOD($E56-1,$V$11)+1)</f>
        <v/>
      </c>
      <c r="H56" s="309" t="str">
        <f t="shared" ca="1" si="0"/>
        <v/>
      </c>
      <c r="I56" s="330" t="str">
        <f ca="1"/>
        <v/>
      </c>
      <c r="J56" s="331" t="s">
        <v>4</v>
      </c>
      <c r="K56" s="332" t="str">
        <f ca="1"/>
        <v/>
      </c>
      <c r="L56" s="178" t="str">
        <f t="shared" ca="1" si="1"/>
        <v/>
      </c>
      <c r="M56" s="179" t="s">
        <v>4</v>
      </c>
      <c r="N56" s="180" t="str">
        <f t="shared" ca="1" si="2"/>
        <v/>
      </c>
      <c r="O56" s="349"/>
      <c r="P56" s="750"/>
      <c r="Q56" s="169"/>
      <c r="R56" s="170"/>
      <c r="S56" s="170"/>
      <c r="T56" s="170"/>
      <c r="U56" s="170"/>
      <c r="W56" s="405">
        <v>4</v>
      </c>
      <c r="X56" s="560">
        <v>8</v>
      </c>
      <c r="Y56" s="561">
        <v>8</v>
      </c>
      <c r="Z56" s="561">
        <v>8</v>
      </c>
      <c r="AA56" s="561">
        <v>8</v>
      </c>
      <c r="AB56" s="561">
        <v>8</v>
      </c>
      <c r="AC56" s="562">
        <v>8</v>
      </c>
      <c r="AD56" s="560">
        <v>8</v>
      </c>
      <c r="AE56" s="561">
        <v>8</v>
      </c>
      <c r="AF56" s="561">
        <v>8</v>
      </c>
      <c r="AG56" s="561">
        <v>8</v>
      </c>
      <c r="AH56" s="561">
        <v>8</v>
      </c>
      <c r="AI56" s="562">
        <v>8</v>
      </c>
      <c r="AJ56" s="560">
        <v>8</v>
      </c>
      <c r="AK56" s="561">
        <v>8</v>
      </c>
      <c r="AL56" s="561">
        <v>8</v>
      </c>
      <c r="AM56" s="561">
        <v>8</v>
      </c>
      <c r="AN56" s="561">
        <v>8</v>
      </c>
      <c r="AO56" s="562">
        <v>8</v>
      </c>
      <c r="AP56" s="560">
        <v>8</v>
      </c>
      <c r="AQ56" s="561">
        <v>8</v>
      </c>
      <c r="AR56" s="561">
        <v>8</v>
      </c>
      <c r="AS56" s="561">
        <v>8</v>
      </c>
      <c r="AT56" s="561">
        <v>8</v>
      </c>
      <c r="AU56" s="562">
        <v>8</v>
      </c>
      <c r="AV56" s="560">
        <v>8</v>
      </c>
      <c r="AW56" s="561">
        <v>8</v>
      </c>
      <c r="AX56" s="561">
        <v>8</v>
      </c>
      <c r="AY56" s="561">
        <v>8</v>
      </c>
      <c r="AZ56" s="561">
        <v>8</v>
      </c>
      <c r="BA56" s="562">
        <v>8</v>
      </c>
      <c r="BB56" s="560">
        <v>8</v>
      </c>
      <c r="BC56" s="561">
        <v>8</v>
      </c>
      <c r="BD56" s="561">
        <v>8</v>
      </c>
      <c r="BE56" s="561">
        <v>8</v>
      </c>
      <c r="BF56" s="561">
        <v>8</v>
      </c>
      <c r="BG56" s="562">
        <v>8</v>
      </c>
      <c r="BH56" s="467"/>
    </row>
    <row r="57" spans="2:60" ht="17.25" x14ac:dyDescent="0.25">
      <c r="B57" s="810"/>
      <c r="C57" s="812"/>
      <c r="D57" s="571">
        <v>52</v>
      </c>
      <c r="E57" s="528" t="str">
        <f t="array" ref="E57">IF($D57&gt;Calc1!$B$14,"",ROW(52:52)-SUM((($L$6:$L56="")+($N$6:$N56="")&gt;0)*1))</f>
        <v/>
      </c>
      <c r="F57" s="173" t="str">
        <f>IF(OR($V$15,$D57&gt;Calc1!$B$14),"",$S$5+QUOTIENT(($E57-1),$V$11)*($S$7+$S$9)/1440+SUM($P$6:$P56)/1440)</f>
        <v/>
      </c>
      <c r="G57" s="175" t="str">
        <f>IF(OR($V$15,$D57&gt;Calc1!$B$14),"",MOD($E57-1,$V$11)+1)</f>
        <v/>
      </c>
      <c r="H57" s="309" t="str">
        <f t="shared" ca="1" si="0"/>
        <v/>
      </c>
      <c r="I57" s="330" t="str">
        <f ca="1"/>
        <v/>
      </c>
      <c r="J57" s="331" t="s">
        <v>4</v>
      </c>
      <c r="K57" s="332" t="str">
        <f ca="1"/>
        <v/>
      </c>
      <c r="L57" s="178" t="str">
        <f t="shared" ca="1" si="1"/>
        <v/>
      </c>
      <c r="M57" s="179" t="s">
        <v>4</v>
      </c>
      <c r="N57" s="180" t="str">
        <f t="shared" ca="1" si="2"/>
        <v/>
      </c>
      <c r="O57" s="349"/>
      <c r="P57" s="750"/>
      <c r="Q57" s="169"/>
      <c r="R57" s="170"/>
      <c r="S57" s="170"/>
      <c r="T57" s="170"/>
      <c r="U57" s="170"/>
      <c r="W57" s="405">
        <v>5</v>
      </c>
      <c r="X57" s="560">
        <v>8</v>
      </c>
      <c r="Y57" s="561">
        <v>8</v>
      </c>
      <c r="Z57" s="561">
        <v>8</v>
      </c>
      <c r="AA57" s="561">
        <v>8</v>
      </c>
      <c r="AB57" s="561">
        <v>8</v>
      </c>
      <c r="AC57" s="562">
        <v>8</v>
      </c>
      <c r="AD57" s="560">
        <v>8</v>
      </c>
      <c r="AE57" s="561">
        <v>8</v>
      </c>
      <c r="AF57" s="561">
        <v>8</v>
      </c>
      <c r="AG57" s="561">
        <v>8</v>
      </c>
      <c r="AH57" s="561">
        <v>8</v>
      </c>
      <c r="AI57" s="562">
        <v>8</v>
      </c>
      <c r="AJ57" s="560">
        <v>8</v>
      </c>
      <c r="AK57" s="561">
        <v>8</v>
      </c>
      <c r="AL57" s="561">
        <v>8</v>
      </c>
      <c r="AM57" s="561">
        <v>8</v>
      </c>
      <c r="AN57" s="561">
        <v>8</v>
      </c>
      <c r="AO57" s="562">
        <v>8</v>
      </c>
      <c r="AP57" s="560">
        <v>8</v>
      </c>
      <c r="AQ57" s="561">
        <v>8</v>
      </c>
      <c r="AR57" s="561">
        <v>8</v>
      </c>
      <c r="AS57" s="561">
        <v>8</v>
      </c>
      <c r="AT57" s="561">
        <v>8</v>
      </c>
      <c r="AU57" s="562">
        <v>8</v>
      </c>
      <c r="AV57" s="560">
        <v>8</v>
      </c>
      <c r="AW57" s="561">
        <v>8</v>
      </c>
      <c r="AX57" s="561">
        <v>8</v>
      </c>
      <c r="AY57" s="561">
        <v>8</v>
      </c>
      <c r="AZ57" s="561">
        <v>8</v>
      </c>
      <c r="BA57" s="562">
        <v>8</v>
      </c>
      <c r="BB57" s="560">
        <v>8</v>
      </c>
      <c r="BC57" s="561">
        <v>8</v>
      </c>
      <c r="BD57" s="561">
        <v>8</v>
      </c>
      <c r="BE57" s="561">
        <v>8</v>
      </c>
      <c r="BF57" s="561">
        <v>8</v>
      </c>
      <c r="BG57" s="562">
        <v>8</v>
      </c>
      <c r="BH57" s="467"/>
    </row>
    <row r="58" spans="2:60" ht="18" customHeight="1" thickBot="1" x14ac:dyDescent="0.3">
      <c r="B58" s="813" t="s">
        <v>305</v>
      </c>
      <c r="C58" s="801" t="s">
        <v>311</v>
      </c>
      <c r="D58" s="571">
        <v>53</v>
      </c>
      <c r="E58" s="528" t="str">
        <f t="array" ref="E58">IF($D58&gt;Calc1!$B$14,"",ROW(53:53)-SUM((($L$6:$L57="")+($N$6:$N57="")&gt;0)*1))</f>
        <v/>
      </c>
      <c r="F58" s="173" t="str">
        <f>IF(OR($V$15,$D58&gt;Calc1!$B$14),"",$S$5+QUOTIENT(($E58-1),$V$11)*($S$7+$S$9)/1440+SUM($P$6:$P57)/1440)</f>
        <v/>
      </c>
      <c r="G58" s="175" t="str">
        <f>IF(OR($V$15,$D58&gt;Calc1!$B$14),"",MOD($E58-1,$V$11)+1)</f>
        <v/>
      </c>
      <c r="H58" s="309" t="str">
        <f t="shared" ca="1" si="0"/>
        <v/>
      </c>
      <c r="I58" s="330" t="str">
        <f ca="1"/>
        <v/>
      </c>
      <c r="J58" s="331" t="s">
        <v>4</v>
      </c>
      <c r="K58" s="332" t="str">
        <f ca="1"/>
        <v/>
      </c>
      <c r="L58" s="178" t="str">
        <f t="shared" ca="1" si="1"/>
        <v/>
      </c>
      <c r="M58" s="179" t="s">
        <v>4</v>
      </c>
      <c r="N58" s="180" t="str">
        <f t="shared" ca="1" si="2"/>
        <v/>
      </c>
      <c r="O58" s="349"/>
      <c r="P58" s="750"/>
      <c r="Q58" s="169"/>
      <c r="R58" s="170"/>
      <c r="S58" s="170"/>
      <c r="T58" s="170"/>
      <c r="U58" s="170"/>
      <c r="W58" s="406">
        <v>6</v>
      </c>
      <c r="X58" s="563">
        <v>8</v>
      </c>
      <c r="Y58" s="564">
        <v>8</v>
      </c>
      <c r="Z58" s="564">
        <v>8</v>
      </c>
      <c r="AA58" s="564">
        <v>8</v>
      </c>
      <c r="AB58" s="564">
        <v>8</v>
      </c>
      <c r="AC58" s="565">
        <v>8</v>
      </c>
      <c r="AD58" s="563">
        <v>8</v>
      </c>
      <c r="AE58" s="564">
        <v>8</v>
      </c>
      <c r="AF58" s="564">
        <v>8</v>
      </c>
      <c r="AG58" s="564">
        <v>8</v>
      </c>
      <c r="AH58" s="564">
        <v>8</v>
      </c>
      <c r="AI58" s="565">
        <v>8</v>
      </c>
      <c r="AJ58" s="563">
        <v>8</v>
      </c>
      <c r="AK58" s="564">
        <v>8</v>
      </c>
      <c r="AL58" s="564">
        <v>8</v>
      </c>
      <c r="AM58" s="564">
        <v>8</v>
      </c>
      <c r="AN58" s="564">
        <v>8</v>
      </c>
      <c r="AO58" s="565">
        <v>8</v>
      </c>
      <c r="AP58" s="563">
        <v>8</v>
      </c>
      <c r="AQ58" s="564">
        <v>8</v>
      </c>
      <c r="AR58" s="564">
        <v>8</v>
      </c>
      <c r="AS58" s="564">
        <v>8</v>
      </c>
      <c r="AT58" s="564">
        <v>8</v>
      </c>
      <c r="AU58" s="565">
        <v>8</v>
      </c>
      <c r="AV58" s="563">
        <v>8</v>
      </c>
      <c r="AW58" s="564">
        <v>8</v>
      </c>
      <c r="AX58" s="564">
        <v>8</v>
      </c>
      <c r="AY58" s="564">
        <v>8</v>
      </c>
      <c r="AZ58" s="564">
        <v>8</v>
      </c>
      <c r="BA58" s="565">
        <v>8</v>
      </c>
      <c r="BB58" s="563">
        <v>8</v>
      </c>
      <c r="BC58" s="564">
        <v>8</v>
      </c>
      <c r="BD58" s="564">
        <v>8</v>
      </c>
      <c r="BE58" s="564">
        <v>8</v>
      </c>
      <c r="BF58" s="564">
        <v>8</v>
      </c>
      <c r="BG58" s="565">
        <v>8</v>
      </c>
      <c r="BH58" s="467"/>
    </row>
    <row r="59" spans="2:60" ht="18" customHeight="1" thickTop="1" x14ac:dyDescent="0.25">
      <c r="B59" s="800"/>
      <c r="C59" s="802"/>
      <c r="D59" s="571">
        <v>54</v>
      </c>
      <c r="E59" s="528" t="str">
        <f t="array" ref="E59">IF($D59&gt;Calc1!$B$14,"",ROW(54:54)-SUM((($L$6:$L58="")+($N$6:$N58="")&gt;0)*1))</f>
        <v/>
      </c>
      <c r="F59" s="173" t="str">
        <f>IF(OR($V$15,$D59&gt;Calc1!$B$14),"",$S$5+QUOTIENT(($E59-1),$V$11)*($S$7+$S$9)/1440+SUM($P$6:$P58)/1440)</f>
        <v/>
      </c>
      <c r="G59" s="175" t="str">
        <f>IF(OR($V$15,$D59&gt;Calc1!$B$14),"",MOD($E59-1,$V$11)+1)</f>
        <v/>
      </c>
      <c r="H59" s="309" t="str">
        <f t="shared" ca="1" si="0"/>
        <v/>
      </c>
      <c r="I59" s="330" t="str">
        <f ca="1"/>
        <v/>
      </c>
      <c r="J59" s="331" t="s">
        <v>4</v>
      </c>
      <c r="K59" s="332" t="str">
        <f ca="1"/>
        <v/>
      </c>
      <c r="L59" s="50" t="str">
        <f t="shared" ca="1" si="1"/>
        <v/>
      </c>
      <c r="M59" s="48" t="s">
        <v>4</v>
      </c>
      <c r="N59" s="49" t="str">
        <f t="shared" ca="1" si="2"/>
        <v/>
      </c>
      <c r="O59" s="349"/>
      <c r="P59" s="750"/>
      <c r="Q59" s="169"/>
      <c r="R59" s="170"/>
      <c r="S59" s="170"/>
      <c r="T59" s="170"/>
      <c r="U59" s="170"/>
      <c r="W59" s="405">
        <v>1</v>
      </c>
      <c r="X59" s="557">
        <v>8</v>
      </c>
      <c r="Y59" s="558">
        <v>8</v>
      </c>
      <c r="Z59" s="558">
        <v>8</v>
      </c>
      <c r="AA59" s="558">
        <v>8</v>
      </c>
      <c r="AB59" s="558">
        <v>8</v>
      </c>
      <c r="AC59" s="559">
        <v>8</v>
      </c>
      <c r="AD59" s="557">
        <v>8</v>
      </c>
      <c r="AE59" s="558">
        <v>8</v>
      </c>
      <c r="AF59" s="558">
        <v>8</v>
      </c>
      <c r="AG59" s="558">
        <v>8</v>
      </c>
      <c r="AH59" s="558">
        <v>8</v>
      </c>
      <c r="AI59" s="559">
        <v>8</v>
      </c>
      <c r="AJ59" s="557">
        <v>8</v>
      </c>
      <c r="AK59" s="558">
        <v>8</v>
      </c>
      <c r="AL59" s="558">
        <v>8</v>
      </c>
      <c r="AM59" s="558">
        <v>8</v>
      </c>
      <c r="AN59" s="558">
        <v>8</v>
      </c>
      <c r="AO59" s="559">
        <v>8</v>
      </c>
      <c r="AP59" s="557">
        <v>8</v>
      </c>
      <c r="AQ59" s="558">
        <v>8</v>
      </c>
      <c r="AR59" s="558">
        <v>8</v>
      </c>
      <c r="AS59" s="558">
        <v>8</v>
      </c>
      <c r="AT59" s="558">
        <v>8</v>
      </c>
      <c r="AU59" s="559">
        <v>8</v>
      </c>
      <c r="AV59" s="557">
        <v>8</v>
      </c>
      <c r="AW59" s="558">
        <v>8</v>
      </c>
      <c r="AX59" s="558">
        <v>8</v>
      </c>
      <c r="AY59" s="558">
        <v>8</v>
      </c>
      <c r="AZ59" s="558">
        <v>8</v>
      </c>
      <c r="BA59" s="559">
        <v>8</v>
      </c>
      <c r="BB59" s="557">
        <v>8</v>
      </c>
      <c r="BC59" s="558">
        <v>8</v>
      </c>
      <c r="BD59" s="558">
        <v>8</v>
      </c>
      <c r="BE59" s="558">
        <v>8</v>
      </c>
      <c r="BF59" s="558">
        <v>8</v>
      </c>
      <c r="BG59" s="559">
        <v>8</v>
      </c>
      <c r="BH59" s="466">
        <v>3</v>
      </c>
    </row>
    <row r="60" spans="2:60" ht="17.25" x14ac:dyDescent="0.25">
      <c r="B60" s="799" t="s">
        <v>306</v>
      </c>
      <c r="C60" s="801" t="s">
        <v>312</v>
      </c>
      <c r="D60" s="571">
        <v>55</v>
      </c>
      <c r="E60" s="528" t="str">
        <f t="array" ref="E60">IF($D60&gt;Calc1!$B$14,"",ROW(55:55)-SUM((($L$6:$L59="")+($N$6:$N59="")&gt;0)*1))</f>
        <v/>
      </c>
      <c r="F60" s="173" t="str">
        <f>IF(OR($V$15,$D60&gt;Calc1!$B$14),"",$S$5+QUOTIENT(($E60-1),$V$11)*($S$7+$S$9)/1440+SUM($P$6:$P59)/1440)</f>
        <v/>
      </c>
      <c r="G60" s="175" t="str">
        <f>IF(OR($V$15,$D60&gt;Calc1!$B$14),"",MOD($E60-1,$V$11)+1)</f>
        <v/>
      </c>
      <c r="H60" s="309" t="str">
        <f t="shared" ca="1" si="0"/>
        <v/>
      </c>
      <c r="I60" s="330" t="str">
        <f ca="1"/>
        <v/>
      </c>
      <c r="J60" s="331" t="s">
        <v>4</v>
      </c>
      <c r="K60" s="332" t="str">
        <f ca="1"/>
        <v/>
      </c>
      <c r="L60" s="178" t="str">
        <f t="shared" ca="1" si="1"/>
        <v/>
      </c>
      <c r="M60" s="179" t="s">
        <v>4</v>
      </c>
      <c r="N60" s="180" t="str">
        <f t="shared" ca="1" si="2"/>
        <v/>
      </c>
      <c r="O60" s="349"/>
      <c r="P60" s="750"/>
      <c r="Q60" s="169"/>
      <c r="R60" s="170"/>
      <c r="S60" s="170"/>
      <c r="T60" s="170"/>
      <c r="U60" s="170"/>
      <c r="W60" s="405">
        <v>2</v>
      </c>
      <c r="X60" s="560">
        <v>8</v>
      </c>
      <c r="Y60" s="561">
        <v>8</v>
      </c>
      <c r="Z60" s="561">
        <v>8</v>
      </c>
      <c r="AA60" s="561">
        <v>8</v>
      </c>
      <c r="AB60" s="561">
        <v>8</v>
      </c>
      <c r="AC60" s="562">
        <v>8</v>
      </c>
      <c r="AD60" s="560">
        <v>8</v>
      </c>
      <c r="AE60" s="561">
        <v>8</v>
      </c>
      <c r="AF60" s="561">
        <v>8</v>
      </c>
      <c r="AG60" s="561">
        <v>8</v>
      </c>
      <c r="AH60" s="561">
        <v>8</v>
      </c>
      <c r="AI60" s="562">
        <v>8</v>
      </c>
      <c r="AJ60" s="560">
        <v>8</v>
      </c>
      <c r="AK60" s="561">
        <v>8</v>
      </c>
      <c r="AL60" s="561">
        <v>8</v>
      </c>
      <c r="AM60" s="561">
        <v>8</v>
      </c>
      <c r="AN60" s="561">
        <v>8</v>
      </c>
      <c r="AO60" s="562">
        <v>8</v>
      </c>
      <c r="AP60" s="560">
        <v>8</v>
      </c>
      <c r="AQ60" s="561">
        <v>8</v>
      </c>
      <c r="AR60" s="561">
        <v>8</v>
      </c>
      <c r="AS60" s="561">
        <v>8</v>
      </c>
      <c r="AT60" s="561">
        <v>8</v>
      </c>
      <c r="AU60" s="562">
        <v>8</v>
      </c>
      <c r="AV60" s="560">
        <v>8</v>
      </c>
      <c r="AW60" s="561">
        <v>8</v>
      </c>
      <c r="AX60" s="561">
        <v>8</v>
      </c>
      <c r="AY60" s="561">
        <v>8</v>
      </c>
      <c r="AZ60" s="561">
        <v>8</v>
      </c>
      <c r="BA60" s="562">
        <v>8</v>
      </c>
      <c r="BB60" s="560">
        <v>8</v>
      </c>
      <c r="BC60" s="561">
        <v>8</v>
      </c>
      <c r="BD60" s="561">
        <v>8</v>
      </c>
      <c r="BE60" s="561">
        <v>8</v>
      </c>
      <c r="BF60" s="561">
        <v>8</v>
      </c>
      <c r="BG60" s="562">
        <v>8</v>
      </c>
      <c r="BH60" s="467"/>
    </row>
    <row r="61" spans="2:60" ht="17.25" x14ac:dyDescent="0.25">
      <c r="B61" s="800"/>
      <c r="C61" s="802"/>
      <c r="D61" s="571">
        <v>56</v>
      </c>
      <c r="E61" s="528" t="str">
        <f t="array" ref="E61">IF($D61&gt;Calc1!$B$14,"",ROW(56:56)-SUM((($L$6:$L60="")+($N$6:$N60="")&gt;0)*1))</f>
        <v/>
      </c>
      <c r="F61" s="173" t="str">
        <f>IF(OR($V$15,$D61&gt;Calc1!$B$14),"",$S$5+QUOTIENT(($E61-1),$V$11)*($S$7+$S$9)/1440+SUM($P$6:$P60)/1440)</f>
        <v/>
      </c>
      <c r="G61" s="175" t="str">
        <f>IF(OR($V$15,$D61&gt;Calc1!$B$14),"",MOD($E61-1,$V$11)+1)</f>
        <v/>
      </c>
      <c r="H61" s="309" t="str">
        <f t="shared" ca="1" si="0"/>
        <v/>
      </c>
      <c r="I61" s="330" t="str">
        <f ca="1"/>
        <v/>
      </c>
      <c r="J61" s="331" t="s">
        <v>4</v>
      </c>
      <c r="K61" s="332" t="str">
        <f ca="1"/>
        <v/>
      </c>
      <c r="L61" s="178" t="str">
        <f t="shared" ca="1" si="1"/>
        <v/>
      </c>
      <c r="M61" s="179" t="s">
        <v>4</v>
      </c>
      <c r="N61" s="180" t="str">
        <f t="shared" ca="1" si="2"/>
        <v/>
      </c>
      <c r="O61" s="349"/>
      <c r="P61" s="750"/>
      <c r="Q61" s="169"/>
      <c r="R61" s="170"/>
      <c r="S61" s="170"/>
      <c r="T61" s="170"/>
      <c r="U61" s="170"/>
      <c r="W61" s="405">
        <v>3</v>
      </c>
      <c r="X61" s="560">
        <v>8</v>
      </c>
      <c r="Y61" s="561">
        <v>8</v>
      </c>
      <c r="Z61" s="561">
        <v>8</v>
      </c>
      <c r="AA61" s="561">
        <v>8</v>
      </c>
      <c r="AB61" s="561">
        <v>8</v>
      </c>
      <c r="AC61" s="562">
        <v>8</v>
      </c>
      <c r="AD61" s="560">
        <v>8</v>
      </c>
      <c r="AE61" s="561">
        <v>8</v>
      </c>
      <c r="AF61" s="561">
        <v>8</v>
      </c>
      <c r="AG61" s="561">
        <v>8</v>
      </c>
      <c r="AH61" s="561">
        <v>8</v>
      </c>
      <c r="AI61" s="562">
        <v>8</v>
      </c>
      <c r="AJ61" s="560">
        <v>8</v>
      </c>
      <c r="AK61" s="561">
        <v>8</v>
      </c>
      <c r="AL61" s="561">
        <v>4</v>
      </c>
      <c r="AM61" s="561">
        <v>5</v>
      </c>
      <c r="AN61" s="561">
        <v>8</v>
      </c>
      <c r="AO61" s="562">
        <v>8</v>
      </c>
      <c r="AP61" s="560">
        <v>8</v>
      </c>
      <c r="AQ61" s="561">
        <v>8</v>
      </c>
      <c r="AR61" s="561">
        <v>5</v>
      </c>
      <c r="AS61" s="561">
        <v>4</v>
      </c>
      <c r="AT61" s="561">
        <v>8</v>
      </c>
      <c r="AU61" s="562">
        <v>8</v>
      </c>
      <c r="AV61" s="560">
        <v>8</v>
      </c>
      <c r="AW61" s="561">
        <v>8</v>
      </c>
      <c r="AX61" s="561">
        <v>8</v>
      </c>
      <c r="AY61" s="561">
        <v>8</v>
      </c>
      <c r="AZ61" s="561">
        <v>8</v>
      </c>
      <c r="BA61" s="562">
        <v>8</v>
      </c>
      <c r="BB61" s="560">
        <v>8</v>
      </c>
      <c r="BC61" s="561">
        <v>8</v>
      </c>
      <c r="BD61" s="561">
        <v>8</v>
      </c>
      <c r="BE61" s="561">
        <v>8</v>
      </c>
      <c r="BF61" s="561">
        <v>8</v>
      </c>
      <c r="BG61" s="562">
        <v>8</v>
      </c>
      <c r="BH61" s="467"/>
    </row>
    <row r="62" spans="2:60" ht="17.25" x14ac:dyDescent="0.25">
      <c r="B62" s="799" t="s">
        <v>307</v>
      </c>
      <c r="C62" s="801" t="s">
        <v>313</v>
      </c>
      <c r="D62" s="571">
        <v>57</v>
      </c>
      <c r="E62" s="528" t="str">
        <f t="array" ref="E62">IF($D62&gt;Calc1!$B$14,"",ROW(57:57)-SUM((($L$6:$L61="")+($N$6:$N61="")&gt;0)*1))</f>
        <v/>
      </c>
      <c r="F62" s="173" t="str">
        <f>IF(OR($V$15,$D62&gt;Calc1!$B$14),"",$S$5+QUOTIENT(($E62-1),$V$11)*($S$7+$S$9)/1440+SUM($P$6:$P61)/1440)</f>
        <v/>
      </c>
      <c r="G62" s="175" t="str">
        <f>IF(OR($V$15,$D62&gt;Calc1!$B$14),"",MOD($E62-1,$V$11)+1)</f>
        <v/>
      </c>
      <c r="H62" s="309" t="str">
        <f t="shared" ca="1" si="0"/>
        <v/>
      </c>
      <c r="I62" s="330" t="str">
        <f ca="1"/>
        <v/>
      </c>
      <c r="J62" s="331" t="s">
        <v>4</v>
      </c>
      <c r="K62" s="332" t="str">
        <f ca="1"/>
        <v/>
      </c>
      <c r="L62" s="50" t="str">
        <f t="shared" ca="1" si="1"/>
        <v/>
      </c>
      <c r="M62" s="48" t="s">
        <v>4</v>
      </c>
      <c r="N62" s="49" t="str">
        <f t="shared" ca="1" si="2"/>
        <v/>
      </c>
      <c r="O62" s="349"/>
      <c r="P62" s="750"/>
      <c r="Q62" s="169"/>
      <c r="R62" s="170"/>
      <c r="S62" s="170"/>
      <c r="T62" s="170"/>
      <c r="U62" s="170"/>
      <c r="W62" s="405">
        <v>4</v>
      </c>
      <c r="X62" s="560">
        <v>8</v>
      </c>
      <c r="Y62" s="561">
        <v>8</v>
      </c>
      <c r="Z62" s="561">
        <v>8</v>
      </c>
      <c r="AA62" s="561">
        <v>8</v>
      </c>
      <c r="AB62" s="561">
        <v>8</v>
      </c>
      <c r="AC62" s="562">
        <v>8</v>
      </c>
      <c r="AD62" s="560">
        <v>8</v>
      </c>
      <c r="AE62" s="561">
        <v>8</v>
      </c>
      <c r="AF62" s="561">
        <v>8</v>
      </c>
      <c r="AG62" s="561">
        <v>8</v>
      </c>
      <c r="AH62" s="561">
        <v>8</v>
      </c>
      <c r="AI62" s="562">
        <v>8</v>
      </c>
      <c r="AJ62" s="560">
        <v>8</v>
      </c>
      <c r="AK62" s="561">
        <v>8</v>
      </c>
      <c r="AL62" s="561">
        <v>5</v>
      </c>
      <c r="AM62" s="561">
        <v>4</v>
      </c>
      <c r="AN62" s="561">
        <v>8</v>
      </c>
      <c r="AO62" s="562">
        <v>8</v>
      </c>
      <c r="AP62" s="560">
        <v>8</v>
      </c>
      <c r="AQ62" s="561">
        <v>8</v>
      </c>
      <c r="AR62" s="561">
        <v>4</v>
      </c>
      <c r="AS62" s="561">
        <v>3</v>
      </c>
      <c r="AT62" s="561">
        <v>4</v>
      </c>
      <c r="AU62" s="562">
        <v>8</v>
      </c>
      <c r="AV62" s="560">
        <v>8</v>
      </c>
      <c r="AW62" s="561">
        <v>8</v>
      </c>
      <c r="AX62" s="561">
        <v>8</v>
      </c>
      <c r="AY62" s="561">
        <v>8</v>
      </c>
      <c r="AZ62" s="561">
        <v>8</v>
      </c>
      <c r="BA62" s="562">
        <v>8</v>
      </c>
      <c r="BB62" s="560">
        <v>8</v>
      </c>
      <c r="BC62" s="561">
        <v>8</v>
      </c>
      <c r="BD62" s="561">
        <v>8</v>
      </c>
      <c r="BE62" s="561">
        <v>8</v>
      </c>
      <c r="BF62" s="561">
        <v>8</v>
      </c>
      <c r="BG62" s="562">
        <v>8</v>
      </c>
      <c r="BH62" s="467"/>
    </row>
    <row r="63" spans="2:60" ht="17.25" x14ac:dyDescent="0.25">
      <c r="B63" s="800"/>
      <c r="C63" s="802"/>
      <c r="D63" s="571">
        <v>58</v>
      </c>
      <c r="E63" s="528" t="str">
        <f t="array" ref="E63">IF($D63&gt;Calc1!$B$14,"",ROW(58:58)-SUM((($L$6:$L62="")+($N$6:$N62="")&gt;0)*1))</f>
        <v/>
      </c>
      <c r="F63" s="173" t="str">
        <f>IF(OR($V$15,$D63&gt;Calc1!$B$14),"",$S$5+QUOTIENT(($E63-1),$V$11)*($S$7+$S$9)/1440+SUM($P$6:$P62)/1440)</f>
        <v/>
      </c>
      <c r="G63" s="175" t="str">
        <f>IF(OR($V$15,$D63&gt;Calc1!$B$14),"",MOD($E63-1,$V$11)+1)</f>
        <v/>
      </c>
      <c r="H63" s="570" t="str">
        <f t="shared" ca="1" si="0"/>
        <v/>
      </c>
      <c r="I63" s="330" t="str">
        <f ca="1"/>
        <v/>
      </c>
      <c r="J63" s="331" t="s">
        <v>4</v>
      </c>
      <c r="K63" s="332" t="str">
        <f ca="1"/>
        <v/>
      </c>
      <c r="L63" s="50" t="str">
        <f t="shared" ca="1" si="1"/>
        <v/>
      </c>
      <c r="M63" s="48" t="s">
        <v>4</v>
      </c>
      <c r="N63" s="49" t="str">
        <f t="shared" ca="1" si="2"/>
        <v/>
      </c>
      <c r="O63" s="349"/>
      <c r="P63" s="750"/>
      <c r="Q63" s="169"/>
      <c r="R63" s="170"/>
      <c r="S63" s="170"/>
      <c r="T63" s="170"/>
      <c r="U63" s="170"/>
      <c r="W63" s="405">
        <v>5</v>
      </c>
      <c r="X63" s="560">
        <v>8</v>
      </c>
      <c r="Y63" s="561">
        <v>8</v>
      </c>
      <c r="Z63" s="561">
        <v>8</v>
      </c>
      <c r="AA63" s="561">
        <v>8</v>
      </c>
      <c r="AB63" s="561">
        <v>8</v>
      </c>
      <c r="AC63" s="562">
        <v>8</v>
      </c>
      <c r="AD63" s="560">
        <v>8</v>
      </c>
      <c r="AE63" s="561">
        <v>8</v>
      </c>
      <c r="AF63" s="561">
        <v>8</v>
      </c>
      <c r="AG63" s="561">
        <v>8</v>
      </c>
      <c r="AH63" s="561">
        <v>8</v>
      </c>
      <c r="AI63" s="562">
        <v>8</v>
      </c>
      <c r="AJ63" s="560">
        <v>8</v>
      </c>
      <c r="AK63" s="561">
        <v>8</v>
      </c>
      <c r="AL63" s="561">
        <v>8</v>
      </c>
      <c r="AM63" s="561">
        <v>8</v>
      </c>
      <c r="AN63" s="561">
        <v>8</v>
      </c>
      <c r="AO63" s="562">
        <v>8</v>
      </c>
      <c r="AP63" s="560">
        <v>8</v>
      </c>
      <c r="AQ63" s="561">
        <v>8</v>
      </c>
      <c r="AR63" s="561">
        <v>8</v>
      </c>
      <c r="AS63" s="561">
        <v>4</v>
      </c>
      <c r="AT63" s="561">
        <v>5</v>
      </c>
      <c r="AU63" s="562">
        <v>8</v>
      </c>
      <c r="AV63" s="560">
        <v>8</v>
      </c>
      <c r="AW63" s="561">
        <v>8</v>
      </c>
      <c r="AX63" s="561">
        <v>8</v>
      </c>
      <c r="AY63" s="561">
        <v>8</v>
      </c>
      <c r="AZ63" s="561">
        <v>8</v>
      </c>
      <c r="BA63" s="562">
        <v>8</v>
      </c>
      <c r="BB63" s="560">
        <v>8</v>
      </c>
      <c r="BC63" s="561">
        <v>8</v>
      </c>
      <c r="BD63" s="561">
        <v>8</v>
      </c>
      <c r="BE63" s="561">
        <v>8</v>
      </c>
      <c r="BF63" s="561">
        <v>8</v>
      </c>
      <c r="BG63" s="562">
        <v>8</v>
      </c>
      <c r="BH63" s="467"/>
    </row>
    <row r="64" spans="2:60" ht="18" thickBot="1" x14ac:dyDescent="0.3">
      <c r="B64" s="799" t="s">
        <v>308</v>
      </c>
      <c r="C64" s="801" t="s">
        <v>314</v>
      </c>
      <c r="D64" s="571">
        <v>59</v>
      </c>
      <c r="E64" s="528" t="str">
        <f t="array" ref="E64">IF($D64&gt;Calc1!$B$14,"",ROW(59:59)-SUM((($L$6:$L63="")+($N$6:$N63="")&gt;0)*1))</f>
        <v/>
      </c>
      <c r="F64" s="173" t="str">
        <f>IF(OR($V$15,$D64&gt;Calc1!$B$14),"",$S$5+QUOTIENT(($E64-1),$V$11)*($S$7+$S$9)/1440+SUM($P$6:$P63)/1440)</f>
        <v/>
      </c>
      <c r="G64" s="175" t="str">
        <f>IF(OR($V$15,$D64&gt;Calc1!$B$14),"",MOD($E64-1,$V$11)+1)</f>
        <v/>
      </c>
      <c r="H64" s="309" t="str">
        <f t="shared" ca="1" si="0"/>
        <v/>
      </c>
      <c r="I64" s="330" t="str">
        <f ca="1"/>
        <v/>
      </c>
      <c r="J64" s="331" t="s">
        <v>4</v>
      </c>
      <c r="K64" s="332" t="str">
        <f ca="1"/>
        <v/>
      </c>
      <c r="L64" s="50" t="str">
        <f t="shared" ca="1" si="1"/>
        <v/>
      </c>
      <c r="M64" s="48" t="s">
        <v>4</v>
      </c>
      <c r="N64" s="49" t="str">
        <f t="shared" ca="1" si="2"/>
        <v/>
      </c>
      <c r="O64" s="349"/>
      <c r="P64" s="750"/>
      <c r="Q64" s="169"/>
      <c r="R64" s="170"/>
      <c r="S64" s="170"/>
      <c r="T64" s="170"/>
      <c r="U64" s="170"/>
      <c r="W64" s="406">
        <v>6</v>
      </c>
      <c r="X64" s="563">
        <v>8</v>
      </c>
      <c r="Y64" s="564">
        <v>8</v>
      </c>
      <c r="Z64" s="564">
        <v>8</v>
      </c>
      <c r="AA64" s="564">
        <v>8</v>
      </c>
      <c r="AB64" s="564">
        <v>8</v>
      </c>
      <c r="AC64" s="565">
        <v>8</v>
      </c>
      <c r="AD64" s="563">
        <v>8</v>
      </c>
      <c r="AE64" s="564">
        <v>8</v>
      </c>
      <c r="AF64" s="564">
        <v>8</v>
      </c>
      <c r="AG64" s="564">
        <v>8</v>
      </c>
      <c r="AH64" s="564">
        <v>8</v>
      </c>
      <c r="AI64" s="565">
        <v>8</v>
      </c>
      <c r="AJ64" s="563">
        <v>8</v>
      </c>
      <c r="AK64" s="564">
        <v>8</v>
      </c>
      <c r="AL64" s="564">
        <v>8</v>
      </c>
      <c r="AM64" s="564">
        <v>8</v>
      </c>
      <c r="AN64" s="564">
        <v>8</v>
      </c>
      <c r="AO64" s="565">
        <v>8</v>
      </c>
      <c r="AP64" s="563">
        <v>8</v>
      </c>
      <c r="AQ64" s="564">
        <v>8</v>
      </c>
      <c r="AR64" s="564">
        <v>8</v>
      </c>
      <c r="AS64" s="564">
        <v>8</v>
      </c>
      <c r="AT64" s="564">
        <v>8</v>
      </c>
      <c r="AU64" s="565">
        <v>8</v>
      </c>
      <c r="AV64" s="563">
        <v>8</v>
      </c>
      <c r="AW64" s="564">
        <v>8</v>
      </c>
      <c r="AX64" s="564">
        <v>8</v>
      </c>
      <c r="AY64" s="564">
        <v>8</v>
      </c>
      <c r="AZ64" s="564">
        <v>8</v>
      </c>
      <c r="BA64" s="565">
        <v>8</v>
      </c>
      <c r="BB64" s="563">
        <v>8</v>
      </c>
      <c r="BC64" s="564">
        <v>8</v>
      </c>
      <c r="BD64" s="564">
        <v>8</v>
      </c>
      <c r="BE64" s="564">
        <v>8</v>
      </c>
      <c r="BF64" s="564">
        <v>8</v>
      </c>
      <c r="BG64" s="565">
        <v>8</v>
      </c>
      <c r="BH64" s="467"/>
    </row>
    <row r="65" spans="2:60" ht="18.75" thickTop="1" thickBot="1" x14ac:dyDescent="0.3">
      <c r="B65" s="800"/>
      <c r="C65" s="802"/>
      <c r="D65" s="571">
        <v>60</v>
      </c>
      <c r="E65" s="529" t="str">
        <f t="array" ref="E65">IF($D65&gt;Calc1!$B$14,"",ROW(60:60)-SUM((($L$6:$L64="")+($N$6:$N64="")&gt;0)*1))</f>
        <v/>
      </c>
      <c r="F65" s="176" t="str">
        <f>IF(OR($V$15,$D65&gt;Calc1!$B$14),"",$S$5+QUOTIENT(($E65-1),$V$11)*($S$7+$S$9)/1440+SUM($P$6:$P64)/1440)</f>
        <v/>
      </c>
      <c r="G65" s="177" t="str">
        <f>IF(OR($V$15,$D65&gt;Calc1!$B$14),"",MOD($E65-1,$V$11)+1)</f>
        <v/>
      </c>
      <c r="H65" s="314" t="str">
        <f ca="1">IF($I65="","",IF(LEFT($I65,1)&lt;&gt;LEFT($K65,1),"??",LEFT($I65,1)))</f>
        <v/>
      </c>
      <c r="I65" s="333" t="str">
        <f ca="1"/>
        <v/>
      </c>
      <c r="J65" s="334" t="s">
        <v>4</v>
      </c>
      <c r="K65" s="335" t="str">
        <f ca="1"/>
        <v/>
      </c>
      <c r="L65" s="253" t="str">
        <f t="shared" ca="1" si="1"/>
        <v/>
      </c>
      <c r="M65" s="464" t="s">
        <v>4</v>
      </c>
      <c r="N65" s="254" t="str">
        <f t="shared" ca="1" si="2"/>
        <v/>
      </c>
      <c r="O65" s="374"/>
      <c r="P65" s="752"/>
      <c r="Q65" s="643">
        <f ca="1">OFFSET($P$6,Calc1!$B$14-1,0)</f>
        <v>0</v>
      </c>
      <c r="R65" s="170"/>
      <c r="S65" s="170"/>
      <c r="T65" s="170"/>
      <c r="U65" s="170"/>
      <c r="W65" s="405">
        <v>1</v>
      </c>
      <c r="X65" s="557">
        <v>8</v>
      </c>
      <c r="Y65" s="558">
        <v>8</v>
      </c>
      <c r="Z65" s="558">
        <v>8</v>
      </c>
      <c r="AA65" s="558">
        <v>8</v>
      </c>
      <c r="AB65" s="558">
        <v>8</v>
      </c>
      <c r="AC65" s="559">
        <v>8</v>
      </c>
      <c r="AD65" s="557">
        <v>8</v>
      </c>
      <c r="AE65" s="558">
        <v>8</v>
      </c>
      <c r="AF65" s="558">
        <v>8</v>
      </c>
      <c r="AG65" s="558">
        <v>8</v>
      </c>
      <c r="AH65" s="558">
        <v>8</v>
      </c>
      <c r="AI65" s="559">
        <v>8</v>
      </c>
      <c r="AJ65" s="557">
        <v>8</v>
      </c>
      <c r="AK65" s="558">
        <v>8</v>
      </c>
      <c r="AL65" s="558">
        <v>8</v>
      </c>
      <c r="AM65" s="558">
        <v>8</v>
      </c>
      <c r="AN65" s="558">
        <v>8</v>
      </c>
      <c r="AO65" s="559">
        <v>8</v>
      </c>
      <c r="AP65" s="557">
        <v>8</v>
      </c>
      <c r="AQ65" s="558">
        <v>8</v>
      </c>
      <c r="AR65" s="558">
        <v>8</v>
      </c>
      <c r="AS65" s="558">
        <v>8</v>
      </c>
      <c r="AT65" s="558">
        <v>8</v>
      </c>
      <c r="AU65" s="559">
        <v>8</v>
      </c>
      <c r="AV65" s="557">
        <v>8</v>
      </c>
      <c r="AW65" s="558">
        <v>8</v>
      </c>
      <c r="AX65" s="558">
        <v>8</v>
      </c>
      <c r="AY65" s="558">
        <v>8</v>
      </c>
      <c r="AZ65" s="558">
        <v>8</v>
      </c>
      <c r="BA65" s="559">
        <v>8</v>
      </c>
      <c r="BB65" s="557">
        <v>8</v>
      </c>
      <c r="BC65" s="558">
        <v>8</v>
      </c>
      <c r="BD65" s="558">
        <v>8</v>
      </c>
      <c r="BE65" s="558">
        <v>8</v>
      </c>
      <c r="BF65" s="558">
        <v>8</v>
      </c>
      <c r="BG65" s="559">
        <v>8</v>
      </c>
      <c r="BH65" s="466">
        <v>4</v>
      </c>
    </row>
    <row r="66" spans="2:60" ht="16.5" thickTop="1" x14ac:dyDescent="0.25">
      <c r="B66" s="799" t="s">
        <v>309</v>
      </c>
      <c r="C66" s="801" t="s">
        <v>315</v>
      </c>
      <c r="Q66" s="169"/>
      <c r="R66" s="170"/>
      <c r="S66" s="170"/>
      <c r="T66" s="170"/>
      <c r="U66" s="170"/>
      <c r="W66" s="405">
        <v>2</v>
      </c>
      <c r="X66" s="560">
        <v>8</v>
      </c>
      <c r="Y66" s="561">
        <v>8</v>
      </c>
      <c r="Z66" s="561">
        <v>8</v>
      </c>
      <c r="AA66" s="561">
        <v>8</v>
      </c>
      <c r="AB66" s="561">
        <v>8</v>
      </c>
      <c r="AC66" s="562">
        <v>8</v>
      </c>
      <c r="AD66" s="560">
        <v>8</v>
      </c>
      <c r="AE66" s="561">
        <v>8</v>
      </c>
      <c r="AF66" s="561">
        <v>8</v>
      </c>
      <c r="AG66" s="561">
        <v>8</v>
      </c>
      <c r="AH66" s="561">
        <v>8</v>
      </c>
      <c r="AI66" s="562">
        <v>8</v>
      </c>
      <c r="AJ66" s="560">
        <v>8</v>
      </c>
      <c r="AK66" s="561">
        <v>8</v>
      </c>
      <c r="AL66" s="561">
        <v>8</v>
      </c>
      <c r="AM66" s="561">
        <v>8</v>
      </c>
      <c r="AN66" s="561">
        <v>8</v>
      </c>
      <c r="AO66" s="562">
        <v>8</v>
      </c>
      <c r="AP66" s="560">
        <v>8</v>
      </c>
      <c r="AQ66" s="561">
        <v>8</v>
      </c>
      <c r="AR66" s="561">
        <v>8</v>
      </c>
      <c r="AS66" s="561">
        <v>8</v>
      </c>
      <c r="AT66" s="561">
        <v>8</v>
      </c>
      <c r="AU66" s="562">
        <v>8</v>
      </c>
      <c r="AV66" s="560">
        <v>8</v>
      </c>
      <c r="AW66" s="561">
        <v>8</v>
      </c>
      <c r="AX66" s="561">
        <v>8</v>
      </c>
      <c r="AY66" s="561">
        <v>8</v>
      </c>
      <c r="AZ66" s="561">
        <v>8</v>
      </c>
      <c r="BA66" s="562">
        <v>8</v>
      </c>
      <c r="BB66" s="560">
        <v>8</v>
      </c>
      <c r="BC66" s="561">
        <v>8</v>
      </c>
      <c r="BD66" s="561">
        <v>8</v>
      </c>
      <c r="BE66" s="561">
        <v>8</v>
      </c>
      <c r="BF66" s="561">
        <v>8</v>
      </c>
      <c r="BG66" s="562">
        <v>8</v>
      </c>
      <c r="BH66" s="467"/>
    </row>
    <row r="67" spans="2:60" x14ac:dyDescent="0.25">
      <c r="B67" s="800"/>
      <c r="C67" s="802"/>
      <c r="Q67" s="169"/>
      <c r="R67" s="170"/>
      <c r="S67" s="170"/>
      <c r="T67" s="170"/>
      <c r="U67" s="170"/>
      <c r="W67" s="405">
        <v>3</v>
      </c>
      <c r="X67" s="560">
        <v>8</v>
      </c>
      <c r="Y67" s="561">
        <v>8</v>
      </c>
      <c r="Z67" s="561">
        <v>8</v>
      </c>
      <c r="AA67" s="561">
        <v>8</v>
      </c>
      <c r="AB67" s="561">
        <v>8</v>
      </c>
      <c r="AC67" s="562">
        <v>8</v>
      </c>
      <c r="AD67" s="560">
        <v>8</v>
      </c>
      <c r="AE67" s="561">
        <v>8</v>
      </c>
      <c r="AF67" s="561">
        <v>8</v>
      </c>
      <c r="AG67" s="561">
        <v>8</v>
      </c>
      <c r="AH67" s="561">
        <v>8</v>
      </c>
      <c r="AI67" s="562">
        <v>8</v>
      </c>
      <c r="AJ67" s="560">
        <v>8</v>
      </c>
      <c r="AK67" s="561">
        <v>8</v>
      </c>
      <c r="AL67" s="561">
        <v>5</v>
      </c>
      <c r="AM67" s="561">
        <v>4</v>
      </c>
      <c r="AN67" s="561">
        <v>8</v>
      </c>
      <c r="AO67" s="562">
        <v>8</v>
      </c>
      <c r="AP67" s="560">
        <v>8</v>
      </c>
      <c r="AQ67" s="561">
        <v>8</v>
      </c>
      <c r="AR67" s="561">
        <v>8</v>
      </c>
      <c r="AS67" s="561">
        <v>8</v>
      </c>
      <c r="AT67" s="561">
        <v>8</v>
      </c>
      <c r="AU67" s="562">
        <v>8</v>
      </c>
      <c r="AV67" s="560">
        <v>8</v>
      </c>
      <c r="AW67" s="561">
        <v>8</v>
      </c>
      <c r="AX67" s="561">
        <v>8</v>
      </c>
      <c r="AY67" s="561">
        <v>8</v>
      </c>
      <c r="AZ67" s="561">
        <v>8</v>
      </c>
      <c r="BA67" s="562">
        <v>8</v>
      </c>
      <c r="BB67" s="560">
        <v>8</v>
      </c>
      <c r="BC67" s="561">
        <v>8</v>
      </c>
      <c r="BD67" s="561">
        <v>8</v>
      </c>
      <c r="BE67" s="561">
        <v>8</v>
      </c>
      <c r="BF67" s="561">
        <v>8</v>
      </c>
      <c r="BG67" s="562">
        <v>8</v>
      </c>
      <c r="BH67" s="467"/>
    </row>
    <row r="68" spans="2:60" x14ac:dyDescent="0.25">
      <c r="B68" s="799" t="s">
        <v>310</v>
      </c>
      <c r="C68" s="801"/>
      <c r="W68" s="405">
        <v>4</v>
      </c>
      <c r="X68" s="560">
        <v>8</v>
      </c>
      <c r="Y68" s="561">
        <v>8</v>
      </c>
      <c r="Z68" s="561">
        <v>8</v>
      </c>
      <c r="AA68" s="561">
        <v>8</v>
      </c>
      <c r="AB68" s="561">
        <v>8</v>
      </c>
      <c r="AC68" s="562">
        <v>8</v>
      </c>
      <c r="AD68" s="560">
        <v>8</v>
      </c>
      <c r="AE68" s="561">
        <v>8</v>
      </c>
      <c r="AF68" s="561">
        <v>8</v>
      </c>
      <c r="AG68" s="561">
        <v>8</v>
      </c>
      <c r="AH68" s="561">
        <v>8</v>
      </c>
      <c r="AI68" s="562">
        <v>8</v>
      </c>
      <c r="AJ68" s="560">
        <v>8</v>
      </c>
      <c r="AK68" s="561">
        <v>8</v>
      </c>
      <c r="AL68" s="561">
        <v>6</v>
      </c>
      <c r="AM68" s="561">
        <v>3</v>
      </c>
      <c r="AN68" s="561">
        <v>8</v>
      </c>
      <c r="AO68" s="562">
        <v>8</v>
      </c>
      <c r="AP68" s="560">
        <v>8</v>
      </c>
      <c r="AQ68" s="561">
        <v>8</v>
      </c>
      <c r="AR68" s="561">
        <v>8</v>
      </c>
      <c r="AS68" s="561">
        <v>4</v>
      </c>
      <c r="AT68" s="561">
        <v>5</v>
      </c>
      <c r="AU68" s="562">
        <v>8</v>
      </c>
      <c r="AV68" s="560">
        <v>8</v>
      </c>
      <c r="AW68" s="561">
        <v>8</v>
      </c>
      <c r="AX68" s="561">
        <v>8</v>
      </c>
      <c r="AY68" s="561">
        <v>8</v>
      </c>
      <c r="AZ68" s="561">
        <v>8</v>
      </c>
      <c r="BA68" s="562">
        <v>8</v>
      </c>
      <c r="BB68" s="560">
        <v>8</v>
      </c>
      <c r="BC68" s="561">
        <v>8</v>
      </c>
      <c r="BD68" s="561">
        <v>8</v>
      </c>
      <c r="BE68" s="561">
        <v>8</v>
      </c>
      <c r="BF68" s="561">
        <v>8</v>
      </c>
      <c r="BG68" s="562">
        <v>8</v>
      </c>
      <c r="BH68" s="467"/>
    </row>
    <row r="69" spans="2:60" ht="16.5" thickBot="1" x14ac:dyDescent="0.3">
      <c r="B69" s="803"/>
      <c r="C69" s="804"/>
      <c r="W69" s="405">
        <v>5</v>
      </c>
      <c r="X69" s="560">
        <v>8</v>
      </c>
      <c r="Y69" s="561">
        <v>8</v>
      </c>
      <c r="Z69" s="561">
        <v>8</v>
      </c>
      <c r="AA69" s="561">
        <v>8</v>
      </c>
      <c r="AB69" s="561">
        <v>8</v>
      </c>
      <c r="AC69" s="562">
        <v>8</v>
      </c>
      <c r="AD69" s="560">
        <v>8</v>
      </c>
      <c r="AE69" s="561">
        <v>8</v>
      </c>
      <c r="AF69" s="561">
        <v>8</v>
      </c>
      <c r="AG69" s="561">
        <v>8</v>
      </c>
      <c r="AH69" s="561">
        <v>8</v>
      </c>
      <c r="AI69" s="562">
        <v>8</v>
      </c>
      <c r="AJ69" s="560">
        <v>8</v>
      </c>
      <c r="AK69" s="561">
        <v>8</v>
      </c>
      <c r="AL69" s="561">
        <v>8</v>
      </c>
      <c r="AM69" s="561">
        <v>8</v>
      </c>
      <c r="AN69" s="561">
        <v>8</v>
      </c>
      <c r="AO69" s="562">
        <v>8</v>
      </c>
      <c r="AP69" s="560">
        <v>8</v>
      </c>
      <c r="AQ69" s="561">
        <v>8</v>
      </c>
      <c r="AR69" s="561">
        <v>8</v>
      </c>
      <c r="AS69" s="561">
        <v>5</v>
      </c>
      <c r="AT69" s="561">
        <v>6</v>
      </c>
      <c r="AU69" s="562">
        <v>8</v>
      </c>
      <c r="AV69" s="560">
        <v>8</v>
      </c>
      <c r="AW69" s="561">
        <v>8</v>
      </c>
      <c r="AX69" s="561">
        <v>8</v>
      </c>
      <c r="AY69" s="561">
        <v>8</v>
      </c>
      <c r="AZ69" s="561">
        <v>8</v>
      </c>
      <c r="BA69" s="562">
        <v>8</v>
      </c>
      <c r="BB69" s="560">
        <v>8</v>
      </c>
      <c r="BC69" s="561">
        <v>8</v>
      </c>
      <c r="BD69" s="561">
        <v>8</v>
      </c>
      <c r="BE69" s="561">
        <v>8</v>
      </c>
      <c r="BF69" s="561">
        <v>8</v>
      </c>
      <c r="BG69" s="562">
        <v>8</v>
      </c>
      <c r="BH69" s="467"/>
    </row>
    <row r="70" spans="2:60" ht="17.25" thickTop="1" thickBot="1" x14ac:dyDescent="0.3">
      <c r="W70" s="406">
        <v>6</v>
      </c>
      <c r="X70" s="563">
        <v>8</v>
      </c>
      <c r="Y70" s="564">
        <v>8</v>
      </c>
      <c r="Z70" s="564">
        <v>8</v>
      </c>
      <c r="AA70" s="564">
        <v>8</v>
      </c>
      <c r="AB70" s="564">
        <v>8</v>
      </c>
      <c r="AC70" s="565">
        <v>8</v>
      </c>
      <c r="AD70" s="563">
        <v>8</v>
      </c>
      <c r="AE70" s="564">
        <v>8</v>
      </c>
      <c r="AF70" s="564">
        <v>8</v>
      </c>
      <c r="AG70" s="564">
        <v>8</v>
      </c>
      <c r="AH70" s="564">
        <v>8</v>
      </c>
      <c r="AI70" s="565">
        <v>8</v>
      </c>
      <c r="AJ70" s="563">
        <v>8</v>
      </c>
      <c r="AK70" s="564">
        <v>8</v>
      </c>
      <c r="AL70" s="564">
        <v>8</v>
      </c>
      <c r="AM70" s="564">
        <v>8</v>
      </c>
      <c r="AN70" s="564">
        <v>8</v>
      </c>
      <c r="AO70" s="565">
        <v>8</v>
      </c>
      <c r="AP70" s="563">
        <v>8</v>
      </c>
      <c r="AQ70" s="564">
        <v>8</v>
      </c>
      <c r="AR70" s="564">
        <v>8</v>
      </c>
      <c r="AS70" s="564">
        <v>8</v>
      </c>
      <c r="AT70" s="564">
        <v>8</v>
      </c>
      <c r="AU70" s="565">
        <v>8</v>
      </c>
      <c r="AV70" s="563">
        <v>8</v>
      </c>
      <c r="AW70" s="564">
        <v>8</v>
      </c>
      <c r="AX70" s="564">
        <v>8</v>
      </c>
      <c r="AY70" s="564">
        <v>8</v>
      </c>
      <c r="AZ70" s="564">
        <v>8</v>
      </c>
      <c r="BA70" s="565">
        <v>8</v>
      </c>
      <c r="BB70" s="563">
        <v>8</v>
      </c>
      <c r="BC70" s="564">
        <v>8</v>
      </c>
      <c r="BD70" s="564">
        <v>8</v>
      </c>
      <c r="BE70" s="564">
        <v>8</v>
      </c>
      <c r="BF70" s="564">
        <v>8</v>
      </c>
      <c r="BG70" s="565">
        <v>8</v>
      </c>
      <c r="BH70" s="467"/>
    </row>
    <row r="71" spans="2:60" ht="16.5" thickTop="1" x14ac:dyDescent="0.25">
      <c r="W71" s="405">
        <v>1</v>
      </c>
      <c r="X71" s="557">
        <v>8</v>
      </c>
      <c r="Y71" s="558">
        <v>8</v>
      </c>
      <c r="Z71" s="558">
        <v>8</v>
      </c>
      <c r="AA71" s="558">
        <v>8</v>
      </c>
      <c r="AB71" s="558">
        <v>8</v>
      </c>
      <c r="AC71" s="559">
        <v>8</v>
      </c>
      <c r="AD71" s="557">
        <v>8</v>
      </c>
      <c r="AE71" s="558">
        <v>8</v>
      </c>
      <c r="AF71" s="558">
        <v>8</v>
      </c>
      <c r="AG71" s="558">
        <v>8</v>
      </c>
      <c r="AH71" s="558">
        <v>8</v>
      </c>
      <c r="AI71" s="559">
        <v>8</v>
      </c>
      <c r="AJ71" s="557">
        <v>8</v>
      </c>
      <c r="AK71" s="558">
        <v>8</v>
      </c>
      <c r="AL71" s="558">
        <v>8</v>
      </c>
      <c r="AM71" s="558">
        <v>8</v>
      </c>
      <c r="AN71" s="558">
        <v>8</v>
      </c>
      <c r="AO71" s="559">
        <v>8</v>
      </c>
      <c r="AP71" s="557">
        <v>8</v>
      </c>
      <c r="AQ71" s="558">
        <v>8</v>
      </c>
      <c r="AR71" s="558">
        <v>8</v>
      </c>
      <c r="AS71" s="558">
        <v>8</v>
      </c>
      <c r="AT71" s="558">
        <v>8</v>
      </c>
      <c r="AU71" s="559">
        <v>8</v>
      </c>
      <c r="AV71" s="557">
        <v>8</v>
      </c>
      <c r="AW71" s="558">
        <v>8</v>
      </c>
      <c r="AX71" s="558">
        <v>8</v>
      </c>
      <c r="AY71" s="558">
        <v>8</v>
      </c>
      <c r="AZ71" s="558">
        <v>8</v>
      </c>
      <c r="BA71" s="559">
        <v>8</v>
      </c>
      <c r="BB71" s="557">
        <v>8</v>
      </c>
      <c r="BC71" s="558">
        <v>8</v>
      </c>
      <c r="BD71" s="558">
        <v>8</v>
      </c>
      <c r="BE71" s="558">
        <v>8</v>
      </c>
      <c r="BF71" s="558">
        <v>8</v>
      </c>
      <c r="BG71" s="559">
        <v>8</v>
      </c>
      <c r="BH71" s="466">
        <v>5</v>
      </c>
    </row>
    <row r="72" spans="2:60" x14ac:dyDescent="0.25">
      <c r="W72" s="405">
        <v>2</v>
      </c>
      <c r="X72" s="560">
        <v>8</v>
      </c>
      <c r="Y72" s="561">
        <v>8</v>
      </c>
      <c r="Z72" s="561">
        <v>8</v>
      </c>
      <c r="AA72" s="561">
        <v>8</v>
      </c>
      <c r="AB72" s="561">
        <v>8</v>
      </c>
      <c r="AC72" s="562">
        <v>8</v>
      </c>
      <c r="AD72" s="560">
        <v>8</v>
      </c>
      <c r="AE72" s="561">
        <v>8</v>
      </c>
      <c r="AF72" s="561">
        <v>8</v>
      </c>
      <c r="AG72" s="561">
        <v>8</v>
      </c>
      <c r="AH72" s="561">
        <v>8</v>
      </c>
      <c r="AI72" s="562">
        <v>8</v>
      </c>
      <c r="AJ72" s="560">
        <v>8</v>
      </c>
      <c r="AK72" s="561">
        <v>8</v>
      </c>
      <c r="AL72" s="561">
        <v>8</v>
      </c>
      <c r="AM72" s="561">
        <v>8</v>
      </c>
      <c r="AN72" s="561">
        <v>8</v>
      </c>
      <c r="AO72" s="562">
        <v>8</v>
      </c>
      <c r="AP72" s="560">
        <v>8</v>
      </c>
      <c r="AQ72" s="561">
        <v>8</v>
      </c>
      <c r="AR72" s="561">
        <v>8</v>
      </c>
      <c r="AS72" s="561">
        <v>8</v>
      </c>
      <c r="AT72" s="561">
        <v>8</v>
      </c>
      <c r="AU72" s="562">
        <v>8</v>
      </c>
      <c r="AV72" s="560">
        <v>8</v>
      </c>
      <c r="AW72" s="561">
        <v>8</v>
      </c>
      <c r="AX72" s="561">
        <v>8</v>
      </c>
      <c r="AY72" s="561">
        <v>8</v>
      </c>
      <c r="AZ72" s="561">
        <v>8</v>
      </c>
      <c r="BA72" s="562">
        <v>8</v>
      </c>
      <c r="BB72" s="560">
        <v>8</v>
      </c>
      <c r="BC72" s="561">
        <v>8</v>
      </c>
      <c r="BD72" s="561">
        <v>8</v>
      </c>
      <c r="BE72" s="561">
        <v>8</v>
      </c>
      <c r="BF72" s="561">
        <v>8</v>
      </c>
      <c r="BG72" s="562">
        <v>8</v>
      </c>
      <c r="BH72" s="467"/>
    </row>
    <row r="73" spans="2:60" hidden="1" x14ac:dyDescent="0.25">
      <c r="W73" s="405">
        <v>3</v>
      </c>
      <c r="X73" s="560">
        <v>8</v>
      </c>
      <c r="Y73" s="561">
        <v>8</v>
      </c>
      <c r="Z73" s="561">
        <v>8</v>
      </c>
      <c r="AA73" s="561">
        <v>8</v>
      </c>
      <c r="AB73" s="561">
        <v>8</v>
      </c>
      <c r="AC73" s="562">
        <v>8</v>
      </c>
      <c r="AD73" s="560">
        <v>8</v>
      </c>
      <c r="AE73" s="561">
        <v>8</v>
      </c>
      <c r="AF73" s="561">
        <v>8</v>
      </c>
      <c r="AG73" s="561">
        <v>8</v>
      </c>
      <c r="AH73" s="561">
        <v>8</v>
      </c>
      <c r="AI73" s="562">
        <v>8</v>
      </c>
      <c r="AJ73" s="560">
        <v>8</v>
      </c>
      <c r="AK73" s="561">
        <v>8</v>
      </c>
      <c r="AL73" s="561">
        <v>8</v>
      </c>
      <c r="AM73" s="561">
        <v>8</v>
      </c>
      <c r="AN73" s="561">
        <v>8</v>
      </c>
      <c r="AO73" s="562">
        <v>8</v>
      </c>
      <c r="AP73" s="560">
        <v>8</v>
      </c>
      <c r="AQ73" s="561">
        <v>8</v>
      </c>
      <c r="AR73" s="561">
        <v>8</v>
      </c>
      <c r="AS73" s="561">
        <v>8</v>
      </c>
      <c r="AT73" s="561">
        <v>8</v>
      </c>
      <c r="AU73" s="562">
        <v>8</v>
      </c>
      <c r="AV73" s="560">
        <v>8</v>
      </c>
      <c r="AW73" s="561">
        <v>8</v>
      </c>
      <c r="AX73" s="561">
        <v>8</v>
      </c>
      <c r="AY73" s="561">
        <v>8</v>
      </c>
      <c r="AZ73" s="561">
        <v>8</v>
      </c>
      <c r="BA73" s="562">
        <v>8</v>
      </c>
      <c r="BB73" s="560">
        <v>8</v>
      </c>
      <c r="BC73" s="561">
        <v>8</v>
      </c>
      <c r="BD73" s="561">
        <v>8</v>
      </c>
      <c r="BE73" s="561">
        <v>8</v>
      </c>
      <c r="BF73" s="561">
        <v>8</v>
      </c>
      <c r="BG73" s="562">
        <v>8</v>
      </c>
      <c r="BH73" s="467"/>
    </row>
    <row r="74" spans="2:60" hidden="1" x14ac:dyDescent="0.25">
      <c r="W74" s="405">
        <v>4</v>
      </c>
      <c r="X74" s="560">
        <v>8</v>
      </c>
      <c r="Y74" s="561">
        <v>8</v>
      </c>
      <c r="Z74" s="561">
        <v>8</v>
      </c>
      <c r="AA74" s="561">
        <v>8</v>
      </c>
      <c r="AB74" s="561">
        <v>8</v>
      </c>
      <c r="AC74" s="562">
        <v>8</v>
      </c>
      <c r="AD74" s="560">
        <v>8</v>
      </c>
      <c r="AE74" s="561">
        <v>8</v>
      </c>
      <c r="AF74" s="561">
        <v>8</v>
      </c>
      <c r="AG74" s="561">
        <v>8</v>
      </c>
      <c r="AH74" s="561">
        <v>8</v>
      </c>
      <c r="AI74" s="562">
        <v>8</v>
      </c>
      <c r="AJ74" s="560">
        <v>8</v>
      </c>
      <c r="AK74" s="561">
        <v>8</v>
      </c>
      <c r="AL74" s="561">
        <v>8</v>
      </c>
      <c r="AM74" s="561">
        <v>8</v>
      </c>
      <c r="AN74" s="561">
        <v>8</v>
      </c>
      <c r="AO74" s="562">
        <v>8</v>
      </c>
      <c r="AP74" s="560">
        <v>8</v>
      </c>
      <c r="AQ74" s="561">
        <v>8</v>
      </c>
      <c r="AR74" s="561">
        <v>8</v>
      </c>
      <c r="AS74" s="561">
        <v>8</v>
      </c>
      <c r="AT74" s="561">
        <v>8</v>
      </c>
      <c r="AU74" s="562">
        <v>8</v>
      </c>
      <c r="AV74" s="560">
        <v>8</v>
      </c>
      <c r="AW74" s="561">
        <v>8</v>
      </c>
      <c r="AX74" s="561">
        <v>8</v>
      </c>
      <c r="AY74" s="561">
        <v>8</v>
      </c>
      <c r="AZ74" s="561">
        <v>8</v>
      </c>
      <c r="BA74" s="562">
        <v>8</v>
      </c>
      <c r="BB74" s="560">
        <v>8</v>
      </c>
      <c r="BC74" s="561">
        <v>8</v>
      </c>
      <c r="BD74" s="561">
        <v>8</v>
      </c>
      <c r="BE74" s="561">
        <v>8</v>
      </c>
      <c r="BF74" s="561">
        <v>8</v>
      </c>
      <c r="BG74" s="562">
        <v>8</v>
      </c>
      <c r="BH74" s="467"/>
    </row>
    <row r="75" spans="2:60" hidden="1" x14ac:dyDescent="0.25">
      <c r="W75" s="405">
        <v>5</v>
      </c>
      <c r="X75" s="560">
        <v>8</v>
      </c>
      <c r="Y75" s="561">
        <v>8</v>
      </c>
      <c r="Z75" s="561">
        <v>8</v>
      </c>
      <c r="AA75" s="561">
        <v>8</v>
      </c>
      <c r="AB75" s="561">
        <v>8</v>
      </c>
      <c r="AC75" s="562">
        <v>8</v>
      </c>
      <c r="AD75" s="560">
        <v>8</v>
      </c>
      <c r="AE75" s="561">
        <v>8</v>
      </c>
      <c r="AF75" s="561">
        <v>8</v>
      </c>
      <c r="AG75" s="561">
        <v>8</v>
      </c>
      <c r="AH75" s="561">
        <v>8</v>
      </c>
      <c r="AI75" s="562">
        <v>8</v>
      </c>
      <c r="AJ75" s="560">
        <v>8</v>
      </c>
      <c r="AK75" s="561">
        <v>8</v>
      </c>
      <c r="AL75" s="561">
        <v>8</v>
      </c>
      <c r="AM75" s="561">
        <v>8</v>
      </c>
      <c r="AN75" s="561">
        <v>8</v>
      </c>
      <c r="AO75" s="562">
        <v>8</v>
      </c>
      <c r="AP75" s="560">
        <v>8</v>
      </c>
      <c r="AQ75" s="561">
        <v>8</v>
      </c>
      <c r="AR75" s="561">
        <v>8</v>
      </c>
      <c r="AS75" s="561">
        <v>8</v>
      </c>
      <c r="AT75" s="561">
        <v>8</v>
      </c>
      <c r="AU75" s="562">
        <v>8</v>
      </c>
      <c r="AV75" s="560">
        <v>8</v>
      </c>
      <c r="AW75" s="561">
        <v>8</v>
      </c>
      <c r="AX75" s="561">
        <v>8</v>
      </c>
      <c r="AY75" s="561">
        <v>8</v>
      </c>
      <c r="AZ75" s="561">
        <v>6</v>
      </c>
      <c r="BA75" s="562">
        <v>5</v>
      </c>
      <c r="BB75" s="560">
        <v>8</v>
      </c>
      <c r="BC75" s="561">
        <v>8</v>
      </c>
      <c r="BD75" s="561">
        <v>8</v>
      </c>
      <c r="BE75" s="561">
        <v>8</v>
      </c>
      <c r="BF75" s="561">
        <v>5</v>
      </c>
      <c r="BG75" s="562">
        <v>6</v>
      </c>
      <c r="BH75" s="467"/>
    </row>
    <row r="76" spans="2:60" ht="16.5" hidden="1" thickBot="1" x14ac:dyDescent="0.3">
      <c r="W76" s="406">
        <v>6</v>
      </c>
      <c r="X76" s="563">
        <v>8</v>
      </c>
      <c r="Y76" s="564">
        <v>8</v>
      </c>
      <c r="Z76" s="564">
        <v>8</v>
      </c>
      <c r="AA76" s="564">
        <v>8</v>
      </c>
      <c r="AB76" s="564">
        <v>8</v>
      </c>
      <c r="AC76" s="565">
        <v>8</v>
      </c>
      <c r="AD76" s="563">
        <v>8</v>
      </c>
      <c r="AE76" s="564">
        <v>8</v>
      </c>
      <c r="AF76" s="564">
        <v>8</v>
      </c>
      <c r="AG76" s="564">
        <v>8</v>
      </c>
      <c r="AH76" s="564">
        <v>8</v>
      </c>
      <c r="AI76" s="565">
        <v>8</v>
      </c>
      <c r="AJ76" s="563">
        <v>8</v>
      </c>
      <c r="AK76" s="564">
        <v>8</v>
      </c>
      <c r="AL76" s="564">
        <v>8</v>
      </c>
      <c r="AM76" s="564">
        <v>8</v>
      </c>
      <c r="AN76" s="564">
        <v>8</v>
      </c>
      <c r="AO76" s="565">
        <v>8</v>
      </c>
      <c r="AP76" s="563">
        <v>8</v>
      </c>
      <c r="AQ76" s="564">
        <v>8</v>
      </c>
      <c r="AR76" s="564">
        <v>8</v>
      </c>
      <c r="AS76" s="564">
        <v>8</v>
      </c>
      <c r="AT76" s="564">
        <v>8</v>
      </c>
      <c r="AU76" s="565">
        <v>8</v>
      </c>
      <c r="AV76" s="563">
        <v>8</v>
      </c>
      <c r="AW76" s="564">
        <v>8</v>
      </c>
      <c r="AX76" s="564">
        <v>8</v>
      </c>
      <c r="AY76" s="564">
        <v>8</v>
      </c>
      <c r="AZ76" s="564">
        <v>5</v>
      </c>
      <c r="BA76" s="565">
        <v>6</v>
      </c>
      <c r="BB76" s="563">
        <v>8</v>
      </c>
      <c r="BC76" s="564">
        <v>8</v>
      </c>
      <c r="BD76" s="564">
        <v>8</v>
      </c>
      <c r="BE76" s="564">
        <v>8</v>
      </c>
      <c r="BF76" s="564">
        <v>6</v>
      </c>
      <c r="BG76" s="565">
        <v>6</v>
      </c>
      <c r="BH76" s="467"/>
    </row>
    <row r="77" spans="2:60" ht="16.5" hidden="1" thickTop="1" x14ac:dyDescent="0.25">
      <c r="W77" s="405">
        <v>1</v>
      </c>
      <c r="X77" s="557">
        <v>8</v>
      </c>
      <c r="Y77" s="558">
        <v>8</v>
      </c>
      <c r="Z77" s="558">
        <v>8</v>
      </c>
      <c r="AA77" s="558">
        <v>8</v>
      </c>
      <c r="AB77" s="558">
        <v>8</v>
      </c>
      <c r="AC77" s="559">
        <v>8</v>
      </c>
      <c r="AD77" s="557">
        <v>8</v>
      </c>
      <c r="AE77" s="558">
        <v>8</v>
      </c>
      <c r="AF77" s="558">
        <v>8</v>
      </c>
      <c r="AG77" s="558">
        <v>8</v>
      </c>
      <c r="AH77" s="558">
        <v>8</v>
      </c>
      <c r="AI77" s="559">
        <v>8</v>
      </c>
      <c r="AJ77" s="557">
        <v>8</v>
      </c>
      <c r="AK77" s="558">
        <v>8</v>
      </c>
      <c r="AL77" s="558">
        <v>8</v>
      </c>
      <c r="AM77" s="558">
        <v>8</v>
      </c>
      <c r="AN77" s="558">
        <v>8</v>
      </c>
      <c r="AO77" s="559">
        <v>8</v>
      </c>
      <c r="AP77" s="557">
        <v>8</v>
      </c>
      <c r="AQ77" s="558">
        <v>8</v>
      </c>
      <c r="AR77" s="558">
        <v>8</v>
      </c>
      <c r="AS77" s="558">
        <v>8</v>
      </c>
      <c r="AT77" s="558">
        <v>8</v>
      </c>
      <c r="AU77" s="559">
        <v>8</v>
      </c>
      <c r="AV77" s="557">
        <v>8</v>
      </c>
      <c r="AW77" s="558">
        <v>8</v>
      </c>
      <c r="AX77" s="558">
        <v>8</v>
      </c>
      <c r="AY77" s="558">
        <v>8</v>
      </c>
      <c r="AZ77" s="558">
        <v>8</v>
      </c>
      <c r="BA77" s="559">
        <v>8</v>
      </c>
      <c r="BB77" s="557">
        <v>8</v>
      </c>
      <c r="BC77" s="558">
        <v>8</v>
      </c>
      <c r="BD77" s="558">
        <v>8</v>
      </c>
      <c r="BE77" s="558">
        <v>8</v>
      </c>
      <c r="BF77" s="558">
        <v>8</v>
      </c>
      <c r="BG77" s="559">
        <v>8</v>
      </c>
      <c r="BH77" s="466">
        <v>6</v>
      </c>
    </row>
    <row r="78" spans="2:60" hidden="1" x14ac:dyDescent="0.25">
      <c r="W78" s="405">
        <v>2</v>
      </c>
      <c r="X78" s="560">
        <v>8</v>
      </c>
      <c r="Y78" s="561">
        <v>8</v>
      </c>
      <c r="Z78" s="561">
        <v>8</v>
      </c>
      <c r="AA78" s="561">
        <v>8</v>
      </c>
      <c r="AB78" s="561">
        <v>8</v>
      </c>
      <c r="AC78" s="562">
        <v>8</v>
      </c>
      <c r="AD78" s="560">
        <v>8</v>
      </c>
      <c r="AE78" s="561">
        <v>8</v>
      </c>
      <c r="AF78" s="561">
        <v>8</v>
      </c>
      <c r="AG78" s="561">
        <v>8</v>
      </c>
      <c r="AH78" s="561">
        <v>8</v>
      </c>
      <c r="AI78" s="562">
        <v>8</v>
      </c>
      <c r="AJ78" s="560">
        <v>8</v>
      </c>
      <c r="AK78" s="561">
        <v>8</v>
      </c>
      <c r="AL78" s="561">
        <v>8</v>
      </c>
      <c r="AM78" s="561">
        <v>8</v>
      </c>
      <c r="AN78" s="561">
        <v>8</v>
      </c>
      <c r="AO78" s="562">
        <v>8</v>
      </c>
      <c r="AP78" s="560">
        <v>8</v>
      </c>
      <c r="AQ78" s="561">
        <v>8</v>
      </c>
      <c r="AR78" s="561">
        <v>8</v>
      </c>
      <c r="AS78" s="561">
        <v>8</v>
      </c>
      <c r="AT78" s="561">
        <v>8</v>
      </c>
      <c r="AU78" s="562">
        <v>8</v>
      </c>
      <c r="AV78" s="560">
        <v>8</v>
      </c>
      <c r="AW78" s="561">
        <v>8</v>
      </c>
      <c r="AX78" s="561">
        <v>8</v>
      </c>
      <c r="AY78" s="561">
        <v>8</v>
      </c>
      <c r="AZ78" s="561">
        <v>8</v>
      </c>
      <c r="BA78" s="562">
        <v>8</v>
      </c>
      <c r="BB78" s="560">
        <v>8</v>
      </c>
      <c r="BC78" s="561">
        <v>8</v>
      </c>
      <c r="BD78" s="561">
        <v>8</v>
      </c>
      <c r="BE78" s="561">
        <v>8</v>
      </c>
      <c r="BF78" s="561">
        <v>8</v>
      </c>
      <c r="BG78" s="562">
        <v>8</v>
      </c>
    </row>
    <row r="79" spans="2:60" hidden="1" x14ac:dyDescent="0.25">
      <c r="W79" s="405">
        <v>3</v>
      </c>
      <c r="X79" s="560">
        <v>8</v>
      </c>
      <c r="Y79" s="561">
        <v>8</v>
      </c>
      <c r="Z79" s="561">
        <v>8</v>
      </c>
      <c r="AA79" s="561">
        <v>8</v>
      </c>
      <c r="AB79" s="561">
        <v>8</v>
      </c>
      <c r="AC79" s="562">
        <v>8</v>
      </c>
      <c r="AD79" s="560">
        <v>8</v>
      </c>
      <c r="AE79" s="561">
        <v>8</v>
      </c>
      <c r="AF79" s="561">
        <v>8</v>
      </c>
      <c r="AG79" s="561">
        <v>8</v>
      </c>
      <c r="AH79" s="561">
        <v>8</v>
      </c>
      <c r="AI79" s="562">
        <v>8</v>
      </c>
      <c r="AJ79" s="560">
        <v>8</v>
      </c>
      <c r="AK79" s="561">
        <v>8</v>
      </c>
      <c r="AL79" s="561">
        <v>8</v>
      </c>
      <c r="AM79" s="561">
        <v>8</v>
      </c>
      <c r="AN79" s="561">
        <v>8</v>
      </c>
      <c r="AO79" s="562">
        <v>8</v>
      </c>
      <c r="AP79" s="560">
        <v>8</v>
      </c>
      <c r="AQ79" s="561">
        <v>8</v>
      </c>
      <c r="AR79" s="561">
        <v>8</v>
      </c>
      <c r="AS79" s="561">
        <v>8</v>
      </c>
      <c r="AT79" s="561">
        <v>8</v>
      </c>
      <c r="AU79" s="562">
        <v>8</v>
      </c>
      <c r="AV79" s="560">
        <v>8</v>
      </c>
      <c r="AW79" s="561">
        <v>8</v>
      </c>
      <c r="AX79" s="561">
        <v>8</v>
      </c>
      <c r="AY79" s="561">
        <v>8</v>
      </c>
      <c r="AZ79" s="561">
        <v>8</v>
      </c>
      <c r="BA79" s="562">
        <v>8</v>
      </c>
      <c r="BB79" s="560">
        <v>8</v>
      </c>
      <c r="BC79" s="561">
        <v>8</v>
      </c>
      <c r="BD79" s="561">
        <v>8</v>
      </c>
      <c r="BE79" s="561">
        <v>8</v>
      </c>
      <c r="BF79" s="561">
        <v>8</v>
      </c>
      <c r="BG79" s="562">
        <v>8</v>
      </c>
    </row>
    <row r="80" spans="2:60" hidden="1" x14ac:dyDescent="0.25">
      <c r="W80" s="405">
        <v>4</v>
      </c>
      <c r="X80" s="560">
        <v>8</v>
      </c>
      <c r="Y80" s="561">
        <v>8</v>
      </c>
      <c r="Z80" s="561">
        <v>8</v>
      </c>
      <c r="AA80" s="561">
        <v>8</v>
      </c>
      <c r="AB80" s="561">
        <v>8</v>
      </c>
      <c r="AC80" s="562">
        <v>8</v>
      </c>
      <c r="AD80" s="560">
        <v>8</v>
      </c>
      <c r="AE80" s="561">
        <v>8</v>
      </c>
      <c r="AF80" s="561">
        <v>8</v>
      </c>
      <c r="AG80" s="561">
        <v>8</v>
      </c>
      <c r="AH80" s="561">
        <v>8</v>
      </c>
      <c r="AI80" s="562">
        <v>8</v>
      </c>
      <c r="AJ80" s="560">
        <v>8</v>
      </c>
      <c r="AK80" s="561">
        <v>8</v>
      </c>
      <c r="AL80" s="561">
        <v>8</v>
      </c>
      <c r="AM80" s="561">
        <v>8</v>
      </c>
      <c r="AN80" s="561">
        <v>8</v>
      </c>
      <c r="AO80" s="562">
        <v>8</v>
      </c>
      <c r="AP80" s="560">
        <v>8</v>
      </c>
      <c r="AQ80" s="561">
        <v>8</v>
      </c>
      <c r="AR80" s="561">
        <v>8</v>
      </c>
      <c r="AS80" s="561">
        <v>8</v>
      </c>
      <c r="AT80" s="561">
        <v>8</v>
      </c>
      <c r="AU80" s="562">
        <v>8</v>
      </c>
      <c r="AV80" s="560">
        <v>8</v>
      </c>
      <c r="AW80" s="561">
        <v>8</v>
      </c>
      <c r="AX80" s="561">
        <v>8</v>
      </c>
      <c r="AY80" s="561">
        <v>8</v>
      </c>
      <c r="AZ80" s="561">
        <v>8</v>
      </c>
      <c r="BA80" s="562">
        <v>8</v>
      </c>
      <c r="BB80" s="560">
        <v>8</v>
      </c>
      <c r="BC80" s="561">
        <v>8</v>
      </c>
      <c r="BD80" s="561">
        <v>8</v>
      </c>
      <c r="BE80" s="561">
        <v>8</v>
      </c>
      <c r="BF80" s="561">
        <v>8</v>
      </c>
      <c r="BG80" s="562">
        <v>8</v>
      </c>
    </row>
    <row r="81" spans="23:59" hidden="1" x14ac:dyDescent="0.25">
      <c r="W81" s="405">
        <v>5</v>
      </c>
      <c r="X81" s="560">
        <v>8</v>
      </c>
      <c r="Y81" s="561">
        <v>8</v>
      </c>
      <c r="Z81" s="561">
        <v>8</v>
      </c>
      <c r="AA81" s="561">
        <v>8</v>
      </c>
      <c r="AB81" s="561">
        <v>8</v>
      </c>
      <c r="AC81" s="562">
        <v>8</v>
      </c>
      <c r="AD81" s="560">
        <v>8</v>
      </c>
      <c r="AE81" s="561">
        <v>8</v>
      </c>
      <c r="AF81" s="561">
        <v>8</v>
      </c>
      <c r="AG81" s="561">
        <v>8</v>
      </c>
      <c r="AH81" s="561">
        <v>8</v>
      </c>
      <c r="AI81" s="562">
        <v>8</v>
      </c>
      <c r="AJ81" s="560">
        <v>8</v>
      </c>
      <c r="AK81" s="561">
        <v>8</v>
      </c>
      <c r="AL81" s="561">
        <v>8</v>
      </c>
      <c r="AM81" s="561">
        <v>8</v>
      </c>
      <c r="AN81" s="561">
        <v>8</v>
      </c>
      <c r="AO81" s="562">
        <v>8</v>
      </c>
      <c r="AP81" s="560">
        <v>8</v>
      </c>
      <c r="AQ81" s="561">
        <v>8</v>
      </c>
      <c r="AR81" s="561">
        <v>8</v>
      </c>
      <c r="AS81" s="561">
        <v>8</v>
      </c>
      <c r="AT81" s="561">
        <v>8</v>
      </c>
      <c r="AU81" s="562">
        <v>8</v>
      </c>
      <c r="AV81" s="560">
        <v>8</v>
      </c>
      <c r="AW81" s="561">
        <v>8</v>
      </c>
      <c r="AX81" s="561">
        <v>8</v>
      </c>
      <c r="AY81" s="561">
        <v>8</v>
      </c>
      <c r="AZ81" s="561">
        <v>5</v>
      </c>
      <c r="BA81" s="562">
        <v>6</v>
      </c>
      <c r="BB81" s="560">
        <v>8</v>
      </c>
      <c r="BC81" s="561">
        <v>8</v>
      </c>
      <c r="BD81" s="561">
        <v>8</v>
      </c>
      <c r="BE81" s="561">
        <v>8</v>
      </c>
      <c r="BF81" s="561">
        <v>6</v>
      </c>
      <c r="BG81" s="562">
        <v>6</v>
      </c>
    </row>
    <row r="82" spans="23:59" ht="16.5" hidden="1" thickBot="1" x14ac:dyDescent="0.3">
      <c r="W82" s="406">
        <v>6</v>
      </c>
      <c r="X82" s="563">
        <v>8</v>
      </c>
      <c r="Y82" s="564">
        <v>8</v>
      </c>
      <c r="Z82" s="564">
        <v>8</v>
      </c>
      <c r="AA82" s="564">
        <v>8</v>
      </c>
      <c r="AB82" s="564">
        <v>8</v>
      </c>
      <c r="AC82" s="565">
        <v>8</v>
      </c>
      <c r="AD82" s="563">
        <v>8</v>
      </c>
      <c r="AE82" s="564">
        <v>8</v>
      </c>
      <c r="AF82" s="564">
        <v>8</v>
      </c>
      <c r="AG82" s="564">
        <v>8</v>
      </c>
      <c r="AH82" s="564">
        <v>8</v>
      </c>
      <c r="AI82" s="565">
        <v>8</v>
      </c>
      <c r="AJ82" s="563">
        <v>8</v>
      </c>
      <c r="AK82" s="564">
        <v>8</v>
      </c>
      <c r="AL82" s="564">
        <v>8</v>
      </c>
      <c r="AM82" s="564">
        <v>8</v>
      </c>
      <c r="AN82" s="564">
        <v>8</v>
      </c>
      <c r="AO82" s="565">
        <v>8</v>
      </c>
      <c r="AP82" s="563">
        <v>8</v>
      </c>
      <c r="AQ82" s="564">
        <v>8</v>
      </c>
      <c r="AR82" s="564">
        <v>8</v>
      </c>
      <c r="AS82" s="564">
        <v>8</v>
      </c>
      <c r="AT82" s="564">
        <v>8</v>
      </c>
      <c r="AU82" s="565">
        <v>8</v>
      </c>
      <c r="AV82" s="563">
        <v>8</v>
      </c>
      <c r="AW82" s="564">
        <v>8</v>
      </c>
      <c r="AX82" s="564">
        <v>8</v>
      </c>
      <c r="AY82" s="564">
        <v>8</v>
      </c>
      <c r="AZ82" s="564">
        <v>6</v>
      </c>
      <c r="BA82" s="565">
        <v>6</v>
      </c>
      <c r="BB82" s="563">
        <v>8</v>
      </c>
      <c r="BC82" s="564">
        <v>8</v>
      </c>
      <c r="BD82" s="564">
        <v>8</v>
      </c>
      <c r="BE82" s="564">
        <v>8</v>
      </c>
      <c r="BF82" s="564">
        <v>6</v>
      </c>
      <c r="BG82" s="565">
        <v>6</v>
      </c>
    </row>
    <row r="83" spans="23:59" ht="16.5" hidden="1" thickTop="1" x14ac:dyDescent="0.25"/>
  </sheetData>
  <sheetProtection sheet="1" selectLockedCells="1"/>
  <mergeCells count="85">
    <mergeCell ref="R22:T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R25:T25"/>
    <mergeCell ref="C17:C18"/>
    <mergeCell ref="B20:B21"/>
    <mergeCell ref="C20:C21"/>
    <mergeCell ref="B15:B16"/>
    <mergeCell ref="C15:C16"/>
    <mergeCell ref="B17:B18"/>
    <mergeCell ref="B13:B14"/>
    <mergeCell ref="C13:C14"/>
    <mergeCell ref="R13:R14"/>
    <mergeCell ref="S13:S14"/>
    <mergeCell ref="T13:T14"/>
    <mergeCell ref="S9:S10"/>
    <mergeCell ref="T9:T10"/>
    <mergeCell ref="B11:B12"/>
    <mergeCell ref="C11:C12"/>
    <mergeCell ref="R11:R12"/>
    <mergeCell ref="S11:S12"/>
    <mergeCell ref="T11:T12"/>
    <mergeCell ref="B9:B10"/>
    <mergeCell ref="C9:C10"/>
    <mergeCell ref="R9:R10"/>
    <mergeCell ref="R5:R6"/>
    <mergeCell ref="S5:S6"/>
    <mergeCell ref="T5:T6"/>
    <mergeCell ref="B7:B8"/>
    <mergeCell ref="C7:C8"/>
    <mergeCell ref="R7:R8"/>
    <mergeCell ref="S7:S8"/>
    <mergeCell ref="T7:T8"/>
    <mergeCell ref="E2:N2"/>
    <mergeCell ref="E4:F4"/>
    <mergeCell ref="P4:P5"/>
    <mergeCell ref="B5:B6"/>
    <mergeCell ref="C5:C6"/>
    <mergeCell ref="I5:K5"/>
    <mergeCell ref="L5:N5"/>
    <mergeCell ref="B37:B38"/>
    <mergeCell ref="C37:C38"/>
    <mergeCell ref="B39:B40"/>
    <mergeCell ref="C39:C40"/>
    <mergeCell ref="B41:B42"/>
    <mergeCell ref="C41:C42"/>
    <mergeCell ref="B43:B44"/>
    <mergeCell ref="C43:C44"/>
    <mergeCell ref="B45:B46"/>
    <mergeCell ref="C45:C46"/>
    <mergeCell ref="B47:B48"/>
    <mergeCell ref="C47:C48"/>
    <mergeCell ref="C58:C59"/>
    <mergeCell ref="B49:B50"/>
    <mergeCell ref="C49:C50"/>
    <mergeCell ref="B51:B52"/>
    <mergeCell ref="C51:C52"/>
    <mergeCell ref="R26:T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s>
  <conditionalFormatting sqref="R22:T23">
    <cfRule type="expression" dxfId="49" priority="55">
      <formula>$S$11&gt;$V$11</formula>
    </cfRule>
  </conditionalFormatting>
  <conditionalFormatting sqref="C7:C18 C24:C35 C41:C52 C58:C69">
    <cfRule type="duplicateValues" dxfId="48" priority="12"/>
  </conditionalFormatting>
  <conditionalFormatting sqref="X6:BG41">
    <cfRule type="expression" dxfId="47" priority="7">
      <formula>X6&lt;7</formula>
    </cfRule>
  </conditionalFormatting>
  <conditionalFormatting sqref="X47:BG82">
    <cfRule type="expression" dxfId="46" priority="4">
      <formula>X47&lt;7</formula>
    </cfRule>
  </conditionalFormatting>
  <conditionalFormatting sqref="H6:H65">
    <cfRule type="expression" dxfId="45" priority="3">
      <formula>$H6="??"</formula>
    </cfRule>
  </conditionalFormatting>
  <conditionalFormatting sqref="E6:N65">
    <cfRule type="expression" dxfId="44" priority="436">
      <formula>AND($L6&lt;&gt;"",$N6&lt;&gt;"",OR($E6=$S$24,$E6=$T$24),NOT($V$15))</formula>
    </cfRule>
    <cfRule type="expression" dxfId="43"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S5:S6" xr:uid="{ABADACB9-80D4-41E7-9EE7-5D7969913C18}">
      <formula1>0</formula1>
      <formula2>0.999305555555556</formula2>
    </dataValidation>
    <dataValidation type="whole" allowBlank="1" showInputMessage="1" showErrorMessage="1" sqref="S11:S12" xr:uid="{0240EE7E-BDB9-4DC0-97E3-48C8F4218C8A}">
      <formula1>1</formula1>
      <formula2>6</formula2>
    </dataValidation>
    <dataValidation type="whole" allowBlank="1" showInputMessage="1" showErrorMessage="1" sqref="S9:S10" xr:uid="{1488E6B3-9147-4B3B-A84A-C90AFC62EE8F}">
      <formula1>0</formula1>
      <formula2>120</formula2>
    </dataValidation>
    <dataValidation type="whole" allowBlank="1" showInputMessage="1" showErrorMessage="1" sqref="S7:S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5"/>
    <col min="3" max="3" width="21.85546875" style="104" customWidth="1"/>
    <col min="4" max="4" width="8.28515625" style="448" customWidth="1"/>
    <col min="5" max="5" width="14.140625" style="165" customWidth="1"/>
    <col min="6" max="6" width="14.28515625" style="165" customWidth="1"/>
    <col min="7" max="7" width="17.5703125" style="165" customWidth="1"/>
    <col min="8" max="8" width="5.7109375" style="165" customWidth="1"/>
    <col min="9" max="17" width="4.7109375" style="165" customWidth="1"/>
    <col min="18" max="44" width="4.7109375" customWidth="1"/>
  </cols>
  <sheetData>
    <row r="1" spans="2:44" ht="13.5" thickBot="1" x14ac:dyDescent="0.25"/>
    <row r="2" spans="2:44" ht="24.75" customHeight="1" thickTop="1" thickBot="1" x14ac:dyDescent="0.25">
      <c r="D2" s="453"/>
      <c r="E2" s="452">
        <f ca="1">COUNTIF($C$3:$C$122,"")</f>
        <v>0</v>
      </c>
      <c r="F2" s="452">
        <f t="array" aca="1" ref="F2" ca="1">SUMPRODUCT(($C$3:$C$122&lt;&gt;"")/($D$3:$D$122+($C$3:$C$122="")))</f>
        <v>120</v>
      </c>
      <c r="G2" s="458" t="str">
        <f ca="1">IF(E2+F2&lt;120,"FEHLER","okay")</f>
        <v>okay</v>
      </c>
      <c r="H2" s="452"/>
    </row>
    <row r="3" spans="2:44" ht="13.5" thickTop="1" x14ac:dyDescent="0.2">
      <c r="B3" s="165">
        <v>1</v>
      </c>
      <c r="C3" s="104" t="str">
        <f ca="1">IF(OR(Planung!$L6="",Planung!$N6=""),"Z"&amp;ROW($M6),Planung!$I6&amp;Planung!$F6)</f>
        <v>A50,375</v>
      </c>
      <c r="D3" s="455">
        <f t="array" aca="1" ref="D3:D122" ca="1">COUNTIF($C$3:$C$122,$C$3:$C$122)</f>
        <v>1</v>
      </c>
      <c r="E3" s="455" t="e">
        <f ca="1">IF($F$8&gt;60,$F$8-60,$F$8)</f>
        <v>#NUM!</v>
      </c>
      <c r="F3" s="408" t="s">
        <v>340</v>
      </c>
      <c r="G3" s="448"/>
    </row>
    <row r="4" spans="2:44" x14ac:dyDescent="0.2">
      <c r="B4" s="165">
        <v>2</v>
      </c>
      <c r="C4" s="104" t="str">
        <f ca="1">IF(OR(Planung!$L7="",Planung!$N7=""),"Z"&amp;ROW($M7),Planung!$I7&amp;Planung!$F7)</f>
        <v>B50,375</v>
      </c>
      <c r="D4" s="455">
        <f ca="1"/>
        <v>1</v>
      </c>
      <c r="E4" s="455" t="e">
        <f ca="1">IF($F$9&gt;60,$F$9-60,$F$9)</f>
        <v>#NUM!</v>
      </c>
      <c r="F4" s="408" t="s">
        <v>341</v>
      </c>
    </row>
    <row r="5" spans="2:44" x14ac:dyDescent="0.2">
      <c r="B5" s="165">
        <v>3</v>
      </c>
      <c r="C5" s="104" t="str">
        <f ca="1">IF(OR(Planung!$L8="",Planung!$N8=""),"Z"&amp;ROW($M8),Planung!$I8&amp;Planung!$F8)</f>
        <v>C50,375</v>
      </c>
      <c r="D5" s="455">
        <f ca="1"/>
        <v>1</v>
      </c>
      <c r="E5" s="408" t="str">
        <f t="array" aca="1" ref="E5" ca="1">VLOOKUP(MATCH($E$7,$D$3:$D$122,0),$B$3:$C$62,2,0)</f>
        <v>A50,375</v>
      </c>
      <c r="F5" s="544" t="s">
        <v>342</v>
      </c>
      <c r="H5" s="400"/>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00"/>
      <c r="AO5" s="400"/>
      <c r="AP5" s="400"/>
      <c r="AQ5" s="400"/>
      <c r="AR5" s="400"/>
    </row>
    <row r="6" spans="2:44" ht="13.5" thickBot="1" x14ac:dyDescent="0.25">
      <c r="B6" s="165">
        <v>4</v>
      </c>
      <c r="C6" s="104" t="str">
        <f ca="1">IF(OR(Planung!$L9="",Planung!$N9=""),"Z"&amp;ROW($M9),Planung!$I9&amp;Planung!$F9)</f>
        <v>D50,375</v>
      </c>
      <c r="D6" s="455">
        <f ca="1"/>
        <v>1</v>
      </c>
      <c r="E6" s="165" t="str">
        <f ca="1">LEFT($E$5,2)</f>
        <v>A5</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row>
    <row r="7" spans="2:44" ht="13.5" thickBot="1" x14ac:dyDescent="0.25">
      <c r="B7" s="165">
        <v>5</v>
      </c>
      <c r="C7" s="104" t="str">
        <f ca="1">IF(OR(Planung!$L10="",Planung!$N10=""),"Z"&amp;ROW($M10),Planung!$I10&amp;Planung!$F10)</f>
        <v>A30,399305555555556</v>
      </c>
      <c r="D7" s="455">
        <f ca="1"/>
        <v>1</v>
      </c>
      <c r="E7" s="569">
        <f ca="1">MAX($D$3:$D$122)</f>
        <v>1</v>
      </c>
      <c r="H7" s="457"/>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row>
    <row r="8" spans="2:44" x14ac:dyDescent="0.2">
      <c r="B8" s="165">
        <v>6</v>
      </c>
      <c r="C8" s="104" t="str">
        <f ca="1">IF(OR(Planung!$L11="",Planung!$N11=""),"Z"&amp;ROW($M11),Planung!$I11&amp;Planung!$F11)</f>
        <v>B30,399305555555556</v>
      </c>
      <c r="D8" s="455">
        <f ca="1"/>
        <v>1</v>
      </c>
      <c r="E8" s="165">
        <f t="array" aca="1" ref="E8" ca="1">MATCH($E$7,$D$3:$D$122,0)</f>
        <v>1</v>
      </c>
      <c r="F8" s="165" t="e">
        <f ca="1">IF($E$8&lt;$E$9,$E$8,$E$9)</f>
        <v>#NUM!</v>
      </c>
      <c r="H8" s="457"/>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row>
    <row r="9" spans="2:44" x14ac:dyDescent="0.2">
      <c r="B9" s="165">
        <v>7</v>
      </c>
      <c r="C9" s="104" t="str">
        <f ca="1">IF(OR(Planung!$L12="",Planung!$N12=""),"Z"&amp;ROW($M12),Planung!$I12&amp;Planung!$F12)</f>
        <v>C30,399305555555556</v>
      </c>
      <c r="D9" s="455">
        <f ca="1"/>
        <v>1</v>
      </c>
      <c r="E9" s="165" t="e">
        <f t="array" aca="1" ref="E9" ca="1">INDEX($B$3:$B$122,SMALL(IF($E$5=$C$3:$C$122,ROW($C$3:$C$122)-ROW($C$3)+1),2))</f>
        <v>#NUM!</v>
      </c>
      <c r="F9" s="165" t="e">
        <f ca="1">IF($E$8&gt;$E$9,$E$8,$E$9)</f>
        <v>#NUM!</v>
      </c>
      <c r="H9" s="457"/>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row>
    <row r="10" spans="2:44" x14ac:dyDescent="0.2">
      <c r="B10" s="165">
        <v>8</v>
      </c>
      <c r="C10" s="104" t="str">
        <f ca="1">IF(OR(Planung!$L13="",Planung!$N13=""),"Z"&amp;ROW($M13),Planung!$I13&amp;Planung!$F13)</f>
        <v>D30,399305555555556</v>
      </c>
      <c r="D10" s="455">
        <f ca="1"/>
        <v>1</v>
      </c>
      <c r="H10" s="457"/>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row>
    <row r="11" spans="2:44" x14ac:dyDescent="0.2">
      <c r="B11" s="165">
        <v>9</v>
      </c>
      <c r="C11" s="104" t="str">
        <f ca="1">IF(OR(Planung!$L14="",Planung!$N14=""),"Z"&amp;ROW($M14),Planung!$I14&amp;Planung!$F14)</f>
        <v>A50,423611111111111</v>
      </c>
      <c r="D11" s="455">
        <f ca="1"/>
        <v>1</v>
      </c>
      <c r="H11" s="457"/>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row>
    <row r="12" spans="2:44" x14ac:dyDescent="0.2">
      <c r="B12" s="165">
        <v>10</v>
      </c>
      <c r="C12" s="104" t="str">
        <f ca="1">IF(OR(Planung!$L15="",Planung!$N15=""),"Z"&amp;ROW($M15),Planung!$I15&amp;Planung!$F15)</f>
        <v>B50,423611111111111</v>
      </c>
      <c r="D12" s="455">
        <f ca="1"/>
        <v>1</v>
      </c>
      <c r="H12" s="457"/>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row>
    <row r="13" spans="2:44" x14ac:dyDescent="0.2">
      <c r="B13" s="165">
        <v>11</v>
      </c>
      <c r="C13" s="104" t="str">
        <f ca="1">IF(OR(Planung!$L16="",Planung!$N16=""),"Z"&amp;ROW($M16),Planung!$I16&amp;Planung!$F16)</f>
        <v>C50,423611111111111</v>
      </c>
      <c r="D13" s="455">
        <f ca="1"/>
        <v>1</v>
      </c>
    </row>
    <row r="14" spans="2:44" x14ac:dyDescent="0.2">
      <c r="B14" s="165">
        <v>12</v>
      </c>
      <c r="C14" s="104" t="str">
        <f ca="1">IF(OR(Planung!$L17="",Planung!$N17=""),"Z"&amp;ROW($M17),Planung!$I17&amp;Planung!$F17)</f>
        <v>D50,423611111111111</v>
      </c>
      <c r="D14" s="455">
        <f ca="1"/>
        <v>1</v>
      </c>
    </row>
    <row r="15" spans="2:44" x14ac:dyDescent="0.2">
      <c r="B15" s="165">
        <v>13</v>
      </c>
      <c r="C15" s="104" t="str">
        <f ca="1">IF(OR(Planung!$L18="",Planung!$N18=""),"Z"&amp;ROW($M18),Planung!$I18&amp;Planung!$F18)</f>
        <v>A20,447916666666667</v>
      </c>
      <c r="D15" s="455">
        <f ca="1"/>
        <v>1</v>
      </c>
    </row>
    <row r="16" spans="2:44" x14ac:dyDescent="0.2">
      <c r="B16" s="165">
        <v>14</v>
      </c>
      <c r="C16" s="104" t="str">
        <f ca="1">IF(OR(Planung!$L19="",Planung!$N19=""),"Z"&amp;ROW($M19),Planung!$I19&amp;Planung!$F19)</f>
        <v>B20,447916666666667</v>
      </c>
      <c r="D16" s="455">
        <f ca="1"/>
        <v>1</v>
      </c>
    </row>
    <row r="17" spans="2:29" x14ac:dyDescent="0.2">
      <c r="B17" s="165">
        <v>15</v>
      </c>
      <c r="C17" s="104" t="str">
        <f ca="1">IF(OR(Planung!$L20="",Planung!$N20=""),"Z"&amp;ROW($M20),Planung!$I20&amp;Planung!$F20)</f>
        <v>C20,447916666666667</v>
      </c>
      <c r="D17" s="455">
        <f ca="1"/>
        <v>1</v>
      </c>
      <c r="Q17" s="456"/>
      <c r="R17" s="400"/>
      <c r="S17" s="400"/>
      <c r="T17" s="400"/>
      <c r="U17" s="460"/>
      <c r="V17" s="400"/>
      <c r="W17" s="400"/>
      <c r="X17" s="400"/>
    </row>
    <row r="18" spans="2:29" x14ac:dyDescent="0.2">
      <c r="B18" s="165">
        <v>16</v>
      </c>
      <c r="C18" s="104" t="str">
        <f ca="1">IF(OR(Planung!$L21="",Planung!$N21=""),"Z"&amp;ROW($M21),Planung!$I21&amp;Planung!$F21)</f>
        <v>D20,447916666666667</v>
      </c>
      <c r="D18" s="455">
        <f ca="1"/>
        <v>1</v>
      </c>
      <c r="Q18" s="456"/>
      <c r="R18" s="400"/>
      <c r="S18" s="400"/>
      <c r="T18" s="400"/>
      <c r="U18" s="460"/>
      <c r="V18" s="400"/>
      <c r="W18" s="456"/>
      <c r="X18" s="456"/>
      <c r="Y18" s="311"/>
      <c r="Z18" s="311"/>
      <c r="AA18" s="311"/>
      <c r="AB18" s="311"/>
      <c r="AC18" s="311"/>
    </row>
    <row r="19" spans="2:29" x14ac:dyDescent="0.2">
      <c r="B19" s="165">
        <v>17</v>
      </c>
      <c r="C19" s="104" t="str">
        <f ca="1">IF(OR(Planung!$L22="",Planung!$N22=""),"Z"&amp;ROW($M22),Planung!$I22&amp;Planung!$F22)</f>
        <v>A10,472222222222222</v>
      </c>
      <c r="D19" s="455">
        <f ca="1"/>
        <v>1</v>
      </c>
      <c r="Q19" s="456"/>
      <c r="R19" s="400"/>
      <c r="S19" s="400"/>
      <c r="T19" s="400"/>
      <c r="U19" s="460"/>
      <c r="V19" s="400"/>
      <c r="W19" s="400"/>
      <c r="X19" s="400"/>
      <c r="Y19" s="312"/>
      <c r="Z19" s="312"/>
      <c r="AA19" s="312"/>
      <c r="AB19" s="312"/>
      <c r="AC19" s="312"/>
    </row>
    <row r="20" spans="2:29" x14ac:dyDescent="0.2">
      <c r="B20" s="165">
        <v>18</v>
      </c>
      <c r="C20" s="104" t="str">
        <f ca="1">IF(OR(Planung!$L23="",Planung!$N23=""),"Z"&amp;ROW($M23),Planung!$I23&amp;Planung!$F23)</f>
        <v>B10,472222222222222</v>
      </c>
      <c r="D20" s="455">
        <f ca="1"/>
        <v>1</v>
      </c>
      <c r="Q20" s="456"/>
      <c r="R20" s="400"/>
      <c r="S20" s="400"/>
      <c r="T20" s="400"/>
      <c r="U20" s="400"/>
      <c r="V20" s="400"/>
      <c r="W20" s="400"/>
      <c r="X20" s="400"/>
      <c r="Y20" s="312"/>
      <c r="Z20" s="312"/>
      <c r="AA20" s="312"/>
      <c r="AB20" s="312"/>
      <c r="AC20" s="312"/>
    </row>
    <row r="21" spans="2:29" x14ac:dyDescent="0.2">
      <c r="B21" s="165">
        <v>19</v>
      </c>
      <c r="C21" s="104" t="str">
        <f ca="1">IF(OR(Planung!$L24="",Planung!$N24=""),"Z"&amp;ROW($M24),Planung!$I24&amp;Planung!$F24)</f>
        <v>C10,472222222222222</v>
      </c>
      <c r="D21" s="455">
        <f ca="1"/>
        <v>1</v>
      </c>
      <c r="G21" s="839" t="s">
        <v>239</v>
      </c>
      <c r="Q21" s="456"/>
      <c r="R21" s="400"/>
      <c r="S21" s="400"/>
      <c r="T21" s="400"/>
      <c r="U21" s="400"/>
      <c r="V21" s="400"/>
      <c r="W21" s="400"/>
      <c r="X21" s="400"/>
      <c r="Y21" s="312"/>
      <c r="Z21" s="312"/>
      <c r="AA21" s="312"/>
      <c r="AB21" s="312"/>
      <c r="AC21" s="312"/>
    </row>
    <row r="22" spans="2:29" x14ac:dyDescent="0.2">
      <c r="B22" s="165">
        <v>20</v>
      </c>
      <c r="C22" s="104" t="str">
        <f ca="1">IF(OR(Planung!$L25="",Planung!$N25=""),"Z"&amp;ROW($M25),Planung!$I25&amp;Planung!$F25)</f>
        <v>D10,472222222222222</v>
      </c>
      <c r="D22" s="455">
        <f ca="1"/>
        <v>1</v>
      </c>
      <c r="G22" s="839"/>
      <c r="Q22" s="456"/>
      <c r="R22" s="400"/>
      <c r="S22" s="400"/>
      <c r="T22" s="400"/>
      <c r="U22" s="400"/>
      <c r="V22" s="400"/>
      <c r="W22" s="400"/>
      <c r="X22" s="400"/>
      <c r="Y22" s="312"/>
      <c r="Z22" s="312"/>
      <c r="AA22" s="312"/>
      <c r="AB22" s="312"/>
      <c r="AC22" s="312"/>
    </row>
    <row r="23" spans="2:29" x14ac:dyDescent="0.2">
      <c r="B23" s="165">
        <v>21</v>
      </c>
      <c r="C23" s="104" t="str">
        <f ca="1">IF(OR(Planung!$L26="",Planung!$N26=""),"Z"&amp;ROW($M26),Planung!$I26&amp;Planung!$F26)</f>
        <v>A30,496527777777778</v>
      </c>
      <c r="D23" s="455">
        <f ca="1"/>
        <v>1</v>
      </c>
      <c r="G23" s="839" t="s">
        <v>240</v>
      </c>
      <c r="Q23" s="456"/>
      <c r="R23" s="400"/>
      <c r="S23" s="400"/>
      <c r="T23" s="400"/>
      <c r="U23" s="400"/>
      <c r="V23" s="400"/>
      <c r="W23" s="400"/>
      <c r="X23" s="400"/>
      <c r="Y23" s="312"/>
      <c r="Z23" s="312"/>
      <c r="AA23" s="312"/>
      <c r="AB23" s="312"/>
      <c r="AC23" s="312"/>
    </row>
    <row r="24" spans="2:29" x14ac:dyDescent="0.2">
      <c r="B24" s="165">
        <v>22</v>
      </c>
      <c r="C24" s="104" t="str">
        <f ca="1">IF(OR(Planung!$L27="",Planung!$N27=""),"Z"&amp;ROW($M27),Planung!$I27&amp;Planung!$F27)</f>
        <v>B30,496527777777778</v>
      </c>
      <c r="D24" s="455">
        <f ca="1"/>
        <v>1</v>
      </c>
      <c r="G24" s="839"/>
      <c r="Q24" s="456"/>
      <c r="R24" s="400"/>
      <c r="S24" s="400"/>
      <c r="T24" s="400"/>
      <c r="U24" s="400"/>
      <c r="V24" s="400"/>
      <c r="W24" s="400"/>
      <c r="X24" s="400"/>
      <c r="Y24" s="312"/>
      <c r="Z24" s="312"/>
      <c r="AA24" s="312"/>
      <c r="AB24" s="312"/>
      <c r="AC24" s="312"/>
    </row>
    <row r="25" spans="2:29" x14ac:dyDescent="0.2">
      <c r="B25" s="165">
        <v>23</v>
      </c>
      <c r="C25" s="104" t="str">
        <f ca="1">IF(OR(Planung!$L28="",Planung!$N28=""),"Z"&amp;ROW($M28),Planung!$I28&amp;Planung!$F28)</f>
        <v>C30,496527777777778</v>
      </c>
      <c r="D25" s="455">
        <f ca="1"/>
        <v>1</v>
      </c>
      <c r="G25" s="839" t="s">
        <v>241</v>
      </c>
      <c r="Q25" s="456"/>
      <c r="R25" s="400"/>
      <c r="S25" s="400"/>
      <c r="T25" s="400"/>
      <c r="U25" s="400"/>
      <c r="V25" s="400"/>
      <c r="W25" s="400"/>
      <c r="X25" s="400"/>
      <c r="Y25" s="312"/>
      <c r="Z25" s="312"/>
      <c r="AA25" s="312"/>
      <c r="AB25" s="312"/>
      <c r="AC25" s="312"/>
    </row>
    <row r="26" spans="2:29" x14ac:dyDescent="0.2">
      <c r="B26" s="165">
        <v>24</v>
      </c>
      <c r="C26" s="104" t="str">
        <f ca="1">IF(OR(Planung!$L29="",Planung!$N29=""),"Z"&amp;ROW($M29),Planung!$I29&amp;Planung!$F29)</f>
        <v>D30,496527777777778</v>
      </c>
      <c r="D26" s="455">
        <f ca="1"/>
        <v>1</v>
      </c>
      <c r="G26" s="839"/>
      <c r="Q26" s="456"/>
      <c r="R26" s="400"/>
      <c r="S26" s="400"/>
      <c r="T26" s="400"/>
      <c r="U26" s="400"/>
      <c r="V26" s="400"/>
      <c r="W26" s="400"/>
      <c r="X26" s="400"/>
      <c r="Y26" s="312"/>
      <c r="Z26" s="312"/>
      <c r="AA26" s="312"/>
      <c r="AB26" s="312"/>
      <c r="AC26" s="312"/>
    </row>
    <row r="27" spans="2:29" x14ac:dyDescent="0.2">
      <c r="B27" s="165">
        <v>25</v>
      </c>
      <c r="C27" s="104" t="str">
        <f ca="1">IF(OR(Planung!$L30="",Planung!$N30=""),"Z"&amp;ROW($M30),Planung!$I30&amp;Planung!$F30)</f>
        <v>A20,520833333333333</v>
      </c>
      <c r="D27" s="455">
        <f ca="1"/>
        <v>1</v>
      </c>
      <c r="G27" s="839" t="s">
        <v>242</v>
      </c>
    </row>
    <row r="28" spans="2:29" x14ac:dyDescent="0.2">
      <c r="B28" s="165">
        <v>26</v>
      </c>
      <c r="C28" s="104" t="str">
        <f ca="1">IF(OR(Planung!$L31="",Planung!$N31=""),"Z"&amp;ROW($M31),Planung!$I31&amp;Planung!$F31)</f>
        <v>B20,520833333333333</v>
      </c>
      <c r="D28" s="455">
        <f ca="1"/>
        <v>1</v>
      </c>
      <c r="G28" s="839"/>
    </row>
    <row r="29" spans="2:29" x14ac:dyDescent="0.2">
      <c r="B29" s="165">
        <v>27</v>
      </c>
      <c r="C29" s="104" t="str">
        <f ca="1">IF(OR(Planung!$L32="",Planung!$N32=""),"Z"&amp;ROW($M32),Planung!$I32&amp;Planung!$F32)</f>
        <v>C20,520833333333333</v>
      </c>
      <c r="D29" s="455">
        <f ca="1"/>
        <v>1</v>
      </c>
      <c r="G29" s="839" t="s">
        <v>243</v>
      </c>
    </row>
    <row r="30" spans="2:29" x14ac:dyDescent="0.2">
      <c r="B30" s="165">
        <v>28</v>
      </c>
      <c r="C30" s="104" t="str">
        <f ca="1">IF(OR(Planung!$L33="",Planung!$N33=""),"Z"&amp;ROW($M33),Planung!$I33&amp;Planung!$F33)</f>
        <v>D20,520833333333333</v>
      </c>
      <c r="D30" s="455">
        <f ca="1"/>
        <v>1</v>
      </c>
      <c r="G30" s="839"/>
    </row>
    <row r="31" spans="2:29" x14ac:dyDescent="0.2">
      <c r="B31" s="165">
        <v>29</v>
      </c>
      <c r="C31" s="104" t="str">
        <f ca="1">IF(OR(Planung!$L34="",Planung!$N34=""),"Z"&amp;ROW($M34),Planung!$I34&amp;Planung!$F34)</f>
        <v>A30,545138888888889</v>
      </c>
      <c r="D31" s="455">
        <f ca="1"/>
        <v>1</v>
      </c>
    </row>
    <row r="32" spans="2:29" x14ac:dyDescent="0.2">
      <c r="B32" s="165">
        <v>30</v>
      </c>
      <c r="C32" s="104" t="str">
        <f ca="1">IF(OR(Planung!$L35="",Planung!$N35=""),"Z"&amp;ROW($M35),Planung!$I35&amp;Planung!$F35)</f>
        <v>B30,545138888888889</v>
      </c>
      <c r="D32" s="455">
        <f ca="1"/>
        <v>1</v>
      </c>
    </row>
    <row r="33" spans="2:7" x14ac:dyDescent="0.2">
      <c r="B33" s="165">
        <v>31</v>
      </c>
      <c r="C33" s="104" t="str">
        <f ca="1">IF(OR(Planung!$L36="",Planung!$N36=""),"Z"&amp;ROW($M36),Planung!$I36&amp;Planung!$F36)</f>
        <v>C30,545138888888889</v>
      </c>
      <c r="D33" s="455">
        <f ca="1"/>
        <v>1</v>
      </c>
      <c r="G33" s="839" t="s">
        <v>244</v>
      </c>
    </row>
    <row r="34" spans="2:7" x14ac:dyDescent="0.2">
      <c r="B34" s="165">
        <v>32</v>
      </c>
      <c r="C34" s="104" t="str">
        <f ca="1">IF(OR(Planung!$L37="",Planung!$N37=""),"Z"&amp;ROW($M37),Planung!$I37&amp;Planung!$F37)</f>
        <v>D30,545138888888889</v>
      </c>
      <c r="D34" s="455">
        <f ca="1"/>
        <v>1</v>
      </c>
      <c r="G34" s="839"/>
    </row>
    <row r="35" spans="2:7" x14ac:dyDescent="0.2">
      <c r="B35" s="165">
        <v>33</v>
      </c>
      <c r="C35" s="104" t="str">
        <f ca="1">IF(OR(Planung!$L38="",Planung!$N38=""),"Z"&amp;ROW($M38),Planung!$I38&amp;Planung!$F38)</f>
        <v>A40,569444444444444</v>
      </c>
      <c r="D35" s="455">
        <f ca="1"/>
        <v>1</v>
      </c>
      <c r="G35" s="839" t="s">
        <v>245</v>
      </c>
    </row>
    <row r="36" spans="2:7" x14ac:dyDescent="0.2">
      <c r="B36" s="165">
        <v>34</v>
      </c>
      <c r="C36" s="104" t="str">
        <f ca="1">IF(OR(Planung!$L39="",Planung!$N39=""),"Z"&amp;ROW($M39),Planung!$I39&amp;Planung!$F39)</f>
        <v>B40,569444444444444</v>
      </c>
      <c r="D36" s="455">
        <f ca="1"/>
        <v>1</v>
      </c>
      <c r="G36" s="839"/>
    </row>
    <row r="37" spans="2:7" x14ac:dyDescent="0.2">
      <c r="B37" s="165">
        <v>35</v>
      </c>
      <c r="C37" s="104" t="str">
        <f ca="1">IF(OR(Planung!$L40="",Planung!$N40=""),"Z"&amp;ROW($M40),Planung!$I40&amp;Planung!$F40)</f>
        <v>C40,569444444444444</v>
      </c>
      <c r="D37" s="455">
        <f ca="1"/>
        <v>1</v>
      </c>
      <c r="G37" s="839" t="s">
        <v>247</v>
      </c>
    </row>
    <row r="38" spans="2:7" x14ac:dyDescent="0.2">
      <c r="B38" s="165">
        <v>36</v>
      </c>
      <c r="C38" s="104" t="str">
        <f ca="1">IF(OR(Planung!$L41="",Planung!$N41=""),"Z"&amp;ROW($M41),Planung!$I41&amp;Planung!$F41)</f>
        <v>D40,569444444444444</v>
      </c>
      <c r="D38" s="455">
        <f ca="1"/>
        <v>1</v>
      </c>
      <c r="G38" s="839"/>
    </row>
    <row r="39" spans="2:7" x14ac:dyDescent="0.2">
      <c r="B39" s="165">
        <v>37</v>
      </c>
      <c r="C39" s="104" t="str">
        <f ca="1">IF(OR(Planung!$L42="",Planung!$N42=""),"Z"&amp;ROW($M42),Planung!$I42&amp;Planung!$F42)</f>
        <v>A10,59375</v>
      </c>
      <c r="D39" s="455">
        <f ca="1"/>
        <v>1</v>
      </c>
      <c r="G39" s="839" t="s">
        <v>246</v>
      </c>
    </row>
    <row r="40" spans="2:7" x14ac:dyDescent="0.2">
      <c r="B40" s="165">
        <v>38</v>
      </c>
      <c r="C40" s="104" t="str">
        <f ca="1">IF(OR(Planung!$L43="",Planung!$N43=""),"Z"&amp;ROW($M43),Planung!$I43&amp;Planung!$F43)</f>
        <v>B10,59375</v>
      </c>
      <c r="D40" s="455">
        <f ca="1"/>
        <v>1</v>
      </c>
      <c r="G40" s="839"/>
    </row>
    <row r="41" spans="2:7" x14ac:dyDescent="0.2">
      <c r="B41" s="165">
        <v>39</v>
      </c>
      <c r="C41" s="104" t="str">
        <f ca="1">IF(OR(Planung!$L44="",Planung!$N44=""),"Z"&amp;ROW($M44),Planung!$I44&amp;Planung!$F44)</f>
        <v>C10,59375</v>
      </c>
      <c r="D41" s="455">
        <f ca="1"/>
        <v>1</v>
      </c>
      <c r="G41" s="839" t="s">
        <v>248</v>
      </c>
    </row>
    <row r="42" spans="2:7" x14ac:dyDescent="0.2">
      <c r="B42" s="165">
        <v>40</v>
      </c>
      <c r="C42" s="104" t="str">
        <f ca="1">IF(OR(Planung!$L45="",Planung!$N45=""),"Z"&amp;ROW($M45),Planung!$I45&amp;Planung!$F45)</f>
        <v>D10,59375</v>
      </c>
      <c r="D42" s="455">
        <f ca="1"/>
        <v>1</v>
      </c>
      <c r="G42" s="839"/>
    </row>
    <row r="43" spans="2:7" x14ac:dyDescent="0.2">
      <c r="B43" s="165">
        <v>41</v>
      </c>
      <c r="C43" s="104" t="str">
        <f ca="1">IF(OR(Planung!$L46="",Planung!$N46=""),"Z"&amp;ROW($M46),Planung!$I46&amp;Planung!$F46)</f>
        <v>Z46</v>
      </c>
      <c r="D43" s="455">
        <f ca="1"/>
        <v>1</v>
      </c>
    </row>
    <row r="44" spans="2:7" x14ac:dyDescent="0.2">
      <c r="B44" s="165">
        <v>42</v>
      </c>
      <c r="C44" s="104" t="str">
        <f ca="1">IF(OR(Planung!$L47="",Planung!$N47=""),"Z"&amp;ROW($M47),Planung!$I47&amp;Planung!$F47)</f>
        <v>Z47</v>
      </c>
      <c r="D44" s="455">
        <f ca="1"/>
        <v>1</v>
      </c>
    </row>
    <row r="45" spans="2:7" x14ac:dyDescent="0.2">
      <c r="B45" s="165">
        <v>43</v>
      </c>
      <c r="C45" s="104" t="str">
        <f ca="1">IF(OR(Planung!$L48="",Planung!$N48=""),"Z"&amp;ROW($M48),Planung!$I48&amp;Planung!$F48)</f>
        <v>Z48</v>
      </c>
      <c r="D45" s="455">
        <f ca="1"/>
        <v>1</v>
      </c>
      <c r="G45" s="839" t="s">
        <v>261</v>
      </c>
    </row>
    <row r="46" spans="2:7" x14ac:dyDescent="0.2">
      <c r="B46" s="165">
        <v>44</v>
      </c>
      <c r="C46" s="104" t="str">
        <f ca="1">IF(OR(Planung!$L49="",Planung!$N49=""),"Z"&amp;ROW($M49),Planung!$I49&amp;Planung!$F49)</f>
        <v>Z49</v>
      </c>
      <c r="D46" s="455">
        <f ca="1"/>
        <v>1</v>
      </c>
      <c r="G46" s="839"/>
    </row>
    <row r="47" spans="2:7" x14ac:dyDescent="0.2">
      <c r="B47" s="165">
        <v>45</v>
      </c>
      <c r="C47" s="104" t="str">
        <f ca="1">IF(OR(Planung!$L50="",Planung!$N50=""),"Z"&amp;ROW($M50),Planung!$I50&amp;Planung!$F50)</f>
        <v>Z50</v>
      </c>
      <c r="D47" s="455">
        <f ca="1"/>
        <v>1</v>
      </c>
      <c r="G47" s="839" t="s">
        <v>262</v>
      </c>
    </row>
    <row r="48" spans="2:7" x14ac:dyDescent="0.2">
      <c r="B48" s="165">
        <v>46</v>
      </c>
      <c r="C48" s="104" t="str">
        <f ca="1">IF(OR(Planung!$L51="",Planung!$N51=""),"Z"&amp;ROW($M51),Planung!$I51&amp;Planung!$F51)</f>
        <v>Z51</v>
      </c>
      <c r="D48" s="448">
        <f ca="1"/>
        <v>1</v>
      </c>
      <c r="G48" s="839"/>
    </row>
    <row r="49" spans="1:7" x14ac:dyDescent="0.2">
      <c r="B49" s="165">
        <v>47</v>
      </c>
      <c r="C49" s="104" t="str">
        <f ca="1">IF(OR(Planung!$L52="",Planung!$N52=""),"Z"&amp;ROW($M52),Planung!$I52&amp;Planung!$F52)</f>
        <v>Z52</v>
      </c>
      <c r="D49" s="448">
        <f ca="1"/>
        <v>1</v>
      </c>
      <c r="G49" s="839" t="s">
        <v>263</v>
      </c>
    </row>
    <row r="50" spans="1:7" x14ac:dyDescent="0.2">
      <c r="B50" s="165">
        <v>48</v>
      </c>
      <c r="C50" s="104" t="str">
        <f ca="1">IF(OR(Planung!$L53="",Planung!$N53=""),"Z"&amp;ROW($M53),Planung!$I53&amp;Planung!$F53)</f>
        <v>Z53</v>
      </c>
      <c r="D50" s="448">
        <f ca="1"/>
        <v>1</v>
      </c>
      <c r="G50" s="839"/>
    </row>
    <row r="51" spans="1:7" x14ac:dyDescent="0.2">
      <c r="B51" s="165">
        <v>49</v>
      </c>
      <c r="C51" s="104" t="str">
        <f ca="1">IF(OR(Planung!$L54="",Planung!$N54=""),"Z"&amp;ROW($M54),Planung!$I54&amp;Planung!$F54)</f>
        <v>Z54</v>
      </c>
      <c r="D51" s="448">
        <f ca="1"/>
        <v>1</v>
      </c>
      <c r="G51" s="839" t="s">
        <v>264</v>
      </c>
    </row>
    <row r="52" spans="1:7" x14ac:dyDescent="0.2">
      <c r="B52" s="165">
        <v>50</v>
      </c>
      <c r="C52" s="104" t="str">
        <f ca="1">IF(OR(Planung!$L55="",Planung!$N55=""),"Z"&amp;ROW($M55),Planung!$I55&amp;Planung!$F55)</f>
        <v>Z55</v>
      </c>
      <c r="D52" s="448">
        <f ca="1"/>
        <v>1</v>
      </c>
      <c r="G52" s="839"/>
    </row>
    <row r="53" spans="1:7" x14ac:dyDescent="0.2">
      <c r="B53" s="165">
        <v>51</v>
      </c>
      <c r="C53" s="104" t="str">
        <f ca="1">IF(OR(Planung!$L56="",Planung!$N56=""),"Z"&amp;ROW($M56),Planung!$I56&amp;Planung!$F56)</f>
        <v>Z56</v>
      </c>
      <c r="D53" s="448">
        <f ca="1"/>
        <v>1</v>
      </c>
      <c r="G53" s="839" t="s">
        <v>265</v>
      </c>
    </row>
    <row r="54" spans="1:7" x14ac:dyDescent="0.2">
      <c r="B54" s="165">
        <v>52</v>
      </c>
      <c r="C54" s="104" t="str">
        <f ca="1">IF(OR(Planung!$L57="",Planung!$N57=""),"Z"&amp;ROW($M57),Planung!$I57&amp;Planung!$F57)</f>
        <v>Z57</v>
      </c>
      <c r="D54" s="448">
        <f ca="1"/>
        <v>1</v>
      </c>
      <c r="G54" s="839"/>
    </row>
    <row r="55" spans="1:7" x14ac:dyDescent="0.2">
      <c r="B55" s="165">
        <v>53</v>
      </c>
      <c r="C55" s="104" t="str">
        <f ca="1">IF(OR(Planung!$L58="",Planung!$N58=""),"Z"&amp;ROW($M58),Planung!$I58&amp;Planung!$F58)</f>
        <v>Z58</v>
      </c>
      <c r="D55" s="448">
        <f ca="1"/>
        <v>1</v>
      </c>
    </row>
    <row r="56" spans="1:7" x14ac:dyDescent="0.2">
      <c r="B56" s="165">
        <v>54</v>
      </c>
      <c r="C56" s="104" t="str">
        <f ca="1">IF(OR(Planung!$L59="",Planung!$N59=""),"Z"&amp;ROW($M59),Planung!$I59&amp;Planung!$F59)</f>
        <v>Z59</v>
      </c>
      <c r="D56" s="448">
        <f ca="1"/>
        <v>1</v>
      </c>
    </row>
    <row r="57" spans="1:7" x14ac:dyDescent="0.2">
      <c r="B57" s="165">
        <v>55</v>
      </c>
      <c r="C57" s="104" t="str">
        <f ca="1">IF(OR(Planung!$L60="",Planung!$N60=""),"Z"&amp;ROW($M60),Planung!$I60&amp;Planung!$F60)</f>
        <v>Z60</v>
      </c>
      <c r="D57" s="448">
        <f ca="1"/>
        <v>1</v>
      </c>
      <c r="G57" s="839" t="s">
        <v>311</v>
      </c>
    </row>
    <row r="58" spans="1:7" x14ac:dyDescent="0.2">
      <c r="B58" s="165">
        <v>56</v>
      </c>
      <c r="C58" s="104" t="str">
        <f ca="1">IF(OR(Planung!$L61="",Planung!$N61=""),"Z"&amp;ROW($M61),Planung!$I61&amp;Planung!$F61)</f>
        <v>Z61</v>
      </c>
      <c r="D58" s="448">
        <f ca="1"/>
        <v>1</v>
      </c>
      <c r="G58" s="839"/>
    </row>
    <row r="59" spans="1:7" x14ac:dyDescent="0.2">
      <c r="B59" s="165">
        <v>57</v>
      </c>
      <c r="C59" s="104" t="str">
        <f ca="1">IF(OR(Planung!$L62="",Planung!$N62=""),"Z"&amp;ROW($M62),Planung!$I62&amp;Planung!$F62)</f>
        <v>Z62</v>
      </c>
      <c r="D59" s="448">
        <f ca="1"/>
        <v>1</v>
      </c>
      <c r="G59" s="839" t="s">
        <v>312</v>
      </c>
    </row>
    <row r="60" spans="1:7" x14ac:dyDescent="0.2">
      <c r="B60" s="165">
        <v>58</v>
      </c>
      <c r="C60" s="104" t="str">
        <f ca="1">IF(OR(Planung!$L63="",Planung!$N63=""),"Z"&amp;ROW($M63),Planung!$I63&amp;Planung!$F63)</f>
        <v>Z63</v>
      </c>
      <c r="D60" s="448">
        <f ca="1"/>
        <v>1</v>
      </c>
      <c r="G60" s="839"/>
    </row>
    <row r="61" spans="1:7" x14ac:dyDescent="0.2">
      <c r="B61" s="165">
        <v>59</v>
      </c>
      <c r="C61" s="104" t="str">
        <f ca="1">IF(OR(Planung!$L64="",Planung!$N64=""),"Z"&amp;ROW($M64),Planung!$I64&amp;Planung!$F64)</f>
        <v>Z64</v>
      </c>
      <c r="D61" s="448">
        <f ca="1"/>
        <v>1</v>
      </c>
      <c r="G61" s="839" t="s">
        <v>313</v>
      </c>
    </row>
    <row r="62" spans="1:7" ht="13.5" thickBot="1" x14ac:dyDescent="0.25">
      <c r="A62" s="566"/>
      <c r="B62" s="567">
        <v>60</v>
      </c>
      <c r="C62" s="568" t="str">
        <f ca="1">IF(OR(Planung!$L65="",Planung!$N65=""),"Z"&amp;ROW($M65),Planung!$I65&amp;Planung!$F65)</f>
        <v>Z65</v>
      </c>
      <c r="D62" s="448">
        <f ca="1"/>
        <v>1</v>
      </c>
      <c r="G62" s="839"/>
    </row>
    <row r="63" spans="1:7" x14ac:dyDescent="0.2">
      <c r="B63" s="165">
        <v>61</v>
      </c>
      <c r="C63" s="451" t="str">
        <f ca="1">IF(OR(Planung!$L6="",Planung!$N6=""),"ZZ"&amp;ROW($M6)+45,Planung!$K6&amp;Planung!$F6)</f>
        <v>A20,375</v>
      </c>
      <c r="D63" s="448">
        <f ca="1"/>
        <v>1</v>
      </c>
      <c r="G63" s="839" t="s">
        <v>314</v>
      </c>
    </row>
    <row r="64" spans="1:7" x14ac:dyDescent="0.2">
      <c r="B64" s="165">
        <v>62</v>
      </c>
      <c r="C64" s="451" t="str">
        <f ca="1">IF(OR(Planung!$L7="",Planung!$N7=""),"ZZ"&amp;ROW($M7)+45,Planung!$K7&amp;Planung!$F7)</f>
        <v>B20,375</v>
      </c>
      <c r="D64" s="448">
        <f ca="1"/>
        <v>1</v>
      </c>
      <c r="G64" s="839"/>
    </row>
    <row r="65" spans="2:7" x14ac:dyDescent="0.2">
      <c r="B65" s="165">
        <v>63</v>
      </c>
      <c r="C65" s="451" t="str">
        <f ca="1">IF(OR(Planung!$L8="",Planung!$N8=""),"ZZ"&amp;ROW($M8)+45,Planung!$K8&amp;Planung!$F8)</f>
        <v>C20,375</v>
      </c>
      <c r="D65" s="448">
        <f ca="1"/>
        <v>1</v>
      </c>
      <c r="G65" s="839" t="s">
        <v>315</v>
      </c>
    </row>
    <row r="66" spans="2:7" x14ac:dyDescent="0.2">
      <c r="B66" s="165">
        <v>64</v>
      </c>
      <c r="C66" s="451" t="str">
        <f ca="1">IF(OR(Planung!$L9="",Planung!$N9=""),"ZZ"&amp;ROW($M9)+45,Planung!$K9&amp;Planung!$F9)</f>
        <v>D20,375</v>
      </c>
      <c r="D66" s="448">
        <f ca="1"/>
        <v>1</v>
      </c>
      <c r="G66" s="839"/>
    </row>
    <row r="67" spans="2:7" x14ac:dyDescent="0.2">
      <c r="B67" s="165">
        <v>65</v>
      </c>
      <c r="C67" s="451" t="str">
        <f ca="1">IF(OR(Planung!$L10="",Planung!$N10=""),"ZZ"&amp;ROW($M10)+45,Planung!$K10&amp;Planung!$F10)</f>
        <v>A40,399305555555556</v>
      </c>
      <c r="D67" s="448">
        <f ca="1"/>
        <v>1</v>
      </c>
    </row>
    <row r="68" spans="2:7" x14ac:dyDescent="0.2">
      <c r="B68" s="165">
        <v>66</v>
      </c>
      <c r="C68" s="451" t="str">
        <f ca="1">IF(OR(Planung!$L11="",Planung!$N11=""),"ZZ"&amp;ROW($M11)+45,Planung!$K11&amp;Planung!$F11)</f>
        <v>B40,399305555555556</v>
      </c>
      <c r="D68" s="448">
        <f ca="1"/>
        <v>1</v>
      </c>
    </row>
    <row r="69" spans="2:7" x14ac:dyDescent="0.2">
      <c r="B69" s="165">
        <v>67</v>
      </c>
      <c r="C69" s="451" t="str">
        <f ca="1">IF(OR(Planung!$L12="",Planung!$N12=""),"ZZ"&amp;ROW($M12)+45,Planung!$K12&amp;Planung!$F12)</f>
        <v>C40,399305555555556</v>
      </c>
      <c r="D69" s="448">
        <f ca="1"/>
        <v>1</v>
      </c>
    </row>
    <row r="70" spans="2:7" x14ac:dyDescent="0.2">
      <c r="B70" s="165">
        <v>68</v>
      </c>
      <c r="C70" s="451" t="str">
        <f ca="1">IF(OR(Planung!$L13="",Planung!$N13=""),"ZZ"&amp;ROW($M13)+45,Planung!$K13&amp;Planung!$F13)</f>
        <v>D40,399305555555556</v>
      </c>
      <c r="D70" s="448">
        <f ca="1"/>
        <v>1</v>
      </c>
    </row>
    <row r="71" spans="2:7" x14ac:dyDescent="0.2">
      <c r="B71" s="165">
        <v>69</v>
      </c>
      <c r="C71" s="451" t="str">
        <f ca="1">IF(OR(Planung!$L14="",Planung!$N14=""),"ZZ"&amp;ROW($M14)+45,Planung!$K14&amp;Planung!$F14)</f>
        <v>A10,423611111111111</v>
      </c>
      <c r="D71" s="448">
        <f ca="1"/>
        <v>1</v>
      </c>
    </row>
    <row r="72" spans="2:7" x14ac:dyDescent="0.2">
      <c r="B72" s="165">
        <v>70</v>
      </c>
      <c r="C72" s="451" t="str">
        <f ca="1">IF(OR(Planung!$L15="",Planung!$N15=""),"ZZ"&amp;ROW($M15)+45,Planung!$K15&amp;Planung!$F15)</f>
        <v>B10,423611111111111</v>
      </c>
      <c r="D72" s="448">
        <f ca="1"/>
        <v>1</v>
      </c>
    </row>
    <row r="73" spans="2:7" x14ac:dyDescent="0.2">
      <c r="B73" s="165">
        <v>71</v>
      </c>
      <c r="C73" s="451" t="str">
        <f ca="1">IF(OR(Planung!$L16="",Planung!$N16=""),"ZZ"&amp;ROW($M16)+45,Planung!$K16&amp;Planung!$F16)</f>
        <v>C10,423611111111111</v>
      </c>
      <c r="D73" s="448">
        <f ca="1"/>
        <v>1</v>
      </c>
    </row>
    <row r="74" spans="2:7" x14ac:dyDescent="0.2">
      <c r="B74" s="165">
        <v>72</v>
      </c>
      <c r="C74" s="451" t="str">
        <f ca="1">IF(OR(Planung!$L17="",Planung!$N17=""),"ZZ"&amp;ROW($M17)+45,Planung!$K17&amp;Planung!$F17)</f>
        <v>D10,423611111111111</v>
      </c>
      <c r="D74" s="448">
        <f ca="1"/>
        <v>1</v>
      </c>
    </row>
    <row r="75" spans="2:7" x14ac:dyDescent="0.2">
      <c r="B75" s="165">
        <v>73</v>
      </c>
      <c r="C75" s="451" t="str">
        <f ca="1">IF(OR(Planung!$L18="",Planung!$N18=""),"ZZ"&amp;ROW($M18)+45,Planung!$K18&amp;Planung!$F18)</f>
        <v>A30,447916666666667</v>
      </c>
      <c r="D75" s="448">
        <f ca="1"/>
        <v>1</v>
      </c>
    </row>
    <row r="76" spans="2:7" x14ac:dyDescent="0.2">
      <c r="B76" s="165">
        <v>74</v>
      </c>
      <c r="C76" s="451" t="str">
        <f ca="1">IF(OR(Planung!$L19="",Planung!$N19=""),"ZZ"&amp;ROW($M19)+45,Planung!$K19&amp;Planung!$F19)</f>
        <v>B30,447916666666667</v>
      </c>
      <c r="D76" s="448">
        <f ca="1"/>
        <v>1</v>
      </c>
    </row>
    <row r="77" spans="2:7" x14ac:dyDescent="0.2">
      <c r="B77" s="165">
        <v>75</v>
      </c>
      <c r="C77" s="451" t="str">
        <f ca="1">IF(OR(Planung!$L20="",Planung!$N20=""),"ZZ"&amp;ROW($M20)+45,Planung!$K20&amp;Planung!$F20)</f>
        <v>C30,447916666666667</v>
      </c>
      <c r="D77" s="448">
        <f ca="1"/>
        <v>1</v>
      </c>
    </row>
    <row r="78" spans="2:7" x14ac:dyDescent="0.2">
      <c r="B78" s="165">
        <v>76</v>
      </c>
      <c r="C78" s="451" t="str">
        <f ca="1">IF(OR(Planung!$L21="",Planung!$N21=""),"ZZ"&amp;ROW($M21)+45,Planung!$K21&amp;Planung!$F21)</f>
        <v>D30,447916666666667</v>
      </c>
      <c r="D78" s="448">
        <f ca="1"/>
        <v>1</v>
      </c>
    </row>
    <row r="79" spans="2:7" x14ac:dyDescent="0.2">
      <c r="B79" s="165">
        <v>77</v>
      </c>
      <c r="C79" s="451" t="str">
        <f ca="1">IF(OR(Planung!$L22="",Planung!$N22=""),"ZZ"&amp;ROW($M22)+45,Planung!$K22&amp;Planung!$F22)</f>
        <v>A40,472222222222222</v>
      </c>
      <c r="D79" s="448">
        <f ca="1"/>
        <v>1</v>
      </c>
    </row>
    <row r="80" spans="2:7" x14ac:dyDescent="0.2">
      <c r="B80" s="165">
        <v>78</v>
      </c>
      <c r="C80" s="451" t="str">
        <f ca="1">IF(OR(Planung!$L23="",Planung!$N23=""),"ZZ"&amp;ROW($M23)+45,Planung!$K23&amp;Planung!$F23)</f>
        <v>B40,472222222222222</v>
      </c>
      <c r="D80" s="448">
        <f ca="1"/>
        <v>1</v>
      </c>
    </row>
    <row r="81" spans="2:4" x14ac:dyDescent="0.2">
      <c r="B81" s="165">
        <v>79</v>
      </c>
      <c r="C81" s="451" t="str">
        <f ca="1">IF(OR(Planung!$L24="",Planung!$N24=""),"ZZ"&amp;ROW($M24)+45,Planung!$K24&amp;Planung!$F24)</f>
        <v>C40,472222222222222</v>
      </c>
      <c r="D81" s="448">
        <f ca="1"/>
        <v>1</v>
      </c>
    </row>
    <row r="82" spans="2:4" x14ac:dyDescent="0.2">
      <c r="B82" s="165">
        <v>80</v>
      </c>
      <c r="C82" s="451" t="str">
        <f ca="1">IF(OR(Planung!$L25="",Planung!$N25=""),"ZZ"&amp;ROW($M25)+45,Planung!$K25&amp;Planung!$F25)</f>
        <v>D40,472222222222222</v>
      </c>
      <c r="D82" s="448">
        <f ca="1"/>
        <v>1</v>
      </c>
    </row>
    <row r="83" spans="2:4" x14ac:dyDescent="0.2">
      <c r="B83" s="165">
        <v>81</v>
      </c>
      <c r="C83" s="451" t="str">
        <f ca="1">IF(OR(Planung!$L26="",Planung!$N26=""),"ZZ"&amp;ROW($M26)+45,Planung!$K26&amp;Planung!$F26)</f>
        <v>A50,496527777777778</v>
      </c>
      <c r="D83" s="448">
        <f ca="1"/>
        <v>1</v>
      </c>
    </row>
    <row r="84" spans="2:4" x14ac:dyDescent="0.2">
      <c r="B84" s="165">
        <v>82</v>
      </c>
      <c r="C84" s="451" t="str">
        <f ca="1">IF(OR(Planung!$L27="",Planung!$N27=""),"ZZ"&amp;ROW($M27)+45,Planung!$K27&amp;Planung!$F27)</f>
        <v>B50,496527777777778</v>
      </c>
      <c r="D84" s="448">
        <f ca="1"/>
        <v>1</v>
      </c>
    </row>
    <row r="85" spans="2:4" x14ac:dyDescent="0.2">
      <c r="B85" s="165">
        <v>83</v>
      </c>
      <c r="C85" s="451" t="str">
        <f ca="1">IF(OR(Planung!$L28="",Planung!$N28=""),"ZZ"&amp;ROW($M28)+45,Planung!$K28&amp;Planung!$F28)</f>
        <v>C50,496527777777778</v>
      </c>
      <c r="D85" s="448">
        <f ca="1"/>
        <v>1</v>
      </c>
    </row>
    <row r="86" spans="2:4" x14ac:dyDescent="0.2">
      <c r="B86" s="165">
        <v>84</v>
      </c>
      <c r="C86" s="451" t="str">
        <f ca="1">IF(OR(Planung!$L29="",Planung!$N29=""),"ZZ"&amp;ROW($M29)+45,Planung!$K29&amp;Planung!$F29)</f>
        <v>D50,496527777777778</v>
      </c>
      <c r="D86" s="448">
        <f ca="1"/>
        <v>1</v>
      </c>
    </row>
    <row r="87" spans="2:4" x14ac:dyDescent="0.2">
      <c r="B87" s="165">
        <v>85</v>
      </c>
      <c r="C87" s="451" t="str">
        <f ca="1">IF(OR(Planung!$L30="",Planung!$N30=""),"ZZ"&amp;ROW($M30)+45,Planung!$K30&amp;Planung!$F30)</f>
        <v>A40,520833333333333</v>
      </c>
      <c r="D87" s="448">
        <f ca="1"/>
        <v>1</v>
      </c>
    </row>
    <row r="88" spans="2:4" x14ac:dyDescent="0.2">
      <c r="B88" s="165">
        <v>86</v>
      </c>
      <c r="C88" s="451" t="str">
        <f ca="1">IF(OR(Planung!$L31="",Planung!$N31=""),"ZZ"&amp;ROW($M31)+45,Planung!$K31&amp;Planung!$F31)</f>
        <v>B40,520833333333333</v>
      </c>
      <c r="D88" s="448">
        <f ca="1"/>
        <v>1</v>
      </c>
    </row>
    <row r="89" spans="2:4" x14ac:dyDescent="0.2">
      <c r="B89" s="165">
        <v>87</v>
      </c>
      <c r="C89" s="451" t="str">
        <f ca="1">IF(OR(Planung!$L32="",Planung!$N32=""),"ZZ"&amp;ROW($M32)+45,Planung!$K32&amp;Planung!$F32)</f>
        <v>C40,520833333333333</v>
      </c>
      <c r="D89" s="448">
        <f ca="1"/>
        <v>1</v>
      </c>
    </row>
    <row r="90" spans="2:4" x14ac:dyDescent="0.2">
      <c r="B90" s="165">
        <v>88</v>
      </c>
      <c r="C90" s="451" t="str">
        <f ca="1">IF(OR(Planung!$L33="",Planung!$N33=""),"ZZ"&amp;ROW($M33)+45,Planung!$K33&amp;Planung!$F33)</f>
        <v>D40,520833333333333</v>
      </c>
      <c r="D90" s="448">
        <f ca="1"/>
        <v>1</v>
      </c>
    </row>
    <row r="91" spans="2:4" x14ac:dyDescent="0.2">
      <c r="B91" s="165">
        <v>89</v>
      </c>
      <c r="C91" s="451" t="str">
        <f ca="1">IF(OR(Planung!$L34="",Planung!$N34=""),"ZZ"&amp;ROW($M34)+45,Planung!$K34&amp;Planung!$F34)</f>
        <v>A10,545138888888889</v>
      </c>
      <c r="D91" s="448">
        <f ca="1"/>
        <v>1</v>
      </c>
    </row>
    <row r="92" spans="2:4" x14ac:dyDescent="0.2">
      <c r="B92" s="165">
        <v>90</v>
      </c>
      <c r="C92" s="451" t="str">
        <f ca="1">IF(OR(Planung!$L35="",Planung!$N35=""),"ZZ"&amp;ROW($M35)+45,Planung!$K35&amp;Planung!$F35)</f>
        <v>B10,545138888888889</v>
      </c>
      <c r="D92" s="448">
        <f ca="1"/>
        <v>1</v>
      </c>
    </row>
    <row r="93" spans="2:4" x14ac:dyDescent="0.2">
      <c r="B93" s="165">
        <v>91</v>
      </c>
      <c r="C93" s="451" t="str">
        <f ca="1">IF(OR(Planung!$L36="",Planung!$N36=""),"ZZ"&amp;ROW($M36)+45,Planung!$K36&amp;Planung!$F36)</f>
        <v>C10,545138888888889</v>
      </c>
      <c r="D93" s="448">
        <f ca="1"/>
        <v>1</v>
      </c>
    </row>
    <row r="94" spans="2:4" x14ac:dyDescent="0.2">
      <c r="B94" s="165">
        <v>92</v>
      </c>
      <c r="C94" s="451" t="str">
        <f ca="1">IF(OR(Planung!$L37="",Planung!$N37=""),"ZZ"&amp;ROW($M37)+45,Planung!$K37&amp;Planung!$F37)</f>
        <v>D10,545138888888889</v>
      </c>
      <c r="D94" s="448">
        <f ca="1"/>
        <v>1</v>
      </c>
    </row>
    <row r="95" spans="2:4" x14ac:dyDescent="0.2">
      <c r="B95" s="165">
        <v>93</v>
      </c>
      <c r="C95" s="451" t="str">
        <f ca="1">IF(OR(Planung!$L38="",Planung!$N38=""),"ZZ"&amp;ROW($M38)+45,Planung!$K38&amp;Planung!$F38)</f>
        <v>A50,569444444444444</v>
      </c>
      <c r="D95" s="448">
        <f ca="1"/>
        <v>1</v>
      </c>
    </row>
    <row r="96" spans="2:4" x14ac:dyDescent="0.2">
      <c r="B96" s="165">
        <v>94</v>
      </c>
      <c r="C96" s="451" t="str">
        <f ca="1">IF(OR(Planung!$L39="",Planung!$N39=""),"ZZ"&amp;ROW($M39)+45,Planung!$K39&amp;Planung!$F39)</f>
        <v>B50,569444444444444</v>
      </c>
      <c r="D96" s="448">
        <f ca="1"/>
        <v>1</v>
      </c>
    </row>
    <row r="97" spans="2:4" x14ac:dyDescent="0.2">
      <c r="B97" s="165">
        <v>95</v>
      </c>
      <c r="C97" s="451" t="str">
        <f ca="1">IF(OR(Planung!$L40="",Planung!$N40=""),"ZZ"&amp;ROW($M40)+45,Planung!$K40&amp;Planung!$F40)</f>
        <v>C50,569444444444444</v>
      </c>
      <c r="D97" s="448">
        <f ca="1"/>
        <v>1</v>
      </c>
    </row>
    <row r="98" spans="2:4" x14ac:dyDescent="0.2">
      <c r="B98" s="165">
        <v>96</v>
      </c>
      <c r="C98" s="451" t="str">
        <f ca="1">IF(OR(Planung!$L41="",Planung!$N41=""),"ZZ"&amp;ROW($M41)+45,Planung!$K41&amp;Planung!$F41)</f>
        <v>D50,569444444444444</v>
      </c>
      <c r="D98" s="448">
        <f ca="1"/>
        <v>1</v>
      </c>
    </row>
    <row r="99" spans="2:4" x14ac:dyDescent="0.2">
      <c r="B99" s="165">
        <v>97</v>
      </c>
      <c r="C99" s="451" t="str">
        <f ca="1">IF(OR(Planung!$L42="",Planung!$N42=""),"ZZ"&amp;ROW($M42)+45,Planung!$K42&amp;Planung!$F42)</f>
        <v>A20,59375</v>
      </c>
      <c r="D99" s="448">
        <f ca="1"/>
        <v>1</v>
      </c>
    </row>
    <row r="100" spans="2:4" x14ac:dyDescent="0.2">
      <c r="B100" s="165">
        <v>98</v>
      </c>
      <c r="C100" s="451" t="str">
        <f ca="1">IF(OR(Planung!$L43="",Planung!$N43=""),"ZZ"&amp;ROW($M43)+45,Planung!$K43&amp;Planung!$F43)</f>
        <v>B20,59375</v>
      </c>
      <c r="D100" s="448">
        <f ca="1"/>
        <v>1</v>
      </c>
    </row>
    <row r="101" spans="2:4" x14ac:dyDescent="0.2">
      <c r="B101" s="165">
        <v>99</v>
      </c>
      <c r="C101" s="451" t="str">
        <f ca="1">IF(OR(Planung!$L44="",Planung!$N44=""),"ZZ"&amp;ROW($M44)+45,Planung!$K44&amp;Planung!$F44)</f>
        <v>C20,59375</v>
      </c>
      <c r="D101" s="448">
        <f ca="1"/>
        <v>1</v>
      </c>
    </row>
    <row r="102" spans="2:4" x14ac:dyDescent="0.2">
      <c r="B102" s="165">
        <v>100</v>
      </c>
      <c r="C102" s="451" t="str">
        <f ca="1">IF(OR(Planung!$L45="",Planung!$N45=""),"ZZ"&amp;ROW($M45)+45,Planung!$K45&amp;Planung!$F45)</f>
        <v>D20,59375</v>
      </c>
      <c r="D102" s="448">
        <f ca="1"/>
        <v>1</v>
      </c>
    </row>
    <row r="103" spans="2:4" x14ac:dyDescent="0.2">
      <c r="B103" s="165">
        <v>101</v>
      </c>
      <c r="C103" s="451" t="str">
        <f ca="1">IF(OR(Planung!$L46="",Planung!$N46=""),"ZZ"&amp;ROW($M46)+45,Planung!$K46&amp;Planung!$F46)</f>
        <v>ZZ91</v>
      </c>
      <c r="D103" s="448">
        <f ca="1"/>
        <v>1</v>
      </c>
    </row>
    <row r="104" spans="2:4" x14ac:dyDescent="0.2">
      <c r="B104" s="165">
        <v>102</v>
      </c>
      <c r="C104" s="451" t="str">
        <f ca="1">IF(OR(Planung!$L47="",Planung!$N47=""),"ZZ"&amp;ROW($M47)+45,Planung!$K47&amp;Planung!$F47)</f>
        <v>ZZ92</v>
      </c>
      <c r="D104" s="448">
        <f ca="1"/>
        <v>1</v>
      </c>
    </row>
    <row r="105" spans="2:4" x14ac:dyDescent="0.2">
      <c r="B105" s="165">
        <v>103</v>
      </c>
      <c r="C105" s="451" t="str">
        <f ca="1">IF(OR(Planung!$L48="",Planung!$N48=""),"ZZ"&amp;ROW($M48)+45,Planung!$K48&amp;Planung!$F48)</f>
        <v>ZZ93</v>
      </c>
      <c r="D105" s="448">
        <f ca="1"/>
        <v>1</v>
      </c>
    </row>
    <row r="106" spans="2:4" x14ac:dyDescent="0.2">
      <c r="B106" s="165">
        <v>104</v>
      </c>
      <c r="C106" s="451" t="str">
        <f ca="1">IF(OR(Planung!$L49="",Planung!$N49=""),"ZZ"&amp;ROW($M49)+45,Planung!$K49&amp;Planung!$F49)</f>
        <v>ZZ94</v>
      </c>
      <c r="D106" s="448">
        <f ca="1"/>
        <v>1</v>
      </c>
    </row>
    <row r="107" spans="2:4" x14ac:dyDescent="0.2">
      <c r="B107" s="165">
        <v>105</v>
      </c>
      <c r="C107" s="451" t="str">
        <f ca="1">IF(OR(Planung!$L50="",Planung!$N50=""),"ZZ"&amp;ROW($M50)+45,Planung!$K50&amp;Planung!$F50)</f>
        <v>ZZ95</v>
      </c>
      <c r="D107" s="448">
        <f ca="1"/>
        <v>1</v>
      </c>
    </row>
    <row r="108" spans="2:4" x14ac:dyDescent="0.2">
      <c r="B108" s="165">
        <v>106</v>
      </c>
      <c r="C108" s="451" t="str">
        <f ca="1">IF(OR(Planung!$L51="",Planung!$N51=""),"ZZ"&amp;ROW($M51)+45,Planung!$K51&amp;Planung!$F51)</f>
        <v>ZZ96</v>
      </c>
      <c r="D108" s="448">
        <f ca="1"/>
        <v>1</v>
      </c>
    </row>
    <row r="109" spans="2:4" x14ac:dyDescent="0.2">
      <c r="B109" s="165">
        <v>107</v>
      </c>
      <c r="C109" s="451" t="str">
        <f ca="1">IF(OR(Planung!$L52="",Planung!$N52=""),"ZZ"&amp;ROW($M52)+45,Planung!$K52&amp;Planung!$F52)</f>
        <v>ZZ97</v>
      </c>
      <c r="D109" s="448">
        <f ca="1"/>
        <v>1</v>
      </c>
    </row>
    <row r="110" spans="2:4" x14ac:dyDescent="0.2">
      <c r="B110" s="165">
        <v>108</v>
      </c>
      <c r="C110" s="451" t="str">
        <f ca="1">IF(OR(Planung!$L53="",Planung!$N53=""),"ZZ"&amp;ROW($M53)+45,Planung!$K53&amp;Planung!$F53)</f>
        <v>ZZ98</v>
      </c>
      <c r="D110" s="448">
        <f ca="1"/>
        <v>1</v>
      </c>
    </row>
    <row r="111" spans="2:4" x14ac:dyDescent="0.2">
      <c r="B111" s="165">
        <v>109</v>
      </c>
      <c r="C111" s="451" t="str">
        <f ca="1">IF(OR(Planung!$L54="",Planung!$N54=""),"ZZ"&amp;ROW($M54)+45,Planung!$K54&amp;Planung!$F54)</f>
        <v>ZZ99</v>
      </c>
      <c r="D111" s="448">
        <f ca="1"/>
        <v>1</v>
      </c>
    </row>
    <row r="112" spans="2:4" x14ac:dyDescent="0.2">
      <c r="B112" s="165">
        <v>110</v>
      </c>
      <c r="C112" s="451" t="str">
        <f ca="1">IF(OR(Planung!$L55="",Planung!$N55=""),"ZZ"&amp;ROW($M55)+45,Planung!$K55&amp;Planung!$F55)</f>
        <v>ZZ100</v>
      </c>
      <c r="D112" s="448">
        <f ca="1"/>
        <v>1</v>
      </c>
    </row>
    <row r="113" spans="2:4" x14ac:dyDescent="0.2">
      <c r="B113" s="165">
        <v>111</v>
      </c>
      <c r="C113" s="451" t="str">
        <f ca="1">IF(OR(Planung!$L56="",Planung!$N56=""),"ZZ"&amp;ROW($M56)+45,Planung!$K56&amp;Planung!$F56)</f>
        <v>ZZ101</v>
      </c>
      <c r="D113" s="448">
        <f ca="1"/>
        <v>1</v>
      </c>
    </row>
    <row r="114" spans="2:4" x14ac:dyDescent="0.2">
      <c r="B114" s="165">
        <v>112</v>
      </c>
      <c r="C114" s="451" t="str">
        <f ca="1">IF(OR(Planung!$L57="",Planung!$N57=""),"ZZ"&amp;ROW($M57)+45,Planung!$K57&amp;Planung!$F57)</f>
        <v>ZZ102</v>
      </c>
      <c r="D114" s="448">
        <f ca="1"/>
        <v>1</v>
      </c>
    </row>
    <row r="115" spans="2:4" x14ac:dyDescent="0.2">
      <c r="B115" s="165">
        <v>113</v>
      </c>
      <c r="C115" s="451" t="str">
        <f ca="1">IF(OR(Planung!$L58="",Planung!$N58=""),"ZZ"&amp;ROW($M58)+45,Planung!$K58&amp;Planung!$F58)</f>
        <v>ZZ103</v>
      </c>
      <c r="D115" s="448">
        <f ca="1"/>
        <v>1</v>
      </c>
    </row>
    <row r="116" spans="2:4" x14ac:dyDescent="0.2">
      <c r="B116" s="165">
        <v>114</v>
      </c>
      <c r="C116" s="451" t="str">
        <f ca="1">IF(OR(Planung!$L59="",Planung!$N59=""),"ZZ"&amp;ROW($M59)+45,Planung!$K59&amp;Planung!$F59)</f>
        <v>ZZ104</v>
      </c>
      <c r="D116" s="448">
        <f ca="1"/>
        <v>1</v>
      </c>
    </row>
    <row r="117" spans="2:4" x14ac:dyDescent="0.2">
      <c r="B117" s="165">
        <v>115</v>
      </c>
      <c r="C117" s="451" t="str">
        <f ca="1">IF(OR(Planung!$L60="",Planung!$N60=""),"ZZ"&amp;ROW($M60)+45,Planung!$K60&amp;Planung!$F60)</f>
        <v>ZZ105</v>
      </c>
      <c r="D117" s="448">
        <f ca="1"/>
        <v>1</v>
      </c>
    </row>
    <row r="118" spans="2:4" x14ac:dyDescent="0.2">
      <c r="B118" s="165">
        <v>116</v>
      </c>
      <c r="C118" s="451" t="str">
        <f ca="1">IF(OR(Planung!$L61="",Planung!$N61=""),"ZZ"&amp;ROW($M61)+45,Planung!$K61&amp;Planung!$F61)</f>
        <v>ZZ106</v>
      </c>
      <c r="D118" s="448">
        <f ca="1"/>
        <v>1</v>
      </c>
    </row>
    <row r="119" spans="2:4" x14ac:dyDescent="0.2">
      <c r="B119" s="165">
        <v>117</v>
      </c>
      <c r="C119" s="451" t="str">
        <f ca="1">IF(OR(Planung!$L62="",Planung!$N62=""),"ZZ"&amp;ROW($M62)+45,Planung!$K62&amp;Planung!$F62)</f>
        <v>ZZ107</v>
      </c>
      <c r="D119" s="448">
        <f ca="1"/>
        <v>1</v>
      </c>
    </row>
    <row r="120" spans="2:4" x14ac:dyDescent="0.2">
      <c r="B120" s="165">
        <v>118</v>
      </c>
      <c r="C120" s="451" t="str">
        <f ca="1">IF(OR(Planung!$L63="",Planung!$N63=""),"ZZ"&amp;ROW($M63)+45,Planung!$K63&amp;Planung!$F63)</f>
        <v>ZZ108</v>
      </c>
      <c r="D120" s="448">
        <f ca="1"/>
        <v>1</v>
      </c>
    </row>
    <row r="121" spans="2:4" x14ac:dyDescent="0.2">
      <c r="B121" s="165">
        <v>119</v>
      </c>
      <c r="C121" s="451" t="str">
        <f ca="1">IF(OR(Planung!$L64="",Planung!$N64=""),"ZZ"&amp;ROW($M64)+45,Planung!$K64&amp;Planung!$F64)</f>
        <v>ZZ109</v>
      </c>
      <c r="D121" s="448">
        <f ca="1"/>
        <v>1</v>
      </c>
    </row>
    <row r="122" spans="2:4" x14ac:dyDescent="0.2">
      <c r="B122" s="165">
        <v>120</v>
      </c>
      <c r="C122" s="451" t="str">
        <f ca="1">IF(OR(Planung!$L65="",Planung!$N65=""),"ZZ"&amp;ROW($M65)+45,Planung!$K65&amp;Planung!$F65)</f>
        <v>ZZ110</v>
      </c>
      <c r="D122" s="448">
        <f ca="1"/>
        <v>1</v>
      </c>
    </row>
  </sheetData>
  <mergeCells count="20">
    <mergeCell ref="G57:G58"/>
    <mergeCell ref="G59:G60"/>
    <mergeCell ref="G61:G62"/>
    <mergeCell ref="G63:G64"/>
    <mergeCell ref="G65:G66"/>
    <mergeCell ref="G49:G50"/>
    <mergeCell ref="G51:G52"/>
    <mergeCell ref="G53:G54"/>
    <mergeCell ref="G35:G36"/>
    <mergeCell ref="G37:G38"/>
    <mergeCell ref="G39:G40"/>
    <mergeCell ref="G41:G42"/>
    <mergeCell ref="G45:G46"/>
    <mergeCell ref="G47:G48"/>
    <mergeCell ref="G33:G34"/>
    <mergeCell ref="G21:G22"/>
    <mergeCell ref="G23:G24"/>
    <mergeCell ref="G25:G26"/>
    <mergeCell ref="G27:G28"/>
    <mergeCell ref="G29:G30"/>
  </mergeCells>
  <conditionalFormatting sqref="G2">
    <cfRule type="expression" dxfId="42" priority="8">
      <formula>G2="FEHLER"</formula>
    </cfRule>
  </conditionalFormatting>
  <conditionalFormatting sqref="C3:C122">
    <cfRule type="duplicateValues" dxfId="41" priority="5"/>
  </conditionalFormatting>
  <conditionalFormatting sqref="E3">
    <cfRule type="expression" dxfId="40" priority="2">
      <formula>$E$3&gt;0</formula>
    </cfRule>
  </conditionalFormatting>
  <conditionalFormatting sqref="E4">
    <cfRule type="expression" dxfId="39"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40" t="str">
        <f>Sprache!$E$50</f>
        <v>Spielpaarungen</v>
      </c>
      <c r="C1" s="250" t="s">
        <v>177</v>
      </c>
      <c r="D1" s="255" t="s">
        <v>189</v>
      </c>
      <c r="E1" s="255" t="s">
        <v>193</v>
      </c>
      <c r="G1" s="250" t="s">
        <v>168</v>
      </c>
      <c r="H1" s="74" t="s">
        <v>191</v>
      </c>
      <c r="I1" s="74" t="s">
        <v>195</v>
      </c>
      <c r="K1" s="250" t="s">
        <v>169</v>
      </c>
      <c r="L1" s="74" t="s">
        <v>197</v>
      </c>
      <c r="M1" s="74" t="s">
        <v>193</v>
      </c>
      <c r="O1" s="250" t="s">
        <v>170</v>
      </c>
      <c r="P1" s="74" t="s">
        <v>191</v>
      </c>
      <c r="Q1" s="74" t="s">
        <v>199</v>
      </c>
    </row>
    <row r="2" spans="1:17" x14ac:dyDescent="0.2">
      <c r="A2" s="840"/>
      <c r="C2" s="313"/>
      <c r="D2" s="255" t="s">
        <v>190</v>
      </c>
      <c r="E2" s="255" t="s">
        <v>194</v>
      </c>
      <c r="G2" s="313"/>
      <c r="H2" s="74" t="s">
        <v>192</v>
      </c>
      <c r="I2" s="74" t="s">
        <v>196</v>
      </c>
      <c r="K2" s="313"/>
      <c r="L2" s="74" t="s">
        <v>198</v>
      </c>
      <c r="M2" s="74" t="s">
        <v>194</v>
      </c>
      <c r="N2" s="74"/>
      <c r="O2" s="313"/>
      <c r="P2" s="74" t="s">
        <v>192</v>
      </c>
      <c r="Q2" s="74" t="s">
        <v>200</v>
      </c>
    </row>
    <row r="3" spans="1:17" x14ac:dyDescent="0.2">
      <c r="A3" s="840"/>
      <c r="C3" s="313"/>
      <c r="D3" s="255" t="s">
        <v>266</v>
      </c>
      <c r="E3" s="255" t="s">
        <v>267</v>
      </c>
      <c r="G3" s="313"/>
      <c r="H3" s="74" t="s">
        <v>268</v>
      </c>
      <c r="I3" s="74" t="s">
        <v>269</v>
      </c>
      <c r="K3" s="313"/>
      <c r="L3" s="74" t="s">
        <v>270</v>
      </c>
      <c r="M3" s="74" t="s">
        <v>267</v>
      </c>
      <c r="O3" s="313"/>
      <c r="P3" s="74" t="s">
        <v>268</v>
      </c>
      <c r="Q3" s="74" t="s">
        <v>271</v>
      </c>
    </row>
    <row r="4" spans="1:17" x14ac:dyDescent="0.2">
      <c r="A4" s="840"/>
      <c r="C4" s="313"/>
      <c r="D4" s="255" t="s">
        <v>307</v>
      </c>
      <c r="E4" s="255" t="s">
        <v>306</v>
      </c>
      <c r="G4" s="313"/>
      <c r="H4" s="74" t="s">
        <v>305</v>
      </c>
      <c r="I4" s="74" t="s">
        <v>308</v>
      </c>
      <c r="K4" s="313"/>
      <c r="L4" s="74" t="s">
        <v>309</v>
      </c>
      <c r="M4" s="74" t="s">
        <v>306</v>
      </c>
      <c r="O4" s="313"/>
      <c r="P4" s="74" t="s">
        <v>305</v>
      </c>
      <c r="Q4" s="74" t="s">
        <v>310</v>
      </c>
    </row>
    <row r="5" spans="1:17" ht="12.75" customHeight="1" x14ac:dyDescent="0.2">
      <c r="A5" s="840"/>
      <c r="C5" s="310"/>
      <c r="D5" s="255" t="s">
        <v>189</v>
      </c>
      <c r="E5" s="255" t="s">
        <v>191</v>
      </c>
      <c r="G5" s="310"/>
      <c r="H5" s="74" t="s">
        <v>189</v>
      </c>
      <c r="I5" s="74" t="s">
        <v>193</v>
      </c>
      <c r="K5" s="311"/>
      <c r="L5" s="74" t="s">
        <v>189</v>
      </c>
      <c r="M5" s="74" t="s">
        <v>195</v>
      </c>
      <c r="O5" s="165"/>
      <c r="P5" s="74" t="s">
        <v>197</v>
      </c>
      <c r="Q5" s="74" t="s">
        <v>193</v>
      </c>
    </row>
    <row r="6" spans="1:17" ht="12.75" customHeight="1" x14ac:dyDescent="0.2">
      <c r="A6" s="840"/>
      <c r="C6" s="310"/>
      <c r="D6" s="255" t="s">
        <v>190</v>
      </c>
      <c r="E6" s="255" t="s">
        <v>192</v>
      </c>
      <c r="G6" s="310"/>
      <c r="H6" s="74" t="s">
        <v>190</v>
      </c>
      <c r="I6" s="74" t="s">
        <v>194</v>
      </c>
      <c r="K6" s="311"/>
      <c r="L6" s="74" t="s">
        <v>190</v>
      </c>
      <c r="M6" s="74" t="s">
        <v>196</v>
      </c>
      <c r="O6" s="165"/>
      <c r="P6" s="74" t="s">
        <v>198</v>
      </c>
      <c r="Q6" s="74" t="s">
        <v>194</v>
      </c>
    </row>
    <row r="7" spans="1:17" ht="12.75" customHeight="1" x14ac:dyDescent="0.2">
      <c r="A7" s="840"/>
      <c r="C7" s="310"/>
      <c r="D7" s="255" t="s">
        <v>266</v>
      </c>
      <c r="E7" s="255" t="s">
        <v>268</v>
      </c>
      <c r="G7" s="310"/>
      <c r="H7" s="74" t="s">
        <v>266</v>
      </c>
      <c r="I7" s="74" t="s">
        <v>267</v>
      </c>
      <c r="K7" s="311"/>
      <c r="L7" s="74" t="s">
        <v>266</v>
      </c>
      <c r="M7" s="74" t="s">
        <v>269</v>
      </c>
      <c r="N7" s="74"/>
      <c r="O7" s="165"/>
      <c r="P7" s="74" t="s">
        <v>270</v>
      </c>
      <c r="Q7" s="74" t="s">
        <v>267</v>
      </c>
    </row>
    <row r="8" spans="1:17" ht="12.75" customHeight="1" x14ac:dyDescent="0.2">
      <c r="A8" s="840"/>
      <c r="C8" s="310"/>
      <c r="D8" s="255" t="s">
        <v>307</v>
      </c>
      <c r="E8" s="255" t="s">
        <v>305</v>
      </c>
      <c r="G8" s="310"/>
      <c r="H8" s="74" t="s">
        <v>307</v>
      </c>
      <c r="I8" s="74" t="s">
        <v>306</v>
      </c>
      <c r="K8" s="311"/>
      <c r="L8" s="74" t="s">
        <v>307</v>
      </c>
      <c r="M8" s="74" t="s">
        <v>308</v>
      </c>
      <c r="O8" s="165"/>
      <c r="P8" s="74" t="s">
        <v>309</v>
      </c>
      <c r="Q8" s="74" t="s">
        <v>306</v>
      </c>
    </row>
    <row r="9" spans="1:17" x14ac:dyDescent="0.2">
      <c r="A9" s="840"/>
      <c r="C9" s="310"/>
      <c r="D9" s="255" t="s">
        <v>191</v>
      </c>
      <c r="E9" s="255" t="s">
        <v>193</v>
      </c>
      <c r="G9" s="310"/>
      <c r="H9" s="74" t="s">
        <v>189</v>
      </c>
      <c r="I9" s="74" t="s">
        <v>191</v>
      </c>
      <c r="K9" s="312"/>
      <c r="L9" s="74" t="s">
        <v>197</v>
      </c>
      <c r="M9" s="74" t="s">
        <v>191</v>
      </c>
      <c r="P9" s="74" t="s">
        <v>189</v>
      </c>
      <c r="Q9" s="74" t="s">
        <v>195</v>
      </c>
    </row>
    <row r="10" spans="1:17" x14ac:dyDescent="0.2">
      <c r="A10" s="840"/>
      <c r="C10" s="310"/>
      <c r="D10" s="255" t="s">
        <v>192</v>
      </c>
      <c r="E10" s="255" t="s">
        <v>194</v>
      </c>
      <c r="G10" s="310"/>
      <c r="H10" s="74" t="s">
        <v>190</v>
      </c>
      <c r="I10" s="74" t="s">
        <v>192</v>
      </c>
      <c r="J10" s="74"/>
      <c r="K10" s="74"/>
      <c r="L10" s="74" t="s">
        <v>198</v>
      </c>
      <c r="M10" s="74" t="s">
        <v>192</v>
      </c>
      <c r="P10" s="74" t="s">
        <v>190</v>
      </c>
      <c r="Q10" s="74" t="s">
        <v>196</v>
      </c>
    </row>
    <row r="11" spans="1:17" x14ac:dyDescent="0.2">
      <c r="A11" s="840"/>
      <c r="C11" s="310"/>
      <c r="D11" s="255" t="s">
        <v>268</v>
      </c>
      <c r="E11" s="255" t="s">
        <v>267</v>
      </c>
      <c r="G11" s="310"/>
      <c r="H11" s="74" t="s">
        <v>266</v>
      </c>
      <c r="I11" s="74" t="s">
        <v>268</v>
      </c>
      <c r="J11" s="74"/>
      <c r="K11" s="74"/>
      <c r="L11" s="74" t="s">
        <v>270</v>
      </c>
      <c r="M11" s="74" t="s">
        <v>268</v>
      </c>
      <c r="P11" s="74" t="s">
        <v>266</v>
      </c>
      <c r="Q11" s="74" t="s">
        <v>269</v>
      </c>
    </row>
    <row r="12" spans="1:17" x14ac:dyDescent="0.2">
      <c r="A12" s="840"/>
      <c r="C12" s="310"/>
      <c r="D12" s="255" t="s">
        <v>305</v>
      </c>
      <c r="E12" s="255" t="s">
        <v>306</v>
      </c>
      <c r="G12" s="310"/>
      <c r="H12" s="74" t="s">
        <v>307</v>
      </c>
      <c r="I12" s="74" t="s">
        <v>305</v>
      </c>
      <c r="K12" s="312"/>
      <c r="L12" s="74" t="s">
        <v>309</v>
      </c>
      <c r="M12" s="74" t="s">
        <v>305</v>
      </c>
      <c r="P12" s="74" t="s">
        <v>307</v>
      </c>
      <c r="Q12" s="74" t="s">
        <v>308</v>
      </c>
    </row>
    <row r="13" spans="1:17" ht="12.75" customHeight="1" x14ac:dyDescent="0.2">
      <c r="A13" s="840"/>
      <c r="C13" s="310"/>
      <c r="D13" s="255"/>
      <c r="E13" s="255"/>
      <c r="G13" s="310"/>
      <c r="H13" s="74" t="s">
        <v>193</v>
      </c>
      <c r="I13" s="74" t="s">
        <v>195</v>
      </c>
      <c r="K13" s="312"/>
      <c r="L13" s="74" t="s">
        <v>193</v>
      </c>
      <c r="M13" s="74" t="s">
        <v>189</v>
      </c>
      <c r="P13" s="74" t="s">
        <v>197</v>
      </c>
      <c r="Q13" s="74" t="s">
        <v>191</v>
      </c>
    </row>
    <row r="14" spans="1:17" ht="12.75" customHeight="1" x14ac:dyDescent="0.2">
      <c r="A14" s="840"/>
      <c r="C14" s="310"/>
      <c r="D14" s="255"/>
      <c r="E14" s="255"/>
      <c r="G14" s="310"/>
      <c r="H14" s="74" t="s">
        <v>194</v>
      </c>
      <c r="I14" s="74" t="s">
        <v>196</v>
      </c>
      <c r="K14" s="312"/>
      <c r="L14" s="74" t="s">
        <v>194</v>
      </c>
      <c r="M14" s="74" t="s">
        <v>190</v>
      </c>
      <c r="P14" s="74" t="s">
        <v>198</v>
      </c>
      <c r="Q14" s="74" t="s">
        <v>192</v>
      </c>
    </row>
    <row r="15" spans="1:17" ht="12.75" customHeight="1" x14ac:dyDescent="0.2">
      <c r="A15" s="840"/>
      <c r="C15" s="310"/>
      <c r="D15" s="255"/>
      <c r="E15" s="255"/>
      <c r="G15" s="310"/>
      <c r="H15" s="74" t="s">
        <v>267</v>
      </c>
      <c r="I15" s="74" t="s">
        <v>269</v>
      </c>
      <c r="K15" s="312"/>
      <c r="L15" s="74" t="s">
        <v>267</v>
      </c>
      <c r="M15" s="74" t="s">
        <v>266</v>
      </c>
      <c r="P15" s="74" t="s">
        <v>270</v>
      </c>
      <c r="Q15" s="74" t="s">
        <v>268</v>
      </c>
    </row>
    <row r="16" spans="1:17" ht="12.75" customHeight="1" x14ac:dyDescent="0.2">
      <c r="A16" s="840"/>
      <c r="C16" s="310"/>
      <c r="D16" s="255"/>
      <c r="E16" s="255"/>
      <c r="G16" s="310"/>
      <c r="H16" s="74" t="s">
        <v>306</v>
      </c>
      <c r="I16" s="74" t="s">
        <v>308</v>
      </c>
      <c r="K16" s="312"/>
      <c r="L16" s="74" t="s">
        <v>306</v>
      </c>
      <c r="M16" s="74" t="s">
        <v>307</v>
      </c>
      <c r="P16" s="74" t="s">
        <v>309</v>
      </c>
      <c r="Q16" s="74" t="s">
        <v>305</v>
      </c>
    </row>
    <row r="17" spans="1:17" x14ac:dyDescent="0.2">
      <c r="A17" s="840"/>
      <c r="C17" s="310"/>
      <c r="D17" s="255"/>
      <c r="E17" s="255"/>
      <c r="G17" s="310"/>
      <c r="H17" s="74" t="s">
        <v>191</v>
      </c>
      <c r="I17" s="74" t="s">
        <v>193</v>
      </c>
      <c r="K17" s="312"/>
      <c r="L17" s="74" t="s">
        <v>191</v>
      </c>
      <c r="M17" s="74" t="s">
        <v>195</v>
      </c>
      <c r="P17" s="74" t="s">
        <v>195</v>
      </c>
      <c r="Q17" s="74" t="s">
        <v>199</v>
      </c>
    </row>
    <row r="18" spans="1:17" x14ac:dyDescent="0.2">
      <c r="A18" s="840"/>
      <c r="C18" s="310"/>
      <c r="D18" s="255"/>
      <c r="E18" s="255"/>
      <c r="G18" s="310"/>
      <c r="H18" s="74" t="s">
        <v>192</v>
      </c>
      <c r="I18" s="74" t="s">
        <v>194</v>
      </c>
      <c r="K18" s="312"/>
      <c r="L18" s="74" t="s">
        <v>192</v>
      </c>
      <c r="M18" s="74" t="s">
        <v>196</v>
      </c>
      <c r="P18" s="74" t="s">
        <v>196</v>
      </c>
      <c r="Q18" s="74" t="s">
        <v>200</v>
      </c>
    </row>
    <row r="19" spans="1:17" x14ac:dyDescent="0.2">
      <c r="A19" s="840"/>
      <c r="C19" s="310"/>
      <c r="D19" s="255"/>
      <c r="E19" s="255"/>
      <c r="G19" s="310"/>
      <c r="H19" s="74" t="s">
        <v>268</v>
      </c>
      <c r="I19" s="74" t="s">
        <v>267</v>
      </c>
      <c r="K19" s="312"/>
      <c r="L19" s="74" t="s">
        <v>268</v>
      </c>
      <c r="M19" s="74" t="s">
        <v>269</v>
      </c>
      <c r="P19" s="74" t="s">
        <v>269</v>
      </c>
      <c r="Q19" s="74" t="s">
        <v>271</v>
      </c>
    </row>
    <row r="20" spans="1:17" x14ac:dyDescent="0.2">
      <c r="A20" s="840"/>
      <c r="C20" s="310"/>
      <c r="D20" s="255"/>
      <c r="E20" s="255"/>
      <c r="G20" s="310"/>
      <c r="H20" s="74" t="s">
        <v>305</v>
      </c>
      <c r="I20" s="74" t="s">
        <v>306</v>
      </c>
      <c r="K20" s="312"/>
      <c r="L20" s="74" t="s">
        <v>305</v>
      </c>
      <c r="M20" s="74" t="s">
        <v>308</v>
      </c>
      <c r="P20" s="74" t="s">
        <v>308</v>
      </c>
      <c r="Q20" s="74" t="s">
        <v>310</v>
      </c>
    </row>
    <row r="21" spans="1:17" ht="13.5" customHeight="1" x14ac:dyDescent="0.2">
      <c r="A21" s="840"/>
      <c r="C21" s="310"/>
      <c r="D21" s="255"/>
      <c r="E21" s="255"/>
      <c r="G21" s="310"/>
      <c r="H21" s="74" t="s">
        <v>195</v>
      </c>
      <c r="I21" s="74" t="s">
        <v>189</v>
      </c>
      <c r="K21" s="310"/>
      <c r="L21" s="74" t="s">
        <v>189</v>
      </c>
      <c r="M21" s="74" t="s">
        <v>197</v>
      </c>
      <c r="P21" s="74" t="s">
        <v>193</v>
      </c>
      <c r="Q21" s="74" t="s">
        <v>189</v>
      </c>
    </row>
    <row r="22" spans="1:17" ht="13.5" customHeight="1" x14ac:dyDescent="0.2">
      <c r="A22" s="840"/>
      <c r="C22" s="310"/>
      <c r="D22" s="255"/>
      <c r="E22" s="255"/>
      <c r="G22" s="310"/>
      <c r="H22" s="74" t="s">
        <v>196</v>
      </c>
      <c r="I22" s="74" t="s">
        <v>190</v>
      </c>
      <c r="K22" s="310"/>
      <c r="L22" s="74" t="s">
        <v>190</v>
      </c>
      <c r="M22" s="74" t="s">
        <v>198</v>
      </c>
      <c r="P22" s="74" t="s">
        <v>194</v>
      </c>
      <c r="Q22" s="74" t="s">
        <v>190</v>
      </c>
    </row>
    <row r="23" spans="1:17" ht="13.5" customHeight="1" x14ac:dyDescent="0.2">
      <c r="A23" s="840"/>
      <c r="C23" s="310"/>
      <c r="D23" s="255"/>
      <c r="E23" s="255"/>
      <c r="G23" s="310"/>
      <c r="H23" s="74" t="s">
        <v>269</v>
      </c>
      <c r="I23" s="74" t="s">
        <v>266</v>
      </c>
      <c r="K23" s="310"/>
      <c r="L23" s="74" t="s">
        <v>266</v>
      </c>
      <c r="M23" s="74" t="s">
        <v>270</v>
      </c>
      <c r="P23" s="74" t="s">
        <v>267</v>
      </c>
      <c r="Q23" s="74" t="s">
        <v>266</v>
      </c>
    </row>
    <row r="24" spans="1:17" ht="13.5" customHeight="1" x14ac:dyDescent="0.2">
      <c r="A24" s="840"/>
      <c r="C24" s="310"/>
      <c r="D24" s="255"/>
      <c r="E24" s="255"/>
      <c r="G24" s="310"/>
      <c r="H24" s="74" t="s">
        <v>308</v>
      </c>
      <c r="I24" s="74" t="s">
        <v>307</v>
      </c>
      <c r="K24" s="310"/>
      <c r="L24" s="74" t="s">
        <v>307</v>
      </c>
      <c r="M24" s="74" t="s">
        <v>309</v>
      </c>
      <c r="P24" s="74" t="s">
        <v>306</v>
      </c>
      <c r="Q24" s="74" t="s">
        <v>307</v>
      </c>
    </row>
    <row r="25" spans="1:17" ht="12.75" customHeight="1" x14ac:dyDescent="0.2">
      <c r="A25" s="840"/>
      <c r="D25" s="74"/>
      <c r="E25" s="74"/>
      <c r="G25" s="310"/>
      <c r="H25" s="74"/>
      <c r="I25" s="74"/>
      <c r="K25" s="310"/>
      <c r="L25" s="74" t="s">
        <v>193</v>
      </c>
      <c r="M25" s="74" t="s">
        <v>195</v>
      </c>
      <c r="P25" s="74" t="s">
        <v>191</v>
      </c>
      <c r="Q25" s="74" t="s">
        <v>195</v>
      </c>
    </row>
    <row r="26" spans="1:17" ht="12.75" customHeight="1" x14ac:dyDescent="0.2">
      <c r="A26" s="840"/>
      <c r="D26" s="74"/>
      <c r="E26" s="74"/>
      <c r="G26" s="310"/>
      <c r="H26" s="74"/>
      <c r="I26" s="74"/>
      <c r="K26" s="310"/>
      <c r="L26" s="74" t="s">
        <v>194</v>
      </c>
      <c r="M26" s="74" t="s">
        <v>196</v>
      </c>
      <c r="P26" s="74" t="s">
        <v>192</v>
      </c>
      <c r="Q26" s="74" t="s">
        <v>196</v>
      </c>
    </row>
    <row r="27" spans="1:17" ht="12.75" customHeight="1" x14ac:dyDescent="0.2">
      <c r="A27" s="840"/>
      <c r="D27" s="74"/>
      <c r="E27" s="74"/>
      <c r="G27" s="310"/>
      <c r="H27" s="74"/>
      <c r="I27" s="74"/>
      <c r="K27" s="310"/>
      <c r="L27" s="74" t="s">
        <v>267</v>
      </c>
      <c r="M27" s="74" t="s">
        <v>269</v>
      </c>
      <c r="P27" s="74" t="s">
        <v>268</v>
      </c>
      <c r="Q27" s="74" t="s">
        <v>269</v>
      </c>
    </row>
    <row r="28" spans="1:17" ht="12.75" customHeight="1" x14ac:dyDescent="0.2">
      <c r="A28" s="840"/>
      <c r="D28" s="74"/>
      <c r="E28" s="74"/>
      <c r="G28" s="310"/>
      <c r="H28" s="74"/>
      <c r="I28" s="74"/>
      <c r="K28" s="310"/>
      <c r="L28" s="74" t="s">
        <v>306</v>
      </c>
      <c r="M28" s="74" t="s">
        <v>308</v>
      </c>
      <c r="P28" s="74" t="s">
        <v>305</v>
      </c>
      <c r="Q28" s="74" t="s">
        <v>308</v>
      </c>
    </row>
    <row r="29" spans="1:17" x14ac:dyDescent="0.2">
      <c r="A29" s="840"/>
      <c r="C29" s="256"/>
      <c r="D29" s="74"/>
      <c r="E29" s="74"/>
      <c r="G29" s="310"/>
      <c r="H29" s="74"/>
      <c r="I29" s="74"/>
      <c r="K29" s="310"/>
      <c r="L29" s="74" t="s">
        <v>189</v>
      </c>
      <c r="M29" s="74" t="s">
        <v>191</v>
      </c>
      <c r="P29" s="74" t="s">
        <v>189</v>
      </c>
      <c r="Q29" s="74" t="s">
        <v>197</v>
      </c>
    </row>
    <row r="30" spans="1:17" x14ac:dyDescent="0.2">
      <c r="A30" s="840"/>
      <c r="C30" s="256"/>
      <c r="D30" s="74"/>
      <c r="E30" s="74"/>
      <c r="G30" s="310"/>
      <c r="H30" s="74"/>
      <c r="I30" s="74"/>
      <c r="K30" s="310"/>
      <c r="L30" s="74" t="s">
        <v>190</v>
      </c>
      <c r="M30" s="74" t="s">
        <v>192</v>
      </c>
      <c r="P30" s="74" t="s">
        <v>190</v>
      </c>
      <c r="Q30" s="74" t="s">
        <v>198</v>
      </c>
    </row>
    <row r="31" spans="1:17" x14ac:dyDescent="0.2">
      <c r="A31" s="840"/>
      <c r="C31" s="256"/>
      <c r="D31" s="74"/>
      <c r="E31" s="74"/>
      <c r="G31" s="310"/>
      <c r="H31" s="74"/>
      <c r="I31" s="74"/>
      <c r="K31" s="310"/>
      <c r="L31" s="74" t="s">
        <v>266</v>
      </c>
      <c r="M31" s="74" t="s">
        <v>268</v>
      </c>
      <c r="P31" s="74" t="s">
        <v>266</v>
      </c>
      <c r="Q31" s="74" t="s">
        <v>270</v>
      </c>
    </row>
    <row r="32" spans="1:17" x14ac:dyDescent="0.2">
      <c r="A32" s="840"/>
      <c r="C32" s="256"/>
      <c r="D32" s="74"/>
      <c r="E32" s="74"/>
      <c r="G32" s="310"/>
      <c r="H32" s="74"/>
      <c r="I32" s="74"/>
      <c r="K32" s="310"/>
      <c r="L32" s="74" t="s">
        <v>307</v>
      </c>
      <c r="M32" s="74" t="s">
        <v>305</v>
      </c>
      <c r="P32" s="74" t="s">
        <v>307</v>
      </c>
      <c r="Q32" s="74" t="s">
        <v>309</v>
      </c>
    </row>
    <row r="33" spans="1:17" x14ac:dyDescent="0.2">
      <c r="A33" s="840"/>
      <c r="C33" s="256"/>
      <c r="D33" s="74"/>
      <c r="E33" s="74"/>
      <c r="G33" s="310"/>
      <c r="H33" s="74"/>
      <c r="I33" s="74"/>
      <c r="K33" s="310"/>
      <c r="L33" s="74" t="s">
        <v>195</v>
      </c>
      <c r="M33" s="74" t="s">
        <v>197</v>
      </c>
      <c r="P33" s="74" t="s">
        <v>199</v>
      </c>
      <c r="Q33" s="74" t="s">
        <v>193</v>
      </c>
    </row>
    <row r="34" spans="1:17" x14ac:dyDescent="0.2">
      <c r="A34" s="840"/>
      <c r="C34" s="256"/>
      <c r="D34" s="74"/>
      <c r="E34" s="74"/>
      <c r="G34" s="310"/>
      <c r="H34" s="74"/>
      <c r="I34" s="74"/>
      <c r="K34" s="310"/>
      <c r="L34" s="74" t="s">
        <v>196</v>
      </c>
      <c r="M34" s="74" t="s">
        <v>198</v>
      </c>
      <c r="P34" s="74" t="s">
        <v>200</v>
      </c>
      <c r="Q34" s="74" t="s">
        <v>194</v>
      </c>
    </row>
    <row r="35" spans="1:17" x14ac:dyDescent="0.2">
      <c r="A35" s="840"/>
      <c r="C35" s="256"/>
      <c r="D35" s="74"/>
      <c r="E35" s="74"/>
      <c r="G35" s="310"/>
      <c r="H35" s="74"/>
      <c r="I35" s="74"/>
      <c r="K35" s="310"/>
      <c r="L35" s="74" t="s">
        <v>269</v>
      </c>
      <c r="M35" s="74" t="s">
        <v>270</v>
      </c>
      <c r="P35" s="74" t="s">
        <v>271</v>
      </c>
      <c r="Q35" s="74" t="s">
        <v>267</v>
      </c>
    </row>
    <row r="36" spans="1:17" x14ac:dyDescent="0.2">
      <c r="A36" s="840"/>
      <c r="C36" s="256"/>
      <c r="D36" s="74"/>
      <c r="E36" s="74"/>
      <c r="G36" s="310"/>
      <c r="H36" s="74"/>
      <c r="I36" s="74"/>
      <c r="K36" s="310"/>
      <c r="L36" s="74" t="s">
        <v>308</v>
      </c>
      <c r="M36" s="74" t="s">
        <v>309</v>
      </c>
      <c r="P36" s="74" t="s">
        <v>310</v>
      </c>
      <c r="Q36" s="74" t="s">
        <v>306</v>
      </c>
    </row>
    <row r="37" spans="1:17" x14ac:dyDescent="0.2">
      <c r="A37" s="840"/>
      <c r="C37" s="256"/>
      <c r="D37" s="74"/>
      <c r="E37" s="74"/>
      <c r="G37" s="310"/>
      <c r="H37" s="74"/>
      <c r="I37" s="74"/>
      <c r="K37" s="310"/>
      <c r="L37" s="74" t="s">
        <v>191</v>
      </c>
      <c r="M37" s="74" t="s">
        <v>193</v>
      </c>
      <c r="P37" s="74" t="s">
        <v>189</v>
      </c>
      <c r="Q37" s="74" t="s">
        <v>191</v>
      </c>
    </row>
    <row r="38" spans="1:17" x14ac:dyDescent="0.2">
      <c r="A38" s="840"/>
      <c r="C38" s="256"/>
      <c r="D38" s="74"/>
      <c r="E38" s="74"/>
      <c r="G38" s="310"/>
      <c r="H38" s="74"/>
      <c r="I38" s="74"/>
      <c r="K38" s="310"/>
      <c r="L38" s="74" t="s">
        <v>192</v>
      </c>
      <c r="M38" s="74" t="s">
        <v>194</v>
      </c>
      <c r="P38" s="74" t="s">
        <v>190</v>
      </c>
      <c r="Q38" s="74" t="s">
        <v>192</v>
      </c>
    </row>
    <row r="39" spans="1:17" x14ac:dyDescent="0.2">
      <c r="A39" s="840"/>
      <c r="C39" s="256"/>
      <c r="D39" s="74"/>
      <c r="E39" s="74"/>
      <c r="G39" s="310"/>
      <c r="H39" s="74"/>
      <c r="I39" s="74"/>
      <c r="K39" s="310"/>
      <c r="L39" s="74" t="s">
        <v>268</v>
      </c>
      <c r="M39" s="74" t="s">
        <v>267</v>
      </c>
      <c r="P39" s="74" t="s">
        <v>266</v>
      </c>
      <c r="Q39" s="74" t="s">
        <v>268</v>
      </c>
    </row>
    <row r="40" spans="1:17" x14ac:dyDescent="0.2">
      <c r="A40" s="840"/>
      <c r="C40" s="256"/>
      <c r="D40" s="74"/>
      <c r="E40" s="74"/>
      <c r="G40" s="310"/>
      <c r="H40" s="74"/>
      <c r="I40" s="74"/>
      <c r="K40" s="310"/>
      <c r="L40" s="74" t="s">
        <v>305</v>
      </c>
      <c r="M40" s="74" t="s">
        <v>306</v>
      </c>
      <c r="P40" s="74" t="s">
        <v>307</v>
      </c>
      <c r="Q40" s="74" t="s">
        <v>305</v>
      </c>
    </row>
    <row r="41" spans="1:17" x14ac:dyDescent="0.2">
      <c r="A41" s="840"/>
      <c r="C41" s="256"/>
      <c r="D41" s="74"/>
      <c r="E41" s="74"/>
      <c r="G41" s="310"/>
      <c r="H41" s="74"/>
      <c r="I41" s="74"/>
      <c r="K41" s="310"/>
      <c r="L41" s="74"/>
      <c r="M41" s="74"/>
      <c r="O41" s="310"/>
      <c r="P41" s="74" t="s">
        <v>193</v>
      </c>
      <c r="Q41" s="74" t="s">
        <v>195</v>
      </c>
    </row>
    <row r="42" spans="1:17" x14ac:dyDescent="0.2">
      <c r="A42" s="840"/>
      <c r="C42" s="256"/>
      <c r="D42" s="74"/>
      <c r="E42" s="74"/>
      <c r="G42" s="310"/>
      <c r="H42" s="74"/>
      <c r="I42" s="74"/>
      <c r="K42" s="310"/>
      <c r="L42" s="74"/>
      <c r="M42" s="74"/>
      <c r="O42" s="310"/>
      <c r="P42" s="74" t="s">
        <v>194</v>
      </c>
      <c r="Q42" s="74" t="s">
        <v>196</v>
      </c>
    </row>
    <row r="43" spans="1:17" x14ac:dyDescent="0.2">
      <c r="A43" s="840"/>
      <c r="C43" s="256"/>
      <c r="D43" s="74"/>
      <c r="E43" s="74"/>
      <c r="G43" s="310"/>
      <c r="H43" s="74"/>
      <c r="I43" s="74"/>
      <c r="K43" s="310"/>
      <c r="L43" s="74"/>
      <c r="M43" s="74"/>
      <c r="O43" s="310"/>
      <c r="P43" s="74" t="s">
        <v>267</v>
      </c>
      <c r="Q43" s="74" t="s">
        <v>269</v>
      </c>
    </row>
    <row r="44" spans="1:17" x14ac:dyDescent="0.2">
      <c r="A44" s="840"/>
      <c r="C44" s="256"/>
      <c r="D44" s="74"/>
      <c r="E44" s="74"/>
      <c r="G44" s="310"/>
      <c r="H44" s="74"/>
      <c r="I44" s="74"/>
      <c r="K44" s="310"/>
      <c r="L44" s="74"/>
      <c r="M44" s="74"/>
      <c r="O44" s="310"/>
      <c r="P44" s="74" t="s">
        <v>306</v>
      </c>
      <c r="Q44" s="74" t="s">
        <v>308</v>
      </c>
    </row>
    <row r="45" spans="1:17" x14ac:dyDescent="0.2">
      <c r="A45" s="840"/>
      <c r="D45" s="74"/>
      <c r="E45" s="74"/>
      <c r="H45" s="74"/>
      <c r="I45" s="74"/>
      <c r="K45" s="310"/>
      <c r="L45" s="74"/>
      <c r="M45" s="74"/>
      <c r="O45" s="310"/>
      <c r="P45" s="74" t="s">
        <v>197</v>
      </c>
      <c r="Q45" s="74" t="s">
        <v>199</v>
      </c>
    </row>
    <row r="46" spans="1:17" x14ac:dyDescent="0.2">
      <c r="A46" s="840"/>
      <c r="D46" s="74"/>
      <c r="E46" s="74"/>
      <c r="H46" s="74"/>
      <c r="I46" s="74"/>
      <c r="K46" s="310"/>
      <c r="L46" s="74"/>
      <c r="M46" s="74"/>
      <c r="O46" s="310"/>
      <c r="P46" s="74" t="s">
        <v>198</v>
      </c>
      <c r="Q46" s="74" t="s">
        <v>200</v>
      </c>
    </row>
    <row r="47" spans="1:17" x14ac:dyDescent="0.2">
      <c r="A47" s="840"/>
      <c r="D47" s="74"/>
      <c r="E47" s="74"/>
      <c r="H47" s="74"/>
      <c r="I47" s="74"/>
      <c r="K47" s="310"/>
      <c r="L47" s="74"/>
      <c r="M47" s="74"/>
      <c r="O47" s="310"/>
      <c r="P47" s="74" t="s">
        <v>270</v>
      </c>
      <c r="Q47" s="74" t="s">
        <v>271</v>
      </c>
    </row>
    <row r="48" spans="1:17" x14ac:dyDescent="0.2">
      <c r="A48" s="840"/>
      <c r="D48" s="74"/>
      <c r="E48" s="74"/>
      <c r="H48" s="74"/>
      <c r="I48" s="74"/>
      <c r="K48" s="310"/>
      <c r="L48" s="74"/>
      <c r="M48" s="74"/>
      <c r="O48" s="310"/>
      <c r="P48" s="74" t="s">
        <v>309</v>
      </c>
      <c r="Q48" s="74" t="s">
        <v>310</v>
      </c>
    </row>
    <row r="49" spans="1:17" x14ac:dyDescent="0.2">
      <c r="A49" s="840"/>
      <c r="K49" s="310"/>
      <c r="L49" s="74"/>
      <c r="M49" s="74"/>
      <c r="O49" s="310"/>
      <c r="P49" s="74" t="s">
        <v>191</v>
      </c>
      <c r="Q49" s="74" t="s">
        <v>193</v>
      </c>
    </row>
    <row r="50" spans="1:17" x14ac:dyDescent="0.2">
      <c r="A50" s="840"/>
      <c r="K50" s="310"/>
      <c r="L50" s="74"/>
      <c r="M50" s="74"/>
      <c r="O50" s="310"/>
      <c r="P50" s="74" t="s">
        <v>192</v>
      </c>
      <c r="Q50" s="74" t="s">
        <v>194</v>
      </c>
    </row>
    <row r="51" spans="1:17" x14ac:dyDescent="0.2">
      <c r="A51" s="840"/>
      <c r="K51" s="310"/>
      <c r="L51" s="74"/>
      <c r="M51" s="74"/>
      <c r="O51" s="310"/>
      <c r="P51" s="74" t="s">
        <v>268</v>
      </c>
      <c r="Q51" s="74" t="s">
        <v>267</v>
      </c>
    </row>
    <row r="52" spans="1:17" x14ac:dyDescent="0.2">
      <c r="A52" s="840"/>
      <c r="K52" s="310"/>
      <c r="L52" s="74"/>
      <c r="M52" s="74"/>
      <c r="O52" s="310"/>
      <c r="P52" s="74" t="s">
        <v>305</v>
      </c>
      <c r="Q52" s="74" t="s">
        <v>306</v>
      </c>
    </row>
    <row r="53" spans="1:17" x14ac:dyDescent="0.2">
      <c r="A53" s="840"/>
      <c r="K53" s="310"/>
      <c r="L53" s="74"/>
      <c r="M53" s="74"/>
      <c r="O53" s="310"/>
      <c r="P53" s="74" t="s">
        <v>199</v>
      </c>
      <c r="Q53" s="74" t="s">
        <v>189</v>
      </c>
    </row>
    <row r="54" spans="1:17" x14ac:dyDescent="0.2">
      <c r="A54" s="840"/>
      <c r="K54" s="310"/>
      <c r="L54" s="74"/>
      <c r="M54" s="74"/>
      <c r="O54" s="310"/>
      <c r="P54" s="74" t="s">
        <v>200</v>
      </c>
      <c r="Q54" s="74" t="s">
        <v>190</v>
      </c>
    </row>
    <row r="55" spans="1:17" x14ac:dyDescent="0.2">
      <c r="A55" s="840"/>
      <c r="K55" s="310"/>
      <c r="L55" s="74"/>
      <c r="M55" s="74"/>
      <c r="O55" s="310"/>
      <c r="P55" s="74" t="s">
        <v>271</v>
      </c>
      <c r="Q55" s="74" t="s">
        <v>266</v>
      </c>
    </row>
    <row r="56" spans="1:17" x14ac:dyDescent="0.2">
      <c r="A56" s="840"/>
      <c r="K56" s="310"/>
      <c r="L56" s="74"/>
      <c r="M56" s="74"/>
      <c r="O56" s="310"/>
      <c r="P56" s="74" t="s">
        <v>310</v>
      </c>
      <c r="Q56" s="74" t="s">
        <v>307</v>
      </c>
    </row>
    <row r="57" spans="1:17" x14ac:dyDescent="0.2">
      <c r="A57" s="840"/>
      <c r="K57" s="310"/>
      <c r="L57" s="74"/>
      <c r="M57" s="74"/>
      <c r="O57" s="310"/>
      <c r="P57" s="74" t="s">
        <v>195</v>
      </c>
      <c r="Q57" s="74" t="s">
        <v>197</v>
      </c>
    </row>
    <row r="58" spans="1:17" x14ac:dyDescent="0.2">
      <c r="A58" s="840"/>
      <c r="K58" s="312"/>
      <c r="L58" s="74"/>
      <c r="M58" s="74"/>
      <c r="O58" s="310"/>
      <c r="P58" s="74" t="s">
        <v>196</v>
      </c>
      <c r="Q58" s="74" t="s">
        <v>198</v>
      </c>
    </row>
    <row r="59" spans="1:17" x14ac:dyDescent="0.2">
      <c r="A59" s="840"/>
      <c r="L59" s="74"/>
      <c r="M59" s="74"/>
      <c r="O59" s="310"/>
      <c r="P59" s="74" t="s">
        <v>269</v>
      </c>
      <c r="Q59" s="74" t="s">
        <v>270</v>
      </c>
    </row>
    <row r="60" spans="1:17" x14ac:dyDescent="0.2">
      <c r="A60" s="840"/>
      <c r="L60" s="74"/>
      <c r="M60" s="74"/>
      <c r="O60" s="310"/>
      <c r="P60" s="74" t="s">
        <v>308</v>
      </c>
      <c r="Q60" s="74" t="s">
        <v>309</v>
      </c>
    </row>
    <row r="61" spans="1:17" x14ac:dyDescent="0.2">
      <c r="L61" s="74"/>
      <c r="M61" s="74"/>
      <c r="O61" s="310"/>
      <c r="P61" s="74"/>
      <c r="Q61" s="74"/>
    </row>
    <row r="62" spans="1:17" x14ac:dyDescent="0.2">
      <c r="L62" s="74"/>
      <c r="M62" s="74"/>
      <c r="O62" s="310"/>
      <c r="P62" s="74"/>
      <c r="Q62" s="74"/>
    </row>
    <row r="63" spans="1:17" x14ac:dyDescent="0.2">
      <c r="P63" s="74"/>
      <c r="Q63" s="74"/>
    </row>
    <row r="64" spans="1:17" x14ac:dyDescent="0.2">
      <c r="P64" s="74"/>
      <c r="Q64" s="74"/>
    </row>
    <row r="65" spans="16:17" x14ac:dyDescent="0.2">
      <c r="P65" s="74"/>
      <c r="Q65" s="74"/>
    </row>
    <row r="66" spans="16:17" x14ac:dyDescent="0.2">
      <c r="P66" s="74"/>
      <c r="Q66" s="74"/>
    </row>
    <row r="67" spans="16:17" x14ac:dyDescent="0.2">
      <c r="P67" s="74"/>
      <c r="Q67" s="74"/>
    </row>
    <row r="68" spans="16:17" x14ac:dyDescent="0.2">
      <c r="P68" s="74"/>
      <c r="Q68" s="74"/>
    </row>
    <row r="69" spans="16:17" x14ac:dyDescent="0.2">
      <c r="P69" s="74"/>
      <c r="Q69" s="74"/>
    </row>
    <row r="70" spans="16:17" x14ac:dyDescent="0.2">
      <c r="P70" s="74"/>
      <c r="Q70" s="74"/>
    </row>
    <row r="71" spans="16:17" x14ac:dyDescent="0.2">
      <c r="P71" s="74"/>
      <c r="Q71" s="74"/>
    </row>
    <row r="72" spans="16:17" x14ac:dyDescent="0.2">
      <c r="P72" s="74"/>
      <c r="Q72" s="74"/>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Q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6.7109375" style="42" customWidth="1"/>
    <col min="3" max="3" width="10" style="42" customWidth="1"/>
    <col min="4" max="5" width="6.5703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 style="42" customWidth="1"/>
    <col min="14" max="14" width="4.7109375" style="42" customWidth="1"/>
    <col min="15" max="15" width="15.7109375" style="42" customWidth="1"/>
    <col min="16" max="17" width="4.140625" style="42" customWidth="1"/>
    <col min="18" max="18" width="26.7109375" style="42" customWidth="1"/>
    <col min="19" max="22" width="5.28515625" style="42" customWidth="1"/>
    <col min="23" max="23" width="3.7109375" style="42" customWidth="1"/>
    <col min="24" max="24" width="2.140625" style="42" customWidth="1"/>
    <col min="25" max="25" width="3.7109375" style="42" customWidth="1"/>
    <col min="26" max="26" width="5.7109375" style="42" customWidth="1"/>
    <col min="27" max="27" width="2.140625" style="42" customWidth="1"/>
    <col min="28" max="28" width="5.7109375" style="42" customWidth="1"/>
    <col min="29" max="30" width="6.7109375" style="42" customWidth="1"/>
    <col min="31" max="36" width="7.85546875" style="42" customWidth="1"/>
    <col min="37" max="37" width="26.7109375" style="42" customWidth="1"/>
    <col min="38" max="38" width="4.140625" style="42" customWidth="1"/>
    <col min="39" max="39" width="3.28515625" style="42" hidden="1" customWidth="1"/>
    <col min="40" max="40" width="10" style="42" hidden="1" customWidth="1"/>
    <col min="41" max="41" width="30.7109375" style="42" hidden="1" customWidth="1"/>
    <col min="42" max="42" width="4.7109375" style="42" hidden="1" customWidth="1"/>
    <col min="43" max="16384" width="11.42578125" style="42" hidden="1"/>
  </cols>
  <sheetData>
    <row r="1" spans="1:43" ht="13.5" thickBot="1" x14ac:dyDescent="0.25">
      <c r="B1" s="322"/>
      <c r="C1" s="322"/>
      <c r="D1" s="288"/>
      <c r="E1" s="288"/>
      <c r="F1" s="288"/>
      <c r="G1" s="288"/>
      <c r="H1" s="288"/>
      <c r="I1" s="288"/>
      <c r="J1" s="288"/>
      <c r="K1" s="288"/>
      <c r="Q1" s="852"/>
      <c r="R1" s="852"/>
      <c r="AI1" s="322"/>
      <c r="AJ1" s="322"/>
    </row>
    <row r="2" spans="1:43" ht="36" customHeight="1" thickTop="1" x14ac:dyDescent="0.2">
      <c r="B2" s="287"/>
      <c r="C2" s="287"/>
      <c r="G2" s="859" t="s">
        <v>428</v>
      </c>
      <c r="H2" s="860"/>
      <c r="I2" s="860"/>
      <c r="J2" s="860"/>
      <c r="K2" s="860"/>
      <c r="L2" s="860"/>
      <c r="M2" s="860"/>
      <c r="N2" s="860"/>
      <c r="O2" s="860"/>
      <c r="P2" s="860"/>
      <c r="Q2" s="860"/>
      <c r="R2" s="860"/>
      <c r="S2" s="860"/>
      <c r="T2" s="860"/>
      <c r="U2" s="860"/>
      <c r="V2" s="860"/>
      <c r="W2" s="860"/>
      <c r="X2" s="860"/>
      <c r="Y2" s="860"/>
      <c r="Z2" s="860"/>
      <c r="AA2" s="860"/>
      <c r="AB2" s="860"/>
      <c r="AC2" s="861"/>
      <c r="AD2" s="758"/>
      <c r="AE2" s="759"/>
      <c r="AF2" s="759"/>
      <c r="AI2" s="858" t="s">
        <v>427</v>
      </c>
      <c r="AJ2" s="858"/>
    </row>
    <row r="3" spans="1:43" ht="30" customHeight="1" x14ac:dyDescent="0.2">
      <c r="G3" s="862" t="s">
        <v>236</v>
      </c>
      <c r="H3" s="863"/>
      <c r="I3" s="863"/>
      <c r="J3" s="863"/>
      <c r="K3" s="863"/>
      <c r="L3" s="863"/>
      <c r="M3" s="863"/>
      <c r="N3" s="863"/>
      <c r="O3" s="863"/>
      <c r="P3" s="863"/>
      <c r="Q3" s="863"/>
      <c r="R3" s="863"/>
      <c r="S3" s="863"/>
      <c r="T3" s="863"/>
      <c r="U3" s="863"/>
      <c r="V3" s="863"/>
      <c r="W3" s="863"/>
      <c r="X3" s="863"/>
      <c r="Y3" s="863"/>
      <c r="Z3" s="863"/>
      <c r="AA3" s="863"/>
      <c r="AB3" s="863"/>
      <c r="AC3" s="864"/>
      <c r="AD3" s="760"/>
      <c r="AE3" s="761"/>
      <c r="AF3" s="761"/>
    </row>
    <row r="4" spans="1:43" ht="30" customHeight="1" x14ac:dyDescent="0.2">
      <c r="G4" s="865" t="s">
        <v>249</v>
      </c>
      <c r="H4" s="866"/>
      <c r="I4" s="866"/>
      <c r="J4" s="866"/>
      <c r="K4" s="866"/>
      <c r="L4" s="866"/>
      <c r="M4" s="866"/>
      <c r="N4" s="866"/>
      <c r="O4" s="866"/>
      <c r="P4" s="866"/>
      <c r="Q4" s="866"/>
      <c r="R4" s="866"/>
      <c r="S4" s="866"/>
      <c r="T4" s="866"/>
      <c r="U4" s="866"/>
      <c r="V4" s="866"/>
      <c r="W4" s="866"/>
      <c r="X4" s="866"/>
      <c r="Y4" s="866"/>
      <c r="Z4" s="866"/>
      <c r="AA4" s="866"/>
      <c r="AB4" s="866"/>
      <c r="AC4" s="867"/>
      <c r="AD4" s="762"/>
      <c r="AE4" s="763"/>
      <c r="AF4" s="763"/>
    </row>
    <row r="5" spans="1:43" ht="30" customHeight="1" thickBot="1" x14ac:dyDescent="0.25">
      <c r="G5" s="868" t="s">
        <v>235</v>
      </c>
      <c r="H5" s="869"/>
      <c r="I5" s="869"/>
      <c r="J5" s="869"/>
      <c r="K5" s="869"/>
      <c r="L5" s="869"/>
      <c r="M5" s="869"/>
      <c r="N5" s="869"/>
      <c r="O5" s="869"/>
      <c r="P5" s="869"/>
      <c r="Q5" s="869"/>
      <c r="R5" s="869"/>
      <c r="S5" s="869"/>
      <c r="T5" s="869"/>
      <c r="U5" s="869"/>
      <c r="V5" s="869"/>
      <c r="W5" s="869"/>
      <c r="X5" s="869"/>
      <c r="Y5" s="869"/>
      <c r="Z5" s="869"/>
      <c r="AA5" s="869"/>
      <c r="AB5" s="869"/>
      <c r="AC5" s="870"/>
      <c r="AD5" s="762"/>
      <c r="AE5" s="763"/>
      <c r="AF5" s="763"/>
    </row>
    <row r="6" spans="1:43" ht="9" customHeight="1" thickTop="1" thickBot="1" x14ac:dyDescent="0.25">
      <c r="B6" s="323"/>
      <c r="C6" s="323"/>
      <c r="D6" s="323"/>
      <c r="E6" s="323"/>
      <c r="F6" s="323"/>
      <c r="G6" s="323"/>
      <c r="H6" s="323"/>
      <c r="I6" s="323"/>
      <c r="J6" s="323"/>
      <c r="K6" s="323"/>
    </row>
    <row r="7" spans="1:43" ht="30" customHeight="1" thickTop="1" x14ac:dyDescent="0.9">
      <c r="B7" s="323"/>
      <c r="C7" s="323"/>
      <c r="D7" s="323"/>
      <c r="E7" s="323"/>
      <c r="F7" s="323"/>
      <c r="G7" s="323"/>
      <c r="H7" s="323"/>
      <c r="I7" s="871" t="str">
        <f>Sprache!$E$18</f>
        <v>Vorrunde</v>
      </c>
      <c r="J7" s="872"/>
      <c r="K7" s="872"/>
      <c r="L7" s="872"/>
      <c r="M7" s="872"/>
      <c r="N7" s="872"/>
      <c r="O7" s="872"/>
      <c r="P7" s="872"/>
      <c r="Q7" s="872"/>
      <c r="R7" s="872"/>
      <c r="S7" s="872"/>
      <c r="T7" s="872"/>
      <c r="U7" s="872"/>
      <c r="V7" s="873"/>
      <c r="W7" s="765"/>
      <c r="X7" s="766"/>
      <c r="AK7" s="626"/>
      <c r="AN7" s="688"/>
      <c r="AO7" s="688"/>
      <c r="AP7" s="688"/>
      <c r="AQ7" s="688"/>
    </row>
    <row r="8" spans="1:43" ht="30" customHeight="1" thickBot="1" x14ac:dyDescent="0.95">
      <c r="B8" s="323"/>
      <c r="C8" s="323"/>
      <c r="D8" s="323"/>
      <c r="E8" s="323"/>
      <c r="F8" s="323"/>
      <c r="G8" s="323"/>
      <c r="H8" s="323"/>
      <c r="I8" s="874"/>
      <c r="J8" s="875"/>
      <c r="K8" s="875"/>
      <c r="L8" s="875"/>
      <c r="M8" s="875"/>
      <c r="N8" s="875"/>
      <c r="O8" s="875"/>
      <c r="P8" s="875"/>
      <c r="Q8" s="875"/>
      <c r="R8" s="875"/>
      <c r="S8" s="875"/>
      <c r="T8" s="875"/>
      <c r="U8" s="875"/>
      <c r="V8" s="876"/>
      <c r="W8" s="765"/>
      <c r="X8" s="766"/>
      <c r="AN8" s="688"/>
      <c r="AO8" s="688"/>
      <c r="AP8" s="688"/>
      <c r="AQ8" s="688"/>
    </row>
    <row r="9" spans="1:43" ht="13.5" customHeight="1" thickTop="1" thickBot="1" x14ac:dyDescent="0.35">
      <c r="C9" s="43"/>
      <c r="D9" s="43"/>
      <c r="E9" s="43"/>
      <c r="F9" s="321"/>
      <c r="G9" s="321"/>
      <c r="H9" s="321"/>
      <c r="I9" s="321"/>
      <c r="J9" s="321"/>
      <c r="K9" s="321"/>
      <c r="AE9" s="300"/>
      <c r="AF9" s="300"/>
      <c r="AG9" s="300"/>
      <c r="AH9" s="300"/>
      <c r="AI9" s="300"/>
      <c r="AJ9" s="300"/>
    </row>
    <row r="10" spans="1:43" ht="24" customHeight="1" thickBot="1" x14ac:dyDescent="0.45">
      <c r="A10" s="317"/>
      <c r="B10" s="319" t="str">
        <f>Sprache!$E$11</f>
        <v>Ergebnisse</v>
      </c>
      <c r="C10" s="318"/>
      <c r="D10" s="318"/>
      <c r="E10" s="318"/>
      <c r="F10" s="320"/>
      <c r="G10" s="320"/>
      <c r="H10" s="320"/>
      <c r="I10" s="320"/>
      <c r="J10" s="320"/>
      <c r="K10" s="320"/>
      <c r="Q10" s="843" t="str">
        <f>Sprache!$E$16&amp;" A"</f>
        <v>Gruppe A</v>
      </c>
      <c r="R10" s="843"/>
      <c r="S10" s="198"/>
      <c r="T10" s="198"/>
      <c r="U10" s="198"/>
      <c r="V10" s="198"/>
      <c r="W10" s="198"/>
      <c r="X10" s="198"/>
      <c r="Y10" s="198"/>
      <c r="Z10" s="198"/>
      <c r="AA10" s="198"/>
      <c r="AB10" s="198"/>
      <c r="AC10" s="198"/>
      <c r="AD10" s="198"/>
      <c r="AE10" s="297" t="str">
        <f ca="1">IF(LEN(R12)&gt;Einstellungen!$C$11,LEFT(R12,Einstellungen!$C$11)&amp;".",R12)</f>
        <v>1. FC R.</v>
      </c>
      <c r="AF10" s="298" t="str">
        <f ca="1">IF(LEN(R13)&gt;Einstellungen!$C$11,LEFT(R13,Einstellungen!$C$11)&amp;".",R13)</f>
        <v>VFB Ess.</v>
      </c>
      <c r="AG10" s="298" t="str">
        <f ca="1">IF(LEN(R14)&gt;Einstellungen!$C$11,LEFT(R14,Einstellungen!$C$11)&amp;".",R14)</f>
        <v>Eintrac.</v>
      </c>
      <c r="AH10" s="298" t="str">
        <f ca="1">IF(LEN(R15)&gt;Einstellungen!$C$11,LEFT(R15,Einstellungen!$C$11)&amp;".",R15)</f>
        <v>Maibach.</v>
      </c>
      <c r="AI10" s="298" t="str">
        <f ca="1">IF(LEN(R16)&gt;Einstellungen!$C$11,LEFT(R16,Einstellungen!$C$11)&amp;".",R16)</f>
        <v>FC Barc.</v>
      </c>
      <c r="AJ10" s="299" t="str">
        <f ca="1">IF(LEN(R17)&gt;Einstellungen!$C$11,LEFT(R17,Einstellungen!$C$11)&amp;".",R17)</f>
        <v/>
      </c>
      <c r="AK10" s="199"/>
      <c r="AN10" s="843" t="str">
        <f>Sprache!$E$16&amp;" A"</f>
        <v>Gruppe A</v>
      </c>
      <c r="AO10" s="843"/>
      <c r="AP10" s="687"/>
      <c r="AQ10" s="696" t="str">
        <f>Sprache!$E$49</f>
        <v>Tie-Break</v>
      </c>
    </row>
    <row r="11" spans="1:43" ht="24" customHeight="1" thickTop="1" thickBot="1" x14ac:dyDescent="0.25">
      <c r="B11" s="63" t="str">
        <f>Sprache!$E$9</f>
        <v>Nr.</v>
      </c>
      <c r="C11" s="184" t="str">
        <f>Sprache!$E$39</f>
        <v>Beginn:</v>
      </c>
      <c r="D11" s="184" t="str">
        <f>Sprache!$E$48</f>
        <v>Feld</v>
      </c>
      <c r="E11" s="184" t="str">
        <f>Sprache!$E$17</f>
        <v>Grp</v>
      </c>
      <c r="F11" s="853" t="str">
        <f>Sprache!$E$14</f>
        <v>Spielpaarung</v>
      </c>
      <c r="G11" s="854"/>
      <c r="H11" s="855"/>
      <c r="I11" s="856" t="str">
        <f>Sprache!$E$72</f>
        <v>1. Satz</v>
      </c>
      <c r="J11" s="854"/>
      <c r="K11" s="855"/>
      <c r="L11" s="856" t="str">
        <f>Sprache!$E$73</f>
        <v>2. Satz</v>
      </c>
      <c r="M11" s="854"/>
      <c r="N11" s="857"/>
      <c r="O11" s="753" t="str">
        <f>Sprache!$E$78</f>
        <v>Schiedsrichter</v>
      </c>
      <c r="Q11" s="844"/>
      <c r="R11" s="845"/>
      <c r="S11" s="200" t="str">
        <f>Sprache!$E$21</f>
        <v>SP</v>
      </c>
      <c r="T11" s="201" t="str">
        <f>Sprache!$E$22</f>
        <v>G</v>
      </c>
      <c r="U11" s="201" t="str">
        <f>Sprache!$E$23</f>
        <v>U</v>
      </c>
      <c r="V11" s="202" t="str">
        <f>Sprache!$E$24</f>
        <v>V</v>
      </c>
      <c r="W11" s="849" t="str">
        <f>Sprache!$E$25</f>
        <v>Sätze</v>
      </c>
      <c r="X11" s="850"/>
      <c r="Y11" s="851"/>
      <c r="Z11" s="846" t="str">
        <f>Sprache!$E$74</f>
        <v>Bälle</v>
      </c>
      <c r="AA11" s="847"/>
      <c r="AB11" s="848"/>
      <c r="AC11" s="201" t="str">
        <f>IF(Einstellungen!$G$7,Sprache!$E$26,Sprache!$E$80)</f>
        <v>Diff.</v>
      </c>
      <c r="AD11" s="203" t="str">
        <f>Sprache!$E$27</f>
        <v>Pkt</v>
      </c>
      <c r="AE11" s="204" t="str">
        <f ca="1">R12</f>
        <v>1. FC Riedwald</v>
      </c>
      <c r="AF11" s="205" t="str">
        <f ca="1">R13</f>
        <v>VFB Essenheim</v>
      </c>
      <c r="AG11" s="205" t="str">
        <f ca="1">R14</f>
        <v>Eintracht Frankfurt</v>
      </c>
      <c r="AH11" s="205" t="str">
        <f ca="1">R15</f>
        <v>Maibach 1822 eV</v>
      </c>
      <c r="AI11" s="205" t="str">
        <f ca="1">R16</f>
        <v>FC Barcelona</v>
      </c>
      <c r="AJ11" s="628" t="str">
        <f ca="1">R17</f>
        <v/>
      </c>
      <c r="AK11" s="199"/>
      <c r="AN11" s="436" t="str">
        <f>Sprache!$E$9</f>
        <v>Nr.</v>
      </c>
      <c r="AO11" s="689" t="str">
        <f>Sprache!$E$10</f>
        <v>Teilnehmer bzw. Mannschaft</v>
      </c>
      <c r="AP11" s="692"/>
      <c r="AQ11" s="469"/>
    </row>
    <row r="12" spans="1:43" ht="24" customHeight="1" x14ac:dyDescent="0.2">
      <c r="B12" s="347">
        <f>Planung!$E6</f>
        <v>1</v>
      </c>
      <c r="C12" s="235">
        <f>Planung!$F6</f>
        <v>0.375</v>
      </c>
      <c r="D12" s="236" t="str">
        <f>Planung!$G6</f>
        <v>1</v>
      </c>
      <c r="E12" s="236" t="str">
        <f ca="1">Planung!$H6</f>
        <v>A</v>
      </c>
      <c r="F12" s="237" t="str">
        <f ca="1">Planung!$L6</f>
        <v>VFB Essenheim</v>
      </c>
      <c r="G12" s="238" t="s">
        <v>4</v>
      </c>
      <c r="H12" s="237" t="str">
        <f ca="1">Planung!$N6</f>
        <v>FC Barcelona</v>
      </c>
      <c r="I12" s="764">
        <v>25</v>
      </c>
      <c r="J12" s="240" t="str">
        <f>Sprache!$E$90</f>
        <v>:</v>
      </c>
      <c r="K12" s="644">
        <v>19</v>
      </c>
      <c r="L12" s="239">
        <v>25</v>
      </c>
      <c r="M12" s="240" t="str">
        <f>Sprache!$E$90</f>
        <v>:</v>
      </c>
      <c r="N12" s="241">
        <v>17</v>
      </c>
      <c r="O12" s="755" t="str">
        <f>IF(Planung!$O6="","",Planung!$O6)</f>
        <v/>
      </c>
      <c r="Q12" s="383">
        <f ca="1">IF(Calc1!$K$13=0,"",1)</f>
        <v>1</v>
      </c>
      <c r="R12" s="384" t="str">
        <f ca="1">IF(Calc1!$F$14&lt;3,"",IF(Calc1!$K$13=0,Calc1!$Q64,VLOOKUP(Calc1!B4,Calc1!$C$4:$N$12,4,0)))</f>
        <v>1. FC Riedwald</v>
      </c>
      <c r="S12" s="206">
        <f ca="1">IF(Calc1!$K$13=0,"",VLOOKUP(Calc1!B4,Calc1!$C$4:$N$12,9,0))</f>
        <v>4</v>
      </c>
      <c r="T12" s="207">
        <f ca="1">IF(Calc1!$K$13=0,"",VLOOKUP(Calc1!B4,Calc1!$C$4:$N$12,10,0))</f>
        <v>3</v>
      </c>
      <c r="U12" s="207">
        <f ca="1">IF(Calc1!$K$13=0,"",VLOOKUP(Calc1!B4,Calc1!$C$4:$N$12,11,0))</f>
        <v>1</v>
      </c>
      <c r="V12" s="208">
        <f ca="1">IF(Calc1!$K$13=0,"",VLOOKUP(Calc1!B4,Calc1!$C$4:$N$12,12,0))</f>
        <v>0</v>
      </c>
      <c r="W12" s="209">
        <f ca="1">AD12</f>
        <v>7</v>
      </c>
      <c r="X12" s="210" t="str">
        <f>Sprache!$E$90</f>
        <v>:</v>
      </c>
      <c r="Y12" s="211">
        <f ca="1">IF(Calc1!$K$13=0,"",VLOOKUP(Calc1!B4,Calc1!$C$4:$AS$12,43,0))</f>
        <v>1</v>
      </c>
      <c r="Z12" s="209">
        <f ca="1">IF(Calc1!$K$13=0,"",VLOOKUP(Calc1!B4,Calc1!$C$4:$N$12,5,0))</f>
        <v>193</v>
      </c>
      <c r="AA12" s="210" t="str">
        <f>Sprache!$E$90</f>
        <v>:</v>
      </c>
      <c r="AB12" s="211">
        <f ca="1">IF(Calc1!$K$13=0,"",VLOOKUP(Calc1!B4,Calc1!$C$4:$N$12,6,0))</f>
        <v>149</v>
      </c>
      <c r="AC12" s="206">
        <f ca="1">IF(Calc1!$K$13=0,"",IF(VLOOKUP(Calc1!B4,Calc1!$C$4:$AR$12,42,0)=Einstellungen!$F$7,"max",VLOOKUP(Calc1!B4,Calc1!$C$4:$AR$12,42,0)))</f>
        <v>44</v>
      </c>
      <c r="AD12" s="212">
        <f ca="1">IF(Calc1!$K$13=0,"",VLOOKUP(Calc1!B4,Calc1!$C$4:$N$12,8,0))</f>
        <v>7</v>
      </c>
      <c r="AE12" s="213"/>
      <c r="AF12" s="207" t="str">
        <f ca="1">IFERROR(VLOOKUP($R12&amp;AF$11,Calc1!$Z$64:$AI$207,Einstellungen!$G$17,0),"")</f>
        <v>43:41</v>
      </c>
      <c r="AG12" s="207" t="str">
        <f ca="1">IFERROR(VLOOKUP($R12&amp;AG$11,Calc1!$Z$64:$AI$207,Einstellungen!$G$17,0),"")</f>
        <v>50:34</v>
      </c>
      <c r="AH12" s="207" t="str">
        <f ca="1">IFERROR(VLOOKUP($R12&amp;AH$11,Calc1!$Z$64:$AI$207,Einstellungen!$G$17,0),"")</f>
        <v>50:39</v>
      </c>
      <c r="AI12" s="207" t="str">
        <f ca="1">IFERROR(VLOOKUP($R12&amp;AI$11,Calc1!$Z$64:$AI$207,Einstellungen!$G$17,0),"")</f>
        <v>50:35</v>
      </c>
      <c r="AJ12" s="214" t="str">
        <f ca="1">IFERROR(VLOOKUP($R12&amp;AJ$11,Calc1!$Z$64:$AI$207,Einstellungen!$G$17,0),"")</f>
        <v/>
      </c>
      <c r="AK12" s="215" t="str">
        <f t="shared" ref="AK12:AK17" ca="1" si="0">R12</f>
        <v>1. FC Riedwald</v>
      </c>
      <c r="AN12" s="437" t="s">
        <v>191</v>
      </c>
      <c r="AO12" s="690" t="str">
        <f>IF(Planung!$C7="","",Planung!$C7)</f>
        <v>1. FC Riedwald</v>
      </c>
      <c r="AP12" s="291"/>
      <c r="AQ12" s="712">
        <f>IF($AO12="",0,COUNTIF(TieBreak!$U$12:$U$17,$AO12))</f>
        <v>0</v>
      </c>
    </row>
    <row r="13" spans="1:43" ht="24" customHeight="1" x14ac:dyDescent="0.2">
      <c r="B13" s="347">
        <f ca="1">Planung!$E7</f>
        <v>2</v>
      </c>
      <c r="C13" s="235">
        <f ca="1">Planung!$F7</f>
        <v>0.375</v>
      </c>
      <c r="D13" s="236">
        <f ca="1">Planung!$G7</f>
        <v>2</v>
      </c>
      <c r="E13" s="236" t="str">
        <f ca="1">Planung!$H7</f>
        <v>B</v>
      </c>
      <c r="F13" s="237" t="str">
        <f ca="1">Planung!$L7</f>
        <v>FC Grönlingen</v>
      </c>
      <c r="G13" s="238" t="s">
        <v>4</v>
      </c>
      <c r="H13" s="237" t="str">
        <f ca="1">Planung!$N7</f>
        <v>Inter Mailand</v>
      </c>
      <c r="I13" s="239">
        <v>25</v>
      </c>
      <c r="J13" s="240" t="str">
        <f>Sprache!$E$90</f>
        <v>:</v>
      </c>
      <c r="K13" s="644">
        <v>20</v>
      </c>
      <c r="L13" s="239">
        <v>20</v>
      </c>
      <c r="M13" s="240" t="str">
        <f>Sprache!$E$90</f>
        <v>:</v>
      </c>
      <c r="N13" s="241">
        <v>25</v>
      </c>
      <c r="O13" s="756" t="str">
        <f>IF(Planung!$O7="","",Planung!$O7)</f>
        <v/>
      </c>
      <c r="Q13" s="385">
        <f ca="1">IF(Calc1!$K$13=0,"",IF(VLOOKUP(Calc1!B5,Calc1!$C$4:$E$12,3,0)=MAX(Q$12:Q12),VLOOKUP(Calc1!B5,Calc1!$C$4:$E$12,3,0),Calc1!B5))</f>
        <v>2</v>
      </c>
      <c r="R13" s="386" t="str">
        <f ca="1">IF(Calc1!$F$14&lt;3,"",IF(Calc1!$K$13=0,Calc1!$Q65,VLOOKUP(Calc1!B5,Calc1!$C$4:$N$12,4,0)))</f>
        <v>VFB Essenheim</v>
      </c>
      <c r="S13" s="216">
        <f ca="1">IF(Calc1!$K$13=0,"",VLOOKUP(Calc1!B5,Calc1!$C$4:$N$12,9,0))</f>
        <v>4</v>
      </c>
      <c r="T13" s="197">
        <f ca="1">IF(Calc1!$K$13=0,"",VLOOKUP(Calc1!B5,Calc1!$C$4:$N$12,10,0))</f>
        <v>1</v>
      </c>
      <c r="U13" s="197">
        <f ca="1">IF(Calc1!$K$13=0,"",VLOOKUP(Calc1!B5,Calc1!$C$4:$N$12,11,0))</f>
        <v>3</v>
      </c>
      <c r="V13" s="217">
        <f ca="1">IF(Calc1!$K$13=0,"",VLOOKUP(Calc1!B5,Calc1!$C$4:$N$12,12,0))</f>
        <v>0</v>
      </c>
      <c r="W13" s="218">
        <f t="shared" ref="W13:W17" ca="1" si="1">AD13</f>
        <v>5</v>
      </c>
      <c r="X13" s="219" t="str">
        <f>Sprache!$E$90</f>
        <v>:</v>
      </c>
      <c r="Y13" s="220">
        <f ca="1">IF(Calc1!$K$13=0,"",VLOOKUP(Calc1!B5,Calc1!$C$4:$AS$12,43,0))</f>
        <v>3</v>
      </c>
      <c r="Z13" s="218">
        <f ca="1">IF(Calc1!$K$13=0,"",VLOOKUP(Calc1!B5,Calc1!$C$4:$N$12,5,0))</f>
        <v>173</v>
      </c>
      <c r="AA13" s="219" t="str">
        <f>Sprache!$E$90</f>
        <v>:</v>
      </c>
      <c r="AB13" s="220">
        <f ca="1">IF(Calc1!$K$13=0,"",VLOOKUP(Calc1!B5,Calc1!$C$4:$N$12,6,0))</f>
        <v>159</v>
      </c>
      <c r="AC13" s="216">
        <f ca="1">IF(Calc1!$K$13=0,"",IF(VLOOKUP(Calc1!B5,Calc1!$C$4:$AR$12,42,0)=Einstellungen!$F$7,"max",VLOOKUP(Calc1!B5,Calc1!$C$4:$AR$12,42,0)))</f>
        <v>14</v>
      </c>
      <c r="AD13" s="221">
        <f ca="1">IF(Calc1!$K$13=0,"",VLOOKUP(Calc1!B5,Calc1!$C$4:$N$12,8,0))</f>
        <v>5</v>
      </c>
      <c r="AE13" s="222" t="str">
        <f ca="1">IFERROR(VLOOKUP($R13&amp;AE$11,Calc1!$Z$64:$AI$207,Einstellungen!$G$17,0),"")</f>
        <v>41:43</v>
      </c>
      <c r="AF13" s="223"/>
      <c r="AG13" s="197" t="str">
        <f ca="1">IFERROR(VLOOKUP($R13&amp;AG$11,Calc1!$Z$64:$AI$207,Einstellungen!$G$17,0),"")</f>
        <v>36:38</v>
      </c>
      <c r="AH13" s="197" t="str">
        <f ca="1">IFERROR(VLOOKUP($R13&amp;AH$11,Calc1!$Z$64:$AI$207,Einstellungen!$G$17,0),"")</f>
        <v>46:42</v>
      </c>
      <c r="AI13" s="197" t="str">
        <f ca="1">IFERROR(VLOOKUP($R13&amp;AI$11,Calc1!$Z$64:$AI$207,Einstellungen!$G$17,0),"")</f>
        <v>50:36</v>
      </c>
      <c r="AJ13" s="224" t="str">
        <f ca="1">IFERROR(VLOOKUP($R13&amp;AJ$11,Calc1!$Z$64:$AI$207,Einstellungen!$G$17,0),"")</f>
        <v/>
      </c>
      <c r="AK13" s="225" t="str">
        <f t="shared" ca="1" si="0"/>
        <v>VFB Essenheim</v>
      </c>
      <c r="AN13" s="438" t="s">
        <v>193</v>
      </c>
      <c r="AO13" s="386" t="str">
        <f>IF(Planung!$C9="","",Planung!$C9)</f>
        <v>FC Barcelona</v>
      </c>
      <c r="AP13" s="291"/>
      <c r="AQ13" s="713">
        <f>IF($AO13="",0,COUNTIF(TieBreak!$U$12:$U$17,$AO13))</f>
        <v>0</v>
      </c>
    </row>
    <row r="14" spans="1:43" ht="24" customHeight="1" x14ac:dyDescent="0.2">
      <c r="B14" s="347">
        <f ca="1">Planung!$E8</f>
        <v>3</v>
      </c>
      <c r="C14" s="235">
        <f ca="1">Planung!$F8</f>
        <v>0.375</v>
      </c>
      <c r="D14" s="236">
        <f ca="1">Planung!$G8</f>
        <v>3</v>
      </c>
      <c r="E14" s="236" t="str">
        <f ca="1">Planung!$H8</f>
        <v>C</v>
      </c>
      <c r="F14" s="237" t="str">
        <f ca="1">Planung!$L8</f>
        <v>1. FC Nürnberg</v>
      </c>
      <c r="G14" s="238" t="s">
        <v>4</v>
      </c>
      <c r="H14" s="237" t="str">
        <f ca="1">Planung!$N8</f>
        <v>Real Madrid</v>
      </c>
      <c r="I14" s="239">
        <v>25</v>
      </c>
      <c r="J14" s="240" t="str">
        <f>Sprache!$E$90</f>
        <v>:</v>
      </c>
      <c r="K14" s="644">
        <v>21</v>
      </c>
      <c r="L14" s="239">
        <v>25</v>
      </c>
      <c r="M14" s="240" t="str">
        <f>Sprache!$E$90</f>
        <v>:</v>
      </c>
      <c r="N14" s="241">
        <v>19</v>
      </c>
      <c r="O14" s="756" t="str">
        <f>IF(Planung!$O8="","",Planung!$O8)</f>
        <v/>
      </c>
      <c r="Q14" s="385">
        <f ca="1">IF(Calc1!$K$13=0,"",IF(VLOOKUP(Calc1!B6,Calc1!$C$4:$E$12,3,0)=MAX(Q$12:Q13),VLOOKUP(Calc1!B6,Calc1!$C$4:$E$12,3,0),Calc1!B6))</f>
        <v>3</v>
      </c>
      <c r="R14" s="386" t="str">
        <f ca="1">IF(Calc1!$F$14&lt;3,"",IF(Calc1!$K$13=0,Calc1!$Q66,VLOOKUP(Calc1!B6,Calc1!$C$4:$N$12,4,0)))</f>
        <v>Eintracht Frankfurt</v>
      </c>
      <c r="S14" s="216">
        <f ca="1">IF(Calc1!$K$13=0,"",VLOOKUP(Calc1!B6,Calc1!$C$4:$N$12,9,0))</f>
        <v>4</v>
      </c>
      <c r="T14" s="197">
        <f ca="1">IF(Calc1!$K$13=0,"",VLOOKUP(Calc1!B6,Calc1!$C$4:$N$12,10,0))</f>
        <v>2</v>
      </c>
      <c r="U14" s="197">
        <f ca="1">IF(Calc1!$K$13=0,"",VLOOKUP(Calc1!B6,Calc1!$C$4:$N$12,11,0))</f>
        <v>1</v>
      </c>
      <c r="V14" s="217">
        <f ca="1">IF(Calc1!$K$13=0,"",VLOOKUP(Calc1!B6,Calc1!$C$4:$N$12,12,0))</f>
        <v>1</v>
      </c>
      <c r="W14" s="218">
        <f t="shared" ca="1" si="1"/>
        <v>5</v>
      </c>
      <c r="X14" s="219" t="str">
        <f>Sprache!$E$90</f>
        <v>:</v>
      </c>
      <c r="Y14" s="220">
        <f ca="1">IF(Calc1!$K$13=0,"",VLOOKUP(Calc1!B6,Calc1!$C$4:$AS$12,43,0))</f>
        <v>3</v>
      </c>
      <c r="Z14" s="218">
        <f ca="1">IF(Calc1!$K$13=0,"",VLOOKUP(Calc1!B6,Calc1!$C$4:$N$12,5,0))</f>
        <v>172</v>
      </c>
      <c r="AA14" s="219" t="str">
        <f>Sprache!$E$90</f>
        <v>:</v>
      </c>
      <c r="AB14" s="220">
        <f ca="1">IF(Calc1!$K$13=0,"",VLOOKUP(Calc1!B6,Calc1!$C$4:$N$12,6,0))</f>
        <v>159</v>
      </c>
      <c r="AC14" s="216">
        <f ca="1">IF(Calc1!$K$13=0,"",IF(VLOOKUP(Calc1!B6,Calc1!$C$4:$AR$12,42,0)=Einstellungen!$F$7,"max",VLOOKUP(Calc1!B6,Calc1!$C$4:$AR$12,42,0)))</f>
        <v>13</v>
      </c>
      <c r="AD14" s="221">
        <f ca="1">IF(Calc1!$K$13=0,"",VLOOKUP(Calc1!B6,Calc1!$C$4:$N$12,8,0))</f>
        <v>5</v>
      </c>
      <c r="AE14" s="222" t="str">
        <f ca="1">IFERROR(VLOOKUP($R14&amp;AE$11,Calc1!$Z$64:$AI$207,Einstellungen!$G$17,0),"")</f>
        <v>34:50</v>
      </c>
      <c r="AF14" s="412" t="str">
        <f ca="1">IFERROR(VLOOKUP($R14&amp;AF$11,Calc1!$Z$64:$AI$207,Einstellungen!$G$17,0),"")</f>
        <v>38:36</v>
      </c>
      <c r="AG14" s="223"/>
      <c r="AH14" s="197" t="str">
        <f ca="1">IFERROR(VLOOKUP($R14&amp;AH$11,Calc1!$Z$64:$AI$207,Einstellungen!$G$17,0),"")</f>
        <v>50:44</v>
      </c>
      <c r="AI14" s="197" t="str">
        <f ca="1">IFERROR(VLOOKUP($R14&amp;AI$11,Calc1!$Z$64:$AI$207,Einstellungen!$G$17,0),"")</f>
        <v>50:29</v>
      </c>
      <c r="AJ14" s="224" t="str">
        <f ca="1">IFERROR(VLOOKUP($R14&amp;AJ$11,Calc1!$Z$64:$AI$207,Einstellungen!$G$17,0),"")</f>
        <v/>
      </c>
      <c r="AK14" s="225" t="str">
        <f t="shared" ca="1" si="0"/>
        <v>Eintracht Frankfurt</v>
      </c>
      <c r="AN14" s="438" t="s">
        <v>189</v>
      </c>
      <c r="AO14" s="386" t="str">
        <f>IF(Planung!$C11="","",Planung!$C11)</f>
        <v>Eintracht Frankfurt</v>
      </c>
      <c r="AP14" s="291"/>
      <c r="AQ14" s="713">
        <f>IF($AO14="",0,COUNTIF(TieBreak!$U$12:$U$17,$AO14))</f>
        <v>0</v>
      </c>
    </row>
    <row r="15" spans="1:43" ht="24" customHeight="1" x14ac:dyDescent="0.2">
      <c r="B15" s="347">
        <f ca="1">Planung!$E9</f>
        <v>4</v>
      </c>
      <c r="C15" s="235">
        <f ca="1">Planung!$F9</f>
        <v>0.375</v>
      </c>
      <c r="D15" s="236">
        <f ca="1">Planung!$G9</f>
        <v>4</v>
      </c>
      <c r="E15" s="236" t="str">
        <f ca="1">Planung!$H9</f>
        <v>D</v>
      </c>
      <c r="F15" s="237" t="str">
        <f ca="1">Planung!$L9</f>
        <v>SV Oberredenburg</v>
      </c>
      <c r="G15" s="238" t="s">
        <v>4</v>
      </c>
      <c r="H15" s="237" t="str">
        <f ca="1">Planung!$N9</f>
        <v>Paris St. Germain</v>
      </c>
      <c r="I15" s="239">
        <v>25</v>
      </c>
      <c r="J15" s="240" t="str">
        <f>Sprache!$E$90</f>
        <v>:</v>
      </c>
      <c r="K15" s="644">
        <v>22</v>
      </c>
      <c r="L15" s="239">
        <v>25</v>
      </c>
      <c r="M15" s="240" t="str">
        <f>Sprache!$E$90</f>
        <v>:</v>
      </c>
      <c r="N15" s="241">
        <v>20</v>
      </c>
      <c r="O15" s="756" t="str">
        <f>IF(Planung!$O9="","",Planung!$O9)</f>
        <v/>
      </c>
      <c r="Q15" s="385">
        <f ca="1">IF(Calc1!$K$13=0,"",IF(VLOOKUP(Calc1!B7,Calc1!$C$4:$E$12,3,0)=MAX(Q$12:Q14),VLOOKUP(Calc1!B7,Calc1!$C$4:$E$12,3,0),Calc1!B7))</f>
        <v>4</v>
      </c>
      <c r="R15" s="386" t="str">
        <f ca="1">IF(Calc1!$F$14&lt;3,"",IF(Calc1!$K$13=0,Calc1!$Q67,VLOOKUP(Calc1!B7,Calc1!$C$4:$N$12,4,0)))</f>
        <v>Maibach 1822 eV</v>
      </c>
      <c r="S15" s="216">
        <f ca="1">IF(Calc1!$K$13=0,"",VLOOKUP(Calc1!B7,Calc1!$C$4:$N$12,9,0))</f>
        <v>4</v>
      </c>
      <c r="T15" s="197">
        <f ca="1">IF(Calc1!$K$13=0,"",VLOOKUP(Calc1!B7,Calc1!$C$4:$N$12,10,0))</f>
        <v>0</v>
      </c>
      <c r="U15" s="197">
        <f ca="1">IF(Calc1!$K$13=0,"",VLOOKUP(Calc1!B7,Calc1!$C$4:$N$12,11,0))</f>
        <v>2</v>
      </c>
      <c r="V15" s="217">
        <f ca="1">IF(Calc1!$K$13=0,"",VLOOKUP(Calc1!B7,Calc1!$C$4:$N$12,12,0))</f>
        <v>2</v>
      </c>
      <c r="W15" s="218">
        <f t="shared" ca="1" si="1"/>
        <v>2</v>
      </c>
      <c r="X15" s="219" t="str">
        <f>Sprache!$E$90</f>
        <v>:</v>
      </c>
      <c r="Y15" s="220">
        <f ca="1">IF(Calc1!$K$13=0,"",VLOOKUP(Calc1!B7,Calc1!$C$4:$AS$12,43,0))</f>
        <v>6</v>
      </c>
      <c r="Z15" s="218">
        <f ca="1">IF(Calc1!$K$13=0,"",VLOOKUP(Calc1!B7,Calc1!$C$4:$N$12,5,0))</f>
        <v>170</v>
      </c>
      <c r="AA15" s="219" t="str">
        <f>Sprache!$E$90</f>
        <v>:</v>
      </c>
      <c r="AB15" s="220">
        <f ca="1">IF(Calc1!$K$13=0,"",VLOOKUP(Calc1!B7,Calc1!$C$4:$N$12,6,0))</f>
        <v>191</v>
      </c>
      <c r="AC15" s="216">
        <f ca="1">IF(Calc1!$K$13=0,"",IF(VLOOKUP(Calc1!B7,Calc1!$C$4:$AR$12,42,0)=Einstellungen!$F$7,"max",VLOOKUP(Calc1!B7,Calc1!$C$4:$AR$12,42,0)))</f>
        <v>-21</v>
      </c>
      <c r="AD15" s="221">
        <f ca="1">IF(Calc1!$K$13=0,"",VLOOKUP(Calc1!B7,Calc1!$C$4:$N$12,8,0))</f>
        <v>2</v>
      </c>
      <c r="AE15" s="222" t="str">
        <f ca="1">IFERROR(VLOOKUP($R15&amp;AE$11,Calc1!$Z$64:$AI$207,Einstellungen!$G$17,0),"")</f>
        <v>39:50</v>
      </c>
      <c r="AF15" s="412" t="str">
        <f ca="1">IFERROR(VLOOKUP($R15&amp;AF$11,Calc1!$Z$64:$AI$207,Einstellungen!$G$17,0),"")</f>
        <v>42:46</v>
      </c>
      <c r="AG15" s="197" t="str">
        <f ca="1">IFERROR(VLOOKUP($R15&amp;AG$11,Calc1!$Z$64:$AI$207,Einstellungen!$G$17,0),"")</f>
        <v>44:50</v>
      </c>
      <c r="AH15" s="223"/>
      <c r="AI15" s="197" t="str">
        <f ca="1">IFERROR(VLOOKUP($R15&amp;AI$11,Calc1!$Z$64:$AI$207,Einstellungen!$G$17,0),"")</f>
        <v>45:45</v>
      </c>
      <c r="AJ15" s="224" t="str">
        <f ca="1">IFERROR(VLOOKUP($R15&amp;AJ$11,Calc1!$Z$64:$AI$207,Einstellungen!$G$17,0),"")</f>
        <v/>
      </c>
      <c r="AK15" s="225" t="str">
        <f t="shared" ca="1" si="0"/>
        <v>Maibach 1822 eV</v>
      </c>
      <c r="AN15" s="438" t="s">
        <v>195</v>
      </c>
      <c r="AO15" s="386" t="str">
        <f>IF(Planung!$C13="","",Planung!$C13)</f>
        <v>Maibach 1822 eV</v>
      </c>
      <c r="AP15" s="291"/>
      <c r="AQ15" s="713">
        <f>IF($AO15="",0,COUNTIF(TieBreak!$U$12:$U$17,$AO15))</f>
        <v>0</v>
      </c>
    </row>
    <row r="16" spans="1:43" ht="24" customHeight="1" x14ac:dyDescent="0.2">
      <c r="B16" s="347">
        <f ca="1">Planung!$E10</f>
        <v>5</v>
      </c>
      <c r="C16" s="235">
        <f ca="1">Planung!$F10</f>
        <v>0.39930555555555558</v>
      </c>
      <c r="D16" s="236">
        <f ca="1">Planung!$G10</f>
        <v>1</v>
      </c>
      <c r="E16" s="236" t="str">
        <f ca="1">Planung!$H10</f>
        <v>A</v>
      </c>
      <c r="F16" s="237" t="str">
        <f ca="1">Planung!$L10</f>
        <v>Eintracht Frankfurt</v>
      </c>
      <c r="G16" s="238" t="s">
        <v>4</v>
      </c>
      <c r="H16" s="237" t="str">
        <f ca="1">Planung!$N10</f>
        <v>Maibach 1822 eV</v>
      </c>
      <c r="I16" s="239">
        <v>25</v>
      </c>
      <c r="J16" s="240" t="str">
        <f>Sprache!$E$90</f>
        <v>:</v>
      </c>
      <c r="K16" s="644">
        <v>23</v>
      </c>
      <c r="L16" s="239">
        <v>25</v>
      </c>
      <c r="M16" s="240" t="str">
        <f>Sprache!$E$90</f>
        <v>:</v>
      </c>
      <c r="N16" s="241">
        <v>21</v>
      </c>
      <c r="O16" s="756" t="str">
        <f>IF(Planung!$O10="","",Planung!$O10)</f>
        <v/>
      </c>
      <c r="Q16" s="385">
        <f ca="1">IF(Calc1!$K$13=0,"",IF(VLOOKUP(Calc1!B8,Calc1!$C$4:$E$12,3,0)=MAX(Q$12:Q15),VLOOKUP(Calc1!B8,Calc1!$C$4:$E$12,3,0),Calc1!B8))</f>
        <v>5</v>
      </c>
      <c r="R16" s="386" t="str">
        <f ca="1">IF(Calc1!$F$14&lt;3,"",IF(Calc1!$K$13=0,Calc1!$Q68,VLOOKUP(Calc1!B8,Calc1!$C$4:$N$12,4,0)))</f>
        <v>FC Barcelona</v>
      </c>
      <c r="S16" s="216">
        <f ca="1">IF(Calc1!$K$13=0,"",VLOOKUP(Calc1!B8,Calc1!$C$4:$N$12,9,0))</f>
        <v>4</v>
      </c>
      <c r="T16" s="197">
        <f ca="1">IF(Calc1!$K$13=0,"",VLOOKUP(Calc1!B8,Calc1!$C$4:$N$12,10,0))</f>
        <v>0</v>
      </c>
      <c r="U16" s="197">
        <f ca="1">IF(Calc1!$K$13=0,"",VLOOKUP(Calc1!B8,Calc1!$C$4:$N$12,11,0))</f>
        <v>1</v>
      </c>
      <c r="V16" s="217">
        <f ca="1">IF(Calc1!$K$13=0,"",VLOOKUP(Calc1!B8,Calc1!$C$4:$N$12,12,0))</f>
        <v>3</v>
      </c>
      <c r="W16" s="218">
        <f t="shared" ca="1" si="1"/>
        <v>1</v>
      </c>
      <c r="X16" s="219" t="str">
        <f>Sprache!$E$90</f>
        <v>:</v>
      </c>
      <c r="Y16" s="220">
        <f ca="1">IF(Calc1!$K$13=0,"",VLOOKUP(Calc1!B8,Calc1!$C$4:$AS$12,43,0))</f>
        <v>7</v>
      </c>
      <c r="Z16" s="218">
        <f ca="1">IF(Calc1!$K$13=0,"",VLOOKUP(Calc1!B8,Calc1!$C$4:$N$12,5,0))</f>
        <v>145</v>
      </c>
      <c r="AA16" s="219" t="str">
        <f>Sprache!$E$90</f>
        <v>:</v>
      </c>
      <c r="AB16" s="220">
        <f ca="1">IF(Calc1!$K$13=0,"",VLOOKUP(Calc1!B8,Calc1!$C$4:$N$12,6,0))</f>
        <v>195</v>
      </c>
      <c r="AC16" s="216">
        <f ca="1">IF(Calc1!$K$13=0,"",IF(VLOOKUP(Calc1!B8,Calc1!$C$4:$AR$12,42,0)=Einstellungen!$F$7,"max",VLOOKUP(Calc1!B8,Calc1!$C$4:$AR$12,42,0)))</f>
        <v>-50</v>
      </c>
      <c r="AD16" s="221">
        <f ca="1">IF(Calc1!$K$13=0,"",VLOOKUP(Calc1!B8,Calc1!$C$4:$N$12,8,0))</f>
        <v>1</v>
      </c>
      <c r="AE16" s="222" t="str">
        <f ca="1">IFERROR(VLOOKUP($R16&amp;AE$11,Calc1!$Z$64:$AI$207,Einstellungen!$G$17,0),"")</f>
        <v>35:50</v>
      </c>
      <c r="AF16" s="412" t="str">
        <f ca="1">IFERROR(VLOOKUP($R16&amp;AF$11,Calc1!$Z$64:$AI$207,Einstellungen!$G$17,0),"")</f>
        <v>36:50</v>
      </c>
      <c r="AG16" s="197" t="str">
        <f ca="1">IFERROR(VLOOKUP($R16&amp;AG$11,Calc1!$Z$64:$AI$207,Einstellungen!$G$17,0),"")</f>
        <v>29:50</v>
      </c>
      <c r="AH16" s="197" t="str">
        <f ca="1">IFERROR(VLOOKUP($R16&amp;AH$11,Calc1!$Z$64:$AI$207,Einstellungen!$G$17,0),"")</f>
        <v>45:45</v>
      </c>
      <c r="AI16" s="223"/>
      <c r="AJ16" s="224" t="str">
        <f ca="1">IFERROR(VLOOKUP($R16&amp;AJ$11,Calc1!$Z$64:$AI$207,Einstellungen!$G$17,0),"")</f>
        <v/>
      </c>
      <c r="AK16" s="225" t="str">
        <f t="shared" ca="1" si="0"/>
        <v>FC Barcelona</v>
      </c>
      <c r="AN16" s="438" t="s">
        <v>197</v>
      </c>
      <c r="AO16" s="386" t="str">
        <f>IF(Planung!$C15="","",Planung!$C15)</f>
        <v>VFB Essenheim</v>
      </c>
      <c r="AP16" s="291"/>
      <c r="AQ16" s="713">
        <f>IF($AO16="",0,COUNTIF(TieBreak!$U$12:$U$17,$AO16))</f>
        <v>0</v>
      </c>
    </row>
    <row r="17" spans="2:43" ht="24" customHeight="1" thickBot="1" x14ac:dyDescent="0.25">
      <c r="B17" s="347">
        <f ca="1">Planung!$E11</f>
        <v>6</v>
      </c>
      <c r="C17" s="235">
        <f ca="1">Planung!$F11</f>
        <v>0.39930555555555558</v>
      </c>
      <c r="D17" s="236">
        <f ca="1">Planung!$G11</f>
        <v>2</v>
      </c>
      <c r="E17" s="236" t="str">
        <f ca="1">Planung!$H11</f>
        <v>B</v>
      </c>
      <c r="F17" s="237" t="str">
        <f ca="1">Planung!$L11</f>
        <v>SSV Wildbach</v>
      </c>
      <c r="G17" s="238" t="s">
        <v>4</v>
      </c>
      <c r="H17" s="237" t="str">
        <f ca="1">Planung!$N11</f>
        <v>Manchester City</v>
      </c>
      <c r="I17" s="239">
        <v>25</v>
      </c>
      <c r="J17" s="240" t="str">
        <f>Sprache!$E$90</f>
        <v>:</v>
      </c>
      <c r="K17" s="644">
        <v>17</v>
      </c>
      <c r="L17" s="239">
        <v>25</v>
      </c>
      <c r="M17" s="240" t="str">
        <f>Sprache!$E$90</f>
        <v>:</v>
      </c>
      <c r="N17" s="241">
        <v>22</v>
      </c>
      <c r="O17" s="756" t="str">
        <f>IF(Planung!$O11="","",Planung!$O11)</f>
        <v/>
      </c>
      <c r="Q17" s="387">
        <f ca="1">IF(Calc1!$K$13=0,"",IF(VLOOKUP(Calc1!B9,Calc1!$C$4:$E$12,3,0)=MAX(Q$12:Q16),VLOOKUP(Calc1!B9,Calc1!$C$4:$E$12,3,0),Calc1!B9))</f>
        <v>6</v>
      </c>
      <c r="R17" s="388" t="str">
        <f ca="1">IF(Calc1!$F$14&lt;3,"",IF(Calc1!$K$13=0,Calc1!$Q69,VLOOKUP(Calc1!B9,Calc1!$C$4:$N$12,4,0)))</f>
        <v/>
      </c>
      <c r="S17" s="226">
        <f ca="1">IF(Calc1!$K$13=0,"",VLOOKUP(Calc1!B9,Calc1!$C$4:$N$12,9,0))</f>
        <v>0</v>
      </c>
      <c r="T17" s="227">
        <f ca="1">IF(Calc1!$K$13=0,"",VLOOKUP(Calc1!B9,Calc1!$C$4:$N$12,10,0))</f>
        <v>0</v>
      </c>
      <c r="U17" s="227">
        <f ca="1">IF(Calc1!$K$13=0,"",VLOOKUP(Calc1!B9,Calc1!$C$4:$N$12,11,0))</f>
        <v>0</v>
      </c>
      <c r="V17" s="228">
        <f ca="1">IF(Calc1!$K$13=0,"",VLOOKUP(Calc1!B9,Calc1!$C$4:$N$12,12,0))</f>
        <v>0</v>
      </c>
      <c r="W17" s="229">
        <f t="shared" ca="1" si="1"/>
        <v>0</v>
      </c>
      <c r="X17" s="230" t="str">
        <f>Sprache!$E$90</f>
        <v>:</v>
      </c>
      <c r="Y17" s="231">
        <f ca="1">IF(Calc1!$K$13=0,"",VLOOKUP(Calc1!B9,Calc1!$C$4:$AS$12,43,0))</f>
        <v>0</v>
      </c>
      <c r="Z17" s="229">
        <f ca="1">IF(Calc1!$K$13=0,"",VLOOKUP(Calc1!B9,Calc1!$C$4:$N$12,5,0))</f>
        <v>0</v>
      </c>
      <c r="AA17" s="230" t="str">
        <f>Sprache!$E$90</f>
        <v>:</v>
      </c>
      <c r="AB17" s="231">
        <f ca="1">IF(Calc1!$K$13=0,"",VLOOKUP(Calc1!B9,Calc1!$C$4:$N$12,6,0))</f>
        <v>0</v>
      </c>
      <c r="AC17" s="226">
        <f ca="1">IF(Calc1!$K$13=0,"",IF(VLOOKUP(Calc1!B9,Calc1!$C$4:$AR$12,42,0)=Einstellungen!$F$7,"max",VLOOKUP(Calc1!B9,Calc1!$C$4:$AR$12,42,0)))</f>
        <v>0</v>
      </c>
      <c r="AD17" s="232">
        <f ca="1">IF(Calc1!$K$13=0,"",VLOOKUP(Calc1!B9,Calc1!$C$4:$N$12,8,0))</f>
        <v>0</v>
      </c>
      <c r="AE17" s="233" t="str">
        <f ca="1">IFERROR(VLOOKUP($R17&amp;AE$11,Calc1!$Z$64:$AI$207,Einstellungen!$G$17,0),"")</f>
        <v/>
      </c>
      <c r="AF17" s="227" t="str">
        <f ca="1">IFERROR(VLOOKUP($R17&amp;AF$11,Calc1!$Z$64:$AI$207,Einstellungen!$G$17,0),"")</f>
        <v/>
      </c>
      <c r="AG17" s="227" t="str">
        <f ca="1">IFERROR(VLOOKUP($R17&amp;AG$11,Calc1!$Z$64:$AI$207,Einstellungen!$G$17,0),"")</f>
        <v/>
      </c>
      <c r="AH17" s="227" t="str">
        <f ca="1">IFERROR(VLOOKUP($R17&amp;AH$11,Calc1!$Z$64:$AI$207,Einstellungen!$G$17,0),"")</f>
        <v/>
      </c>
      <c r="AI17" s="227" t="str">
        <f ca="1">IFERROR(VLOOKUP($R17&amp;AI$11,Calc1!$Z$64:$AI$207,Einstellungen!$G$17,0),"")</f>
        <v/>
      </c>
      <c r="AJ17" s="234"/>
      <c r="AK17" s="316" t="str">
        <f t="shared" ca="1" si="0"/>
        <v/>
      </c>
      <c r="AN17" s="440" t="s">
        <v>199</v>
      </c>
      <c r="AO17" s="388" t="str">
        <f>IF(Planung!$C17="","",Planung!$C17)</f>
        <v/>
      </c>
      <c r="AP17" s="291"/>
      <c r="AQ17" s="714">
        <f>IF($AO17="",0,COUNTIF(TieBreak!$U$12:$U$17,$AO17))</f>
        <v>0</v>
      </c>
    </row>
    <row r="18" spans="2:43" ht="24" customHeight="1" thickTop="1" x14ac:dyDescent="0.2">
      <c r="B18" s="347">
        <f ca="1">Planung!$E12</f>
        <v>7</v>
      </c>
      <c r="C18" s="235">
        <f ca="1">Planung!$F12</f>
        <v>0.39930555555555558</v>
      </c>
      <c r="D18" s="236">
        <f ca="1">Planung!$G12</f>
        <v>3</v>
      </c>
      <c r="E18" s="236" t="str">
        <f ca="1">Planung!$H12</f>
        <v>C</v>
      </c>
      <c r="F18" s="237" t="str">
        <f ca="1">Planung!$L12</f>
        <v>Borussia Dortmund</v>
      </c>
      <c r="G18" s="238" t="s">
        <v>4</v>
      </c>
      <c r="H18" s="237" t="str">
        <f ca="1">Planung!$N12</f>
        <v>FSV Rauen</v>
      </c>
      <c r="I18" s="239">
        <v>20</v>
      </c>
      <c r="J18" s="240" t="str">
        <f>Sprache!$E$90</f>
        <v>:</v>
      </c>
      <c r="K18" s="644">
        <v>25</v>
      </c>
      <c r="L18" s="239">
        <v>25</v>
      </c>
      <c r="M18" s="240" t="str">
        <f>Sprache!$E$90</f>
        <v>:</v>
      </c>
      <c r="N18" s="241">
        <v>23</v>
      </c>
      <c r="O18" s="756" t="str">
        <f>IF(Planung!$O12="","",Planung!$O12)</f>
        <v/>
      </c>
      <c r="Q18" s="315"/>
      <c r="R18" s="291"/>
      <c r="S18" s="292"/>
      <c r="T18" s="292"/>
      <c r="U18" s="292"/>
      <c r="V18" s="292"/>
      <c r="W18" s="292"/>
      <c r="X18" s="292"/>
      <c r="Y18" s="292"/>
      <c r="Z18" s="293"/>
      <c r="AA18" s="292"/>
      <c r="AB18" s="291"/>
      <c r="AC18" s="292"/>
      <c r="AD18" s="294"/>
      <c r="AE18" s="292"/>
      <c r="AF18" s="292"/>
      <c r="AG18" s="292"/>
      <c r="AH18" s="292"/>
      <c r="AI18" s="292"/>
      <c r="AJ18" s="292"/>
      <c r="AK18" s="291"/>
      <c r="AN18" s="315"/>
      <c r="AO18" s="291"/>
      <c r="AP18" s="291"/>
      <c r="AQ18" s="289"/>
    </row>
    <row r="19" spans="2:43" ht="24" customHeight="1" thickBot="1" x14ac:dyDescent="0.25">
      <c r="B19" s="347">
        <f ca="1">Planung!$E13</f>
        <v>8</v>
      </c>
      <c r="C19" s="235">
        <f ca="1">Planung!$F13</f>
        <v>0.39930555555555558</v>
      </c>
      <c r="D19" s="236">
        <f ca="1">Planung!$G13</f>
        <v>4</v>
      </c>
      <c r="E19" s="236" t="str">
        <f ca="1">Planung!$H13</f>
        <v>D</v>
      </c>
      <c r="F19" s="237" t="str">
        <f ca="1">Planung!$L13</f>
        <v>HSV</v>
      </c>
      <c r="G19" s="238" t="s">
        <v>4</v>
      </c>
      <c r="H19" s="237" t="str">
        <f ca="1">Planung!$N13</f>
        <v>RB Leipzig</v>
      </c>
      <c r="I19" s="239">
        <v>19</v>
      </c>
      <c r="J19" s="240" t="str">
        <f>Sprache!$E$90</f>
        <v>:</v>
      </c>
      <c r="K19" s="644">
        <v>25</v>
      </c>
      <c r="L19" s="239">
        <v>25</v>
      </c>
      <c r="M19" s="240" t="str">
        <f>Sprache!$E$90</f>
        <v>:</v>
      </c>
      <c r="N19" s="241">
        <v>17</v>
      </c>
      <c r="O19" s="756" t="str">
        <f>IF(Planung!$O13="","",Planung!$O13)</f>
        <v/>
      </c>
      <c r="AE19" s="300"/>
      <c r="AF19" s="300"/>
      <c r="AG19" s="300"/>
      <c r="AH19" s="300"/>
      <c r="AI19" s="300"/>
      <c r="AJ19" s="300"/>
      <c r="AP19" s="289"/>
      <c r="AQ19" s="289"/>
    </row>
    <row r="20" spans="2:43" ht="24" customHeight="1" thickBot="1" x14ac:dyDescent="0.45">
      <c r="B20" s="347">
        <f ca="1">Planung!$E14</f>
        <v>9</v>
      </c>
      <c r="C20" s="235">
        <f ca="1">Planung!$F14</f>
        <v>0.4236111111111111</v>
      </c>
      <c r="D20" s="236">
        <f ca="1">Planung!$G14</f>
        <v>1</v>
      </c>
      <c r="E20" s="236" t="str">
        <f ca="1">Planung!$H14</f>
        <v>A</v>
      </c>
      <c r="F20" s="237" t="str">
        <f ca="1">Planung!$L14</f>
        <v>VFB Essenheim</v>
      </c>
      <c r="G20" s="238" t="s">
        <v>4</v>
      </c>
      <c r="H20" s="237" t="str">
        <f ca="1">Planung!$N14</f>
        <v>1. FC Riedwald</v>
      </c>
      <c r="I20" s="239">
        <v>16</v>
      </c>
      <c r="J20" s="240" t="str">
        <f>Sprache!$E$90</f>
        <v>:</v>
      </c>
      <c r="K20" s="644">
        <v>25</v>
      </c>
      <c r="L20" s="239">
        <v>25</v>
      </c>
      <c r="M20" s="240" t="str">
        <f>Sprache!$E$90</f>
        <v>:</v>
      </c>
      <c r="N20" s="241">
        <v>18</v>
      </c>
      <c r="O20" s="756" t="str">
        <f>IF(Planung!$O14="","",Planung!$O14)</f>
        <v/>
      </c>
      <c r="Q20" s="843" t="str">
        <f>Sprache!$E$16&amp;" B"</f>
        <v>Gruppe B</v>
      </c>
      <c r="R20" s="843"/>
      <c r="S20" s="198"/>
      <c r="T20" s="198"/>
      <c r="U20" s="198"/>
      <c r="V20" s="198"/>
      <c r="W20" s="198"/>
      <c r="X20" s="198"/>
      <c r="Y20" s="198"/>
      <c r="Z20" s="198"/>
      <c r="AA20" s="198"/>
      <c r="AB20" s="198"/>
      <c r="AC20" s="198"/>
      <c r="AD20" s="198"/>
      <c r="AE20" s="297" t="str">
        <f ca="1">IF(LEN(R22)&gt;Einstellungen!$C$11,LEFT(R22,Einstellungen!$C$11)&amp;".",R22)</f>
        <v>Mainz 0.</v>
      </c>
      <c r="AF20" s="298" t="str">
        <f ca="1">IF(LEN(R23)&gt;Einstellungen!$C$11,LEFT(R23,Einstellungen!$C$11)&amp;".",R23)</f>
        <v>SSV Wil.</v>
      </c>
      <c r="AG20" s="298" t="str">
        <f ca="1">IF(LEN(R24)&gt;Einstellungen!$C$11,LEFT(R24,Einstellungen!$C$11)&amp;".",R24)</f>
        <v>FC Grön.</v>
      </c>
      <c r="AH20" s="298" t="str">
        <f ca="1">IF(LEN(R25)&gt;Einstellungen!$C$11,LEFT(R25,Einstellungen!$C$11)&amp;".",R25)</f>
        <v>Inter M.</v>
      </c>
      <c r="AI20" s="298" t="str">
        <f ca="1">IF(LEN(R26)&gt;Einstellungen!$C$11,LEFT(R26,Einstellungen!$C$11)&amp;".",R26)</f>
        <v>Manches.</v>
      </c>
      <c r="AJ20" s="299" t="str">
        <f ca="1">IF(LEN(R27)&gt;Einstellungen!$C$11,LEFT(R27,Einstellungen!$C$11)&amp;".",R27)</f>
        <v/>
      </c>
      <c r="AK20" s="199"/>
      <c r="AN20" s="843" t="str">
        <f>Sprache!$E$16&amp;" B"</f>
        <v>Gruppe B</v>
      </c>
      <c r="AO20" s="843"/>
      <c r="AP20" s="691"/>
      <c r="AQ20" s="289"/>
    </row>
    <row r="21" spans="2:43" ht="24" customHeight="1" thickTop="1" thickBot="1" x14ac:dyDescent="0.25">
      <c r="B21" s="347">
        <f ca="1">Planung!$E15</f>
        <v>10</v>
      </c>
      <c r="C21" s="235">
        <f ca="1">Planung!$F15</f>
        <v>0.4236111111111111</v>
      </c>
      <c r="D21" s="236">
        <f ca="1">Planung!$G15</f>
        <v>2</v>
      </c>
      <c r="E21" s="236" t="str">
        <f ca="1">Planung!$H15</f>
        <v>B</v>
      </c>
      <c r="F21" s="237" t="str">
        <f ca="1">Planung!$L15</f>
        <v>FC Grönlingen</v>
      </c>
      <c r="G21" s="238" t="s">
        <v>4</v>
      </c>
      <c r="H21" s="237" t="str">
        <f ca="1">Planung!$N15</f>
        <v>Mainz 05</v>
      </c>
      <c r="I21" s="239">
        <v>14</v>
      </c>
      <c r="J21" s="240" t="str">
        <f>Sprache!$E$90</f>
        <v>:</v>
      </c>
      <c r="K21" s="644">
        <v>25</v>
      </c>
      <c r="L21" s="239">
        <v>25</v>
      </c>
      <c r="M21" s="240" t="str">
        <f>Sprache!$E$90</f>
        <v>:</v>
      </c>
      <c r="N21" s="241">
        <v>19</v>
      </c>
      <c r="O21" s="756" t="str">
        <f>IF(Planung!$O15="","",Planung!$O15)</f>
        <v/>
      </c>
      <c r="Q21" s="844"/>
      <c r="R21" s="845"/>
      <c r="S21" s="200" t="str">
        <f>Sprache!$E$21</f>
        <v>SP</v>
      </c>
      <c r="T21" s="201" t="str">
        <f>Sprache!$E$22</f>
        <v>G</v>
      </c>
      <c r="U21" s="201" t="str">
        <f>Sprache!$E$23</f>
        <v>U</v>
      </c>
      <c r="V21" s="286" t="str">
        <f>Sprache!$E$24</f>
        <v>V</v>
      </c>
      <c r="W21" s="849" t="str">
        <f>Sprache!$E$25</f>
        <v>Sätze</v>
      </c>
      <c r="X21" s="850"/>
      <c r="Y21" s="851"/>
      <c r="Z21" s="846" t="str">
        <f>Sprache!$E$74</f>
        <v>Bälle</v>
      </c>
      <c r="AA21" s="847"/>
      <c r="AB21" s="848"/>
      <c r="AC21" s="201" t="str">
        <f>IF(Einstellungen!$G$7,Sprache!$E$26,Sprache!$E$80)</f>
        <v>Diff.</v>
      </c>
      <c r="AD21" s="203" t="str">
        <f>Sprache!$E$27</f>
        <v>Pkt</v>
      </c>
      <c r="AE21" s="204" t="str">
        <f ca="1">R22</f>
        <v>Mainz 05</v>
      </c>
      <c r="AF21" s="205" t="str">
        <f ca="1">R23</f>
        <v>SSV Wildbach</v>
      </c>
      <c r="AG21" s="205" t="str">
        <f ca="1">R24</f>
        <v>FC Grönlingen</v>
      </c>
      <c r="AH21" s="205" t="str">
        <f ca="1">R25</f>
        <v>Inter Mailand</v>
      </c>
      <c r="AI21" s="205" t="str">
        <f ca="1">R26</f>
        <v>Manchester City</v>
      </c>
      <c r="AJ21" s="628" t="str">
        <f ca="1">R27</f>
        <v/>
      </c>
      <c r="AK21" s="199"/>
      <c r="AN21" s="436" t="str">
        <f>Sprache!$E$9</f>
        <v>Nr.</v>
      </c>
      <c r="AO21" s="689" t="str">
        <f>Sprache!$E$10</f>
        <v>Teilnehmer bzw. Mannschaft</v>
      </c>
      <c r="AP21" s="692"/>
      <c r="AQ21" s="469"/>
    </row>
    <row r="22" spans="2:43" ht="24" customHeight="1" x14ac:dyDescent="0.2">
      <c r="B22" s="347">
        <f ca="1">Planung!$E16</f>
        <v>11</v>
      </c>
      <c r="C22" s="235">
        <f ca="1">Planung!$F16</f>
        <v>0.4236111111111111</v>
      </c>
      <c r="D22" s="236">
        <f ca="1">Planung!$G16</f>
        <v>3</v>
      </c>
      <c r="E22" s="236" t="str">
        <f ca="1">Planung!$H16</f>
        <v>C</v>
      </c>
      <c r="F22" s="237" t="str">
        <f ca="1">Planung!$L16</f>
        <v>1. FC Nürnberg</v>
      </c>
      <c r="G22" s="238" t="s">
        <v>4</v>
      </c>
      <c r="H22" s="237" t="str">
        <f ca="1">Planung!$N16</f>
        <v>Kickers Rodendorf</v>
      </c>
      <c r="I22" s="239">
        <v>22</v>
      </c>
      <c r="J22" s="240" t="str">
        <f>Sprache!$E$90</f>
        <v>:</v>
      </c>
      <c r="K22" s="644">
        <v>25</v>
      </c>
      <c r="L22" s="239">
        <v>25</v>
      </c>
      <c r="M22" s="240" t="str">
        <f>Sprache!$E$90</f>
        <v>:</v>
      </c>
      <c r="N22" s="241">
        <v>20</v>
      </c>
      <c r="O22" s="756" t="str">
        <f>IF(Planung!$O16="","",Planung!$O16)</f>
        <v/>
      </c>
      <c r="Q22" s="383">
        <f ca="1">IF(Calc2!$K$13=0,"",1)</f>
        <v>1</v>
      </c>
      <c r="R22" s="384" t="str">
        <f ca="1">IF(Calc1!$F$14&lt;3,"",IF(Calc2!$K$13=0,Calc2!$Q64,VLOOKUP(Calc2!B4,Calc2!$C$4:$N$12,4,0)))</f>
        <v>Mainz 05</v>
      </c>
      <c r="S22" s="206">
        <f ca="1">IF(Calc2!$K$13=0,"",VLOOKUP(Calc2!B4,Calc2!$C$4:$N$12,9,0))</f>
        <v>4</v>
      </c>
      <c r="T22" s="207">
        <f ca="1">IF(Calc2!$K$13=0,"",VLOOKUP(Calc2!B4,Calc2!$C$4:$N$12,10,0))</f>
        <v>2</v>
      </c>
      <c r="U22" s="207">
        <f ca="1">IF(Calc2!$K$13=0,"",VLOOKUP(Calc2!B4,Calc2!$C$4:$N$12,11,0))</f>
        <v>2</v>
      </c>
      <c r="V22" s="208">
        <f ca="1">IF(Calc2!$K$13=0,"",VLOOKUP(Calc2!B4,Calc2!$C$4:$N$12,12,0))</f>
        <v>0</v>
      </c>
      <c r="W22" s="209">
        <f ca="1">AD22</f>
        <v>6</v>
      </c>
      <c r="X22" s="210" t="str">
        <f>Sprache!$E$90</f>
        <v>:</v>
      </c>
      <c r="Y22" s="211">
        <f ca="1">IF(Calc2!$K$13=0,"",VLOOKUP(Calc2!B4,Calc2!$C$4:$AS$12,43,0))</f>
        <v>2</v>
      </c>
      <c r="Z22" s="209">
        <f ca="1">IF(Calc2!$K$13=0,"",VLOOKUP(Calc2!B4,Calc2!$C$4:$N$12,5,0))</f>
        <v>187</v>
      </c>
      <c r="AA22" s="210" t="str">
        <f>Sprache!$E$90</f>
        <v>:</v>
      </c>
      <c r="AB22" s="211">
        <f ca="1">IF(Calc2!$K$13=0,"",VLOOKUP(Calc2!B4,Calc2!$C$4:$N$12,6,0))</f>
        <v>133</v>
      </c>
      <c r="AC22" s="206">
        <f ca="1">IF(Calc2!$K$13=0,"",IF(VLOOKUP(Calc2!B4,Calc2!$C$4:$AR$12,42,0)=Einstellungen!$F$7,"max",VLOOKUP(Calc2!B4,Calc2!$C$4:$AR$12,42,0)))</f>
        <v>54</v>
      </c>
      <c r="AD22" s="212">
        <f ca="1">IF(Calc2!$K$13=0,"",VLOOKUP(Calc2!B4,Calc2!$C$4:$N$12,8,0))</f>
        <v>6</v>
      </c>
      <c r="AE22" s="213"/>
      <c r="AF22" s="207" t="str">
        <f ca="1">IFERROR(VLOOKUP($R22&amp;AF$21,Calc2!$Z$64:$AI$207,Einstellungen!$G$17,0),"")</f>
        <v>43:39</v>
      </c>
      <c r="AG22" s="207" t="str">
        <f ca="1">IFERROR(VLOOKUP($R22&amp;AG$21,Calc2!$Z$64:$AI$207,Einstellungen!$G$17,0),"")</f>
        <v>44:39</v>
      </c>
      <c r="AH22" s="207" t="str">
        <f ca="1">IFERROR(VLOOKUP($R22&amp;AH$21,Calc2!$Z$64:$AI$207,Einstellungen!$G$17,0),"")</f>
        <v>50:33</v>
      </c>
      <c r="AI22" s="207" t="str">
        <f ca="1">IFERROR(VLOOKUP($R22&amp;AI$21,Calc2!$Z$64:$AI$207,Einstellungen!$G$17,0),"")</f>
        <v>50:22</v>
      </c>
      <c r="AJ22" s="214" t="str">
        <f ca="1">IFERROR(VLOOKUP($R22&amp;AJ$21,Calc2!$Z$64:$AI$207,Einstellungen!$G$17,0),"")</f>
        <v/>
      </c>
      <c r="AK22" s="215" t="str">
        <f t="shared" ref="AK22:AK27" ca="1" si="2">R22</f>
        <v>Mainz 05</v>
      </c>
      <c r="AN22" s="437" t="s">
        <v>192</v>
      </c>
      <c r="AO22" s="690" t="str">
        <f>IF(Planung!$C24="","",Planung!$C24)</f>
        <v>Mainz 05</v>
      </c>
      <c r="AP22" s="291"/>
      <c r="AQ22" s="712">
        <f>IF($AO22="",0,COUNTIF(TieBreak!$U$12:$U$17,$AO22))</f>
        <v>0</v>
      </c>
    </row>
    <row r="23" spans="2:43" ht="24" customHeight="1" x14ac:dyDescent="0.2">
      <c r="B23" s="347">
        <f ca="1">Planung!$E17</f>
        <v>12</v>
      </c>
      <c r="C23" s="235">
        <f ca="1">Planung!$F17</f>
        <v>0.4236111111111111</v>
      </c>
      <c r="D23" s="236">
        <f ca="1">Planung!$G17</f>
        <v>4</v>
      </c>
      <c r="E23" s="236" t="str">
        <f ca="1">Planung!$H17</f>
        <v>D</v>
      </c>
      <c r="F23" s="237" t="str">
        <f ca="1">Planung!$L17</f>
        <v>SV Oberredenburg</v>
      </c>
      <c r="G23" s="238" t="s">
        <v>4</v>
      </c>
      <c r="H23" s="237" t="str">
        <f ca="1">Planung!$N17</f>
        <v>TSG Saalberg eV</v>
      </c>
      <c r="I23" s="239">
        <v>19</v>
      </c>
      <c r="J23" s="240" t="str">
        <f>Sprache!$E$90</f>
        <v>:</v>
      </c>
      <c r="K23" s="644">
        <v>25</v>
      </c>
      <c r="L23" s="239">
        <v>25</v>
      </c>
      <c r="M23" s="240" t="str">
        <f>Sprache!$E$90</f>
        <v>:</v>
      </c>
      <c r="N23" s="241">
        <v>21</v>
      </c>
      <c r="O23" s="756" t="str">
        <f>IF(Planung!$O17="","",Planung!$O17)</f>
        <v/>
      </c>
      <c r="Q23" s="385">
        <f ca="1">IF(Calc2!$K$13=0,"",IF(VLOOKUP(Calc2!B5,Calc2!$C$4:$E$12,3,0)=MAX(Q$22:Q22),VLOOKUP(Calc2!B5,Calc2!$C$4:$E$12,3,0),Calc2!B5))</f>
        <v>2</v>
      </c>
      <c r="R23" s="386" t="str">
        <f ca="1">IF(Calc1!$F$14&lt;3,"",IF(Calc2!$K$13=0,Calc2!$Q65,VLOOKUP(Calc2!B5,Calc2!$C$4:$N$12,4,0)))</f>
        <v>SSV Wildbach</v>
      </c>
      <c r="S23" s="216">
        <f ca="1">IF(Calc2!$K$13=0,"",VLOOKUP(Calc2!B5,Calc2!$C$4:$N$12,9,0))</f>
        <v>4</v>
      </c>
      <c r="T23" s="197">
        <f ca="1">IF(Calc2!$K$13=0,"",VLOOKUP(Calc2!B5,Calc2!$C$4:$N$12,10,0))</f>
        <v>1</v>
      </c>
      <c r="U23" s="197">
        <f ca="1">IF(Calc2!$K$13=0,"",VLOOKUP(Calc2!B5,Calc2!$C$4:$N$12,11,0))</f>
        <v>3</v>
      </c>
      <c r="V23" s="217">
        <f ca="1">IF(Calc2!$K$13=0,"",VLOOKUP(Calc2!B5,Calc2!$C$4:$N$12,12,0))</f>
        <v>0</v>
      </c>
      <c r="W23" s="218">
        <f t="shared" ref="W23:W27" ca="1" si="3">AD23</f>
        <v>5</v>
      </c>
      <c r="X23" s="219" t="str">
        <f>Sprache!$E$90</f>
        <v>:</v>
      </c>
      <c r="Y23" s="220">
        <f ca="1">IF(Calc2!$K$13=0,"",VLOOKUP(Calc2!B5,Calc2!$C$4:$AS$12,43,0))</f>
        <v>3</v>
      </c>
      <c r="Z23" s="218">
        <f ca="1">IF(Calc2!$K$13=0,"",VLOOKUP(Calc2!B5,Calc2!$C$4:$N$12,5,0))</f>
        <v>181</v>
      </c>
      <c r="AA23" s="219" t="str">
        <f>Sprache!$E$90</f>
        <v>:</v>
      </c>
      <c r="AB23" s="220">
        <f ca="1">IF(Calc2!$K$13=0,"",VLOOKUP(Calc2!B5,Calc2!$C$4:$N$12,6,0))</f>
        <v>163</v>
      </c>
      <c r="AC23" s="216">
        <f ca="1">IF(Calc2!$K$13=0,"",IF(VLOOKUP(Calc2!B5,Calc2!$C$4:$AR$12,42,0)=Einstellungen!$F$7,"max",VLOOKUP(Calc2!B5,Calc2!$C$4:$AR$12,42,0)))</f>
        <v>18</v>
      </c>
      <c r="AD23" s="221">
        <f ca="1">IF(Calc2!$K$13=0,"",VLOOKUP(Calc2!B5,Calc2!$C$4:$N$12,8,0))</f>
        <v>5</v>
      </c>
      <c r="AE23" s="222" t="str">
        <f ca="1">IFERROR(VLOOKUP($R23&amp;AE$21,Calc2!$Z$64:$AI$207,Einstellungen!$G$17,0),"")</f>
        <v>39:43</v>
      </c>
      <c r="AF23" s="223"/>
      <c r="AG23" s="197" t="str">
        <f ca="1">IFERROR(VLOOKUP($R23&amp;AG$21,Calc2!$Z$64:$AI$207,Einstellungen!$G$17,0),"")</f>
        <v>44:42</v>
      </c>
      <c r="AH23" s="197" t="str">
        <f ca="1">IFERROR(VLOOKUP($R23&amp;AH$21,Calc2!$Z$64:$AI$207,Einstellungen!$G$17,0),"")</f>
        <v>48:39</v>
      </c>
      <c r="AI23" s="197" t="str">
        <f ca="1">IFERROR(VLOOKUP($R23&amp;AI$21,Calc2!$Z$64:$AI$207,Einstellungen!$G$17,0),"")</f>
        <v>50:39</v>
      </c>
      <c r="AJ23" s="224" t="str">
        <f ca="1">IFERROR(VLOOKUP($R23&amp;AJ$21,Calc2!$Z$64:$AI$207,Einstellungen!$G$17,0),"")</f>
        <v/>
      </c>
      <c r="AK23" s="225" t="str">
        <f t="shared" ca="1" si="2"/>
        <v>SSV Wildbach</v>
      </c>
      <c r="AN23" s="438" t="s">
        <v>194</v>
      </c>
      <c r="AO23" s="386" t="str">
        <f>IF(Planung!$C26="","",Planung!$C26)</f>
        <v>Inter Mailand</v>
      </c>
      <c r="AP23" s="291"/>
      <c r="AQ23" s="713">
        <f>IF($AO23="",0,COUNTIF(TieBreak!$U$12:$U$17,$AO23))</f>
        <v>0</v>
      </c>
    </row>
    <row r="24" spans="2:43" ht="24" customHeight="1" x14ac:dyDescent="0.2">
      <c r="B24" s="347">
        <f ca="1">Planung!$E18</f>
        <v>13</v>
      </c>
      <c r="C24" s="235">
        <f ca="1">Planung!$F18</f>
        <v>0.44791666666666669</v>
      </c>
      <c r="D24" s="236">
        <f ca="1">Planung!$G18</f>
        <v>1</v>
      </c>
      <c r="E24" s="236" t="str">
        <f ca="1">Planung!$H18</f>
        <v>A</v>
      </c>
      <c r="F24" s="237" t="str">
        <f ca="1">Planung!$L18</f>
        <v>FC Barcelona</v>
      </c>
      <c r="G24" s="238" t="s">
        <v>4</v>
      </c>
      <c r="H24" s="237" t="str">
        <f ca="1">Planung!$N18</f>
        <v>Eintracht Frankfurt</v>
      </c>
      <c r="I24" s="239">
        <v>17</v>
      </c>
      <c r="J24" s="240" t="str">
        <f>Sprache!$E$90</f>
        <v>:</v>
      </c>
      <c r="K24" s="644">
        <v>25</v>
      </c>
      <c r="L24" s="239">
        <v>12</v>
      </c>
      <c r="M24" s="240" t="str">
        <f>Sprache!$E$90</f>
        <v>:</v>
      </c>
      <c r="N24" s="241">
        <v>25</v>
      </c>
      <c r="O24" s="756" t="str">
        <f>IF(Planung!$O18="","",Planung!$O18)</f>
        <v/>
      </c>
      <c r="Q24" s="385">
        <f ca="1">IF(Calc2!$K$13=0,"",IF(VLOOKUP(Calc2!B6,Calc2!$C$4:$E$12,3,0)=MAX(Q$22:Q23),VLOOKUP(Calc2!B6,Calc2!$C$4:$E$12,3,0),Calc2!B6))</f>
        <v>3</v>
      </c>
      <c r="R24" s="386" t="str">
        <f ca="1">IF(Calc1!$F$14&lt;3,"",IF(Calc2!$K$13=0,Calc2!$Q66,VLOOKUP(Calc2!B6,Calc2!$C$4:$N$12,4,0)))</f>
        <v>FC Grönlingen</v>
      </c>
      <c r="S24" s="216">
        <f ca="1">IF(Calc2!$K$13=0,"",VLOOKUP(Calc2!B6,Calc2!$C$4:$N$12,9,0))</f>
        <v>4</v>
      </c>
      <c r="T24" s="197">
        <f ca="1">IF(Calc2!$K$13=0,"",VLOOKUP(Calc2!B6,Calc2!$C$4:$N$12,10,0))</f>
        <v>0</v>
      </c>
      <c r="U24" s="197">
        <f ca="1">IF(Calc2!$K$13=0,"",VLOOKUP(Calc2!B6,Calc2!$C$4:$N$12,11,0))</f>
        <v>4</v>
      </c>
      <c r="V24" s="217">
        <f ca="1">IF(Calc2!$K$13=0,"",VLOOKUP(Calc2!B6,Calc2!$C$4:$N$12,12,0))</f>
        <v>0</v>
      </c>
      <c r="W24" s="218">
        <f t="shared" ca="1" si="3"/>
        <v>4</v>
      </c>
      <c r="X24" s="219" t="str">
        <f>Sprache!$E$90</f>
        <v>:</v>
      </c>
      <c r="Y24" s="220">
        <f ca="1">IF(Calc2!$K$13=0,"",VLOOKUP(Calc2!B6,Calc2!$C$4:$AS$12,43,0))</f>
        <v>4</v>
      </c>
      <c r="Z24" s="218">
        <f ca="1">IF(Calc2!$K$13=0,"",VLOOKUP(Calc2!B6,Calc2!$C$4:$N$12,5,0))</f>
        <v>173</v>
      </c>
      <c r="AA24" s="219" t="str">
        <f>Sprache!$E$90</f>
        <v>:</v>
      </c>
      <c r="AB24" s="220">
        <f ca="1">IF(Calc2!$K$13=0,"",VLOOKUP(Calc2!B6,Calc2!$C$4:$N$12,6,0))</f>
        <v>172</v>
      </c>
      <c r="AC24" s="216">
        <f ca="1">IF(Calc2!$K$13=0,"",IF(VLOOKUP(Calc2!B6,Calc2!$C$4:$AR$12,42,0)=Einstellungen!$F$7,"max",VLOOKUP(Calc2!B6,Calc2!$C$4:$AR$12,42,0)))</f>
        <v>1</v>
      </c>
      <c r="AD24" s="221">
        <f ca="1">IF(Calc2!$K$13=0,"",VLOOKUP(Calc2!B6,Calc2!$C$4:$N$12,8,0))</f>
        <v>4</v>
      </c>
      <c r="AE24" s="222" t="str">
        <f ca="1">IFERROR(VLOOKUP($R24&amp;AE$21,Calc2!$Z$64:$AI$207,Einstellungen!$G$17,0),"")</f>
        <v>39:44</v>
      </c>
      <c r="AF24" s="412" t="str">
        <f ca="1">IFERROR(VLOOKUP($R24&amp;AF$21,Calc2!$Z$64:$AI$207,Einstellungen!$G$17,0),"")</f>
        <v>42:44</v>
      </c>
      <c r="AG24" s="223"/>
      <c r="AH24" s="197" t="str">
        <f ca="1">IFERROR(VLOOKUP($R24&amp;AH$21,Calc2!$Z$64:$AI$207,Einstellungen!$G$17,0),"")</f>
        <v>45:45</v>
      </c>
      <c r="AI24" s="197" t="str">
        <f ca="1">IFERROR(VLOOKUP($R24&amp;AI$21,Calc2!$Z$64:$AI$207,Einstellungen!$G$17,0),"")</f>
        <v>47:39</v>
      </c>
      <c r="AJ24" s="224" t="str">
        <f ca="1">IFERROR(VLOOKUP($R24&amp;AJ$21,Calc2!$Z$64:$AI$207,Einstellungen!$G$17,0),"")</f>
        <v/>
      </c>
      <c r="AK24" s="225" t="str">
        <f t="shared" ca="1" si="2"/>
        <v>FC Grönlingen</v>
      </c>
      <c r="AN24" s="438" t="s">
        <v>190</v>
      </c>
      <c r="AO24" s="386" t="str">
        <f>IF(Planung!$C28="","",Planung!$C28)</f>
        <v>SSV Wildbach</v>
      </c>
      <c r="AP24" s="291"/>
      <c r="AQ24" s="713">
        <f>IF($AO24="",0,COUNTIF(TieBreak!$U$12:$U$17,$AO24))</f>
        <v>0</v>
      </c>
    </row>
    <row r="25" spans="2:43" ht="24" customHeight="1" x14ac:dyDescent="0.2">
      <c r="B25" s="347">
        <f ca="1">Planung!$E19</f>
        <v>14</v>
      </c>
      <c r="C25" s="235">
        <f ca="1">Planung!$F19</f>
        <v>0.44791666666666669</v>
      </c>
      <c r="D25" s="236">
        <f ca="1">Planung!$G19</f>
        <v>2</v>
      </c>
      <c r="E25" s="236" t="str">
        <f ca="1">Planung!$H19</f>
        <v>B</v>
      </c>
      <c r="F25" s="237" t="str">
        <f ca="1">Planung!$L19</f>
        <v>Inter Mailand</v>
      </c>
      <c r="G25" s="238" t="s">
        <v>4</v>
      </c>
      <c r="H25" s="237" t="str">
        <f ca="1">Planung!$N19</f>
        <v>SSV Wildbach</v>
      </c>
      <c r="I25" s="239">
        <v>14</v>
      </c>
      <c r="J25" s="240" t="str">
        <f>Sprache!$E$90</f>
        <v>:</v>
      </c>
      <c r="K25" s="644">
        <v>25</v>
      </c>
      <c r="L25" s="239">
        <v>25</v>
      </c>
      <c r="M25" s="240" t="str">
        <f>Sprache!$E$90</f>
        <v>:</v>
      </c>
      <c r="N25" s="241">
        <v>23</v>
      </c>
      <c r="O25" s="756" t="str">
        <f>IF(Planung!$O19="","",Planung!$O19)</f>
        <v/>
      </c>
      <c r="Q25" s="385">
        <f ca="1">IF(Calc2!$K$13=0,"",IF(VLOOKUP(Calc2!B7,Calc2!$C$4:$E$12,3,0)=MAX(Q$22:Q24),VLOOKUP(Calc2!B7,Calc2!$C$4:$E$12,3,0),Calc2!B7))</f>
        <v>4</v>
      </c>
      <c r="R25" s="386" t="str">
        <f ca="1">IF(Calc1!$F$14&lt;3,"",IF(Calc2!$K$13=0,Calc2!$Q67,VLOOKUP(Calc2!B7,Calc2!$C$4:$N$12,4,0)))</f>
        <v>Inter Mailand</v>
      </c>
      <c r="S25" s="216">
        <f ca="1">IF(Calc2!$K$13=0,"",VLOOKUP(Calc2!B7,Calc2!$C$4:$N$12,9,0))</f>
        <v>4</v>
      </c>
      <c r="T25" s="197">
        <f ca="1">IF(Calc2!$K$13=0,"",VLOOKUP(Calc2!B7,Calc2!$C$4:$N$12,10,0))</f>
        <v>0</v>
      </c>
      <c r="U25" s="197">
        <f ca="1">IF(Calc2!$K$13=0,"",VLOOKUP(Calc2!B7,Calc2!$C$4:$N$12,11,0))</f>
        <v>3</v>
      </c>
      <c r="V25" s="217">
        <f ca="1">IF(Calc2!$K$13=0,"",VLOOKUP(Calc2!B7,Calc2!$C$4:$N$12,12,0))</f>
        <v>1</v>
      </c>
      <c r="W25" s="218">
        <f t="shared" ca="1" si="3"/>
        <v>3</v>
      </c>
      <c r="X25" s="219" t="str">
        <f>Sprache!$E$90</f>
        <v>:</v>
      </c>
      <c r="Y25" s="220">
        <f ca="1">IF(Calc2!$K$13=0,"",VLOOKUP(Calc2!B7,Calc2!$C$4:$AS$12,43,0))</f>
        <v>5</v>
      </c>
      <c r="Z25" s="218">
        <f ca="1">IF(Calc2!$K$13=0,"",VLOOKUP(Calc2!B7,Calc2!$C$4:$N$12,5,0))</f>
        <v>161</v>
      </c>
      <c r="AA25" s="219" t="str">
        <f>Sprache!$E$90</f>
        <v>:</v>
      </c>
      <c r="AB25" s="220">
        <f ca="1">IF(Calc2!$K$13=0,"",VLOOKUP(Calc2!B7,Calc2!$C$4:$N$12,6,0))</f>
        <v>189</v>
      </c>
      <c r="AC25" s="216">
        <f ca="1">IF(Calc2!$K$13=0,"",IF(VLOOKUP(Calc2!B7,Calc2!$C$4:$AR$12,42,0)=Einstellungen!$F$7,"max",VLOOKUP(Calc2!B7,Calc2!$C$4:$AR$12,42,0)))</f>
        <v>-28</v>
      </c>
      <c r="AD25" s="221">
        <f ca="1">IF(Calc2!$K$13=0,"",VLOOKUP(Calc2!B7,Calc2!$C$4:$N$12,8,0))</f>
        <v>3</v>
      </c>
      <c r="AE25" s="222" t="str">
        <f ca="1">IFERROR(VLOOKUP($R25&amp;AE$21,Calc2!$Z$64:$AI$207,Einstellungen!$G$17,0),"")</f>
        <v>33:50</v>
      </c>
      <c r="AF25" s="412" t="str">
        <f ca="1">IFERROR(VLOOKUP($R25&amp;AF$21,Calc2!$Z$64:$AI$207,Einstellungen!$G$17,0),"")</f>
        <v>39:48</v>
      </c>
      <c r="AG25" s="197" t="str">
        <f ca="1">IFERROR(VLOOKUP($R25&amp;AG$21,Calc2!$Z$64:$AI$207,Einstellungen!$G$17,0),"")</f>
        <v>45:45</v>
      </c>
      <c r="AH25" s="223"/>
      <c r="AI25" s="197" t="str">
        <f ca="1">IFERROR(VLOOKUP($R25&amp;AI$21,Calc2!$Z$64:$AI$207,Einstellungen!$G$17,0),"")</f>
        <v>44:46</v>
      </c>
      <c r="AJ25" s="224" t="str">
        <f ca="1">IFERROR(VLOOKUP($R25&amp;AJ$21,Calc2!$Z$64:$AI$207,Einstellungen!$G$17,0),"")</f>
        <v/>
      </c>
      <c r="AK25" s="225" t="str">
        <f t="shared" ca="1" si="2"/>
        <v>Inter Mailand</v>
      </c>
      <c r="AN25" s="438" t="s">
        <v>196</v>
      </c>
      <c r="AO25" s="386" t="str">
        <f>IF(Planung!$C30="","",Planung!$C30)</f>
        <v>Manchester City</v>
      </c>
      <c r="AP25" s="291"/>
      <c r="AQ25" s="713">
        <f>IF($AO25="",0,COUNTIF(TieBreak!$U$12:$U$17,$AO25))</f>
        <v>0</v>
      </c>
    </row>
    <row r="26" spans="2:43" ht="24" customHeight="1" x14ac:dyDescent="0.2">
      <c r="B26" s="347">
        <f ca="1">Planung!$E20</f>
        <v>15</v>
      </c>
      <c r="C26" s="235">
        <f ca="1">Planung!$F20</f>
        <v>0.44791666666666669</v>
      </c>
      <c r="D26" s="236">
        <f ca="1">Planung!$G20</f>
        <v>3</v>
      </c>
      <c r="E26" s="236" t="str">
        <f ca="1">Planung!$H20</f>
        <v>C</v>
      </c>
      <c r="F26" s="237" t="str">
        <f ca="1">Planung!$L20</f>
        <v>Real Madrid</v>
      </c>
      <c r="G26" s="238" t="s">
        <v>4</v>
      </c>
      <c r="H26" s="237" t="str">
        <f ca="1">Planung!$N20</f>
        <v>Borussia Dortmund</v>
      </c>
      <c r="I26" s="239">
        <v>21</v>
      </c>
      <c r="J26" s="240" t="str">
        <f>Sprache!$E$90</f>
        <v>:</v>
      </c>
      <c r="K26" s="644">
        <v>25</v>
      </c>
      <c r="L26" s="239">
        <v>25</v>
      </c>
      <c r="M26" s="240" t="str">
        <f>Sprache!$E$90</f>
        <v>:</v>
      </c>
      <c r="N26" s="241">
        <v>17</v>
      </c>
      <c r="O26" s="756" t="str">
        <f>IF(Planung!$O20="","",Planung!$O20)</f>
        <v/>
      </c>
      <c r="Q26" s="385">
        <f ca="1">IF(Calc2!$K$13=0,"",IF(VLOOKUP(Calc2!B8,Calc2!$C$4:$E$12,3,0)=MAX(Q$22:Q25),VLOOKUP(Calc2!B8,Calc2!$C$4:$E$12,3,0),Calc2!B8))</f>
        <v>5</v>
      </c>
      <c r="R26" s="386" t="str">
        <f ca="1">IF(Calc1!$F$14&lt;3,"",IF(Calc2!$K$13=0,Calc2!$Q68,VLOOKUP(Calc2!B8,Calc2!$C$4:$N$12,4,0)))</f>
        <v>Manchester City</v>
      </c>
      <c r="S26" s="216">
        <f ca="1">IF(Calc2!$K$13=0,"",VLOOKUP(Calc2!B8,Calc2!$C$4:$N$12,9,0))</f>
        <v>4</v>
      </c>
      <c r="T26" s="197">
        <f ca="1">IF(Calc2!$K$13=0,"",VLOOKUP(Calc2!B8,Calc2!$C$4:$N$12,10,0))</f>
        <v>0</v>
      </c>
      <c r="U26" s="197">
        <f ca="1">IF(Calc2!$K$13=0,"",VLOOKUP(Calc2!B8,Calc2!$C$4:$N$12,11,0))</f>
        <v>2</v>
      </c>
      <c r="V26" s="217">
        <f ca="1">IF(Calc2!$K$13=0,"",VLOOKUP(Calc2!B8,Calc2!$C$4:$N$12,12,0))</f>
        <v>2</v>
      </c>
      <c r="W26" s="218">
        <f t="shared" ca="1" si="3"/>
        <v>2</v>
      </c>
      <c r="X26" s="219" t="str">
        <f>Sprache!$E$90</f>
        <v>:</v>
      </c>
      <c r="Y26" s="220">
        <f ca="1">IF(Calc2!$K$13=0,"",VLOOKUP(Calc2!B8,Calc2!$C$4:$AS$12,43,0))</f>
        <v>6</v>
      </c>
      <c r="Z26" s="218">
        <f ca="1">IF(Calc2!$K$13=0,"",VLOOKUP(Calc2!B8,Calc2!$C$4:$N$12,5,0))</f>
        <v>146</v>
      </c>
      <c r="AA26" s="219" t="str">
        <f>Sprache!$E$90</f>
        <v>:</v>
      </c>
      <c r="AB26" s="220">
        <f ca="1">IF(Calc2!$K$13=0,"",VLOOKUP(Calc2!B8,Calc2!$C$4:$N$12,6,0))</f>
        <v>191</v>
      </c>
      <c r="AC26" s="216">
        <f ca="1">IF(Calc2!$K$13=0,"",IF(VLOOKUP(Calc2!B8,Calc2!$C$4:$AR$12,42,0)=Einstellungen!$F$7,"max",VLOOKUP(Calc2!B8,Calc2!$C$4:$AR$12,42,0)))</f>
        <v>-45</v>
      </c>
      <c r="AD26" s="221">
        <f ca="1">IF(Calc2!$K$13=0,"",VLOOKUP(Calc2!B8,Calc2!$C$4:$N$12,8,0))</f>
        <v>2</v>
      </c>
      <c r="AE26" s="222" t="str">
        <f ca="1">IFERROR(VLOOKUP($R26&amp;AE$21,Calc2!$Z$64:$AI$207,Einstellungen!$G$17,0),"")</f>
        <v>22:50</v>
      </c>
      <c r="AF26" s="412" t="str">
        <f ca="1">IFERROR(VLOOKUP($R26&amp;AF$21,Calc2!$Z$64:$AI$207,Einstellungen!$G$17,0),"")</f>
        <v>39:50</v>
      </c>
      <c r="AG26" s="197" t="str">
        <f ca="1">IFERROR(VLOOKUP($R26&amp;AG$21,Calc2!$Z$64:$AI$207,Einstellungen!$G$17,0),"")</f>
        <v>39:47</v>
      </c>
      <c r="AH26" s="197" t="str">
        <f ca="1">IFERROR(VLOOKUP($R26&amp;AH$21,Calc2!$Z$64:$AI$207,Einstellungen!$G$17,0),"")</f>
        <v>46:44</v>
      </c>
      <c r="AI26" s="223"/>
      <c r="AJ26" s="224" t="str">
        <f ca="1">IFERROR(VLOOKUP($R26&amp;AJ$21,Calc2!$Z$64:$AI$207,Einstellungen!$G$17,0),"")</f>
        <v/>
      </c>
      <c r="AK26" s="225" t="str">
        <f t="shared" ca="1" si="2"/>
        <v>Manchester City</v>
      </c>
      <c r="AN26" s="438" t="s">
        <v>198</v>
      </c>
      <c r="AO26" s="386" t="str">
        <f>IF(Planung!$C32="","",Planung!$C32)</f>
        <v>FC Grönlingen</v>
      </c>
      <c r="AP26" s="291"/>
      <c r="AQ26" s="713">
        <f>IF($AO26="",0,COUNTIF(TieBreak!$U$12:$U$17,$AO26))</f>
        <v>0</v>
      </c>
    </row>
    <row r="27" spans="2:43" ht="24" customHeight="1" thickBot="1" x14ac:dyDescent="0.25">
      <c r="B27" s="347">
        <f ca="1">Planung!$E21</f>
        <v>16</v>
      </c>
      <c r="C27" s="235">
        <f ca="1">Planung!$F21</f>
        <v>0.44791666666666669</v>
      </c>
      <c r="D27" s="236">
        <f ca="1">Planung!$G21</f>
        <v>4</v>
      </c>
      <c r="E27" s="236" t="str">
        <f ca="1">Planung!$H21</f>
        <v>D</v>
      </c>
      <c r="F27" s="237" t="str">
        <f ca="1">Planung!$L21</f>
        <v>Paris St. Germain</v>
      </c>
      <c r="G27" s="238" t="s">
        <v>4</v>
      </c>
      <c r="H27" s="237" t="str">
        <f ca="1">Planung!$N21</f>
        <v>HSV</v>
      </c>
      <c r="I27" s="239">
        <v>25</v>
      </c>
      <c r="J27" s="240" t="str">
        <f>Sprache!$E$90</f>
        <v>:</v>
      </c>
      <c r="K27" s="644">
        <v>2</v>
      </c>
      <c r="L27" s="239">
        <v>25</v>
      </c>
      <c r="M27" s="240" t="str">
        <f>Sprache!$E$90</f>
        <v>:</v>
      </c>
      <c r="N27" s="241">
        <v>18</v>
      </c>
      <c r="O27" s="756" t="str">
        <f>IF(Planung!$O21="","",Planung!$O21)</f>
        <v/>
      </c>
      <c r="Q27" s="387">
        <f ca="1">IF(Calc2!$K$13=0,"",IF(VLOOKUP(Calc2!B9,Calc2!$C$4:$E$12,3,0)=MAX(Q$22:Q26),VLOOKUP(Calc2!B9,Calc2!$C$4:$E$12,3,0),Calc2!B9))</f>
        <v>6</v>
      </c>
      <c r="R27" s="388" t="str">
        <f ca="1">IF(Calc1!$F$14&lt;3,"",IF(Calc2!$K$13=0,Calc2!$Q69,VLOOKUP(Calc2!B9,Calc2!$C$4:$N$12,4,0)))</f>
        <v/>
      </c>
      <c r="S27" s="226">
        <f ca="1">IF(Calc2!$K$13=0,"",VLOOKUP(Calc2!B9,Calc2!$C$4:$N$12,9,0))</f>
        <v>0</v>
      </c>
      <c r="T27" s="227">
        <f ca="1">IF(Calc2!$K$13=0,"",VLOOKUP(Calc2!B9,Calc2!$C$4:$N$12,10,0))</f>
        <v>0</v>
      </c>
      <c r="U27" s="227">
        <f ca="1">IF(Calc2!$K$13=0,"",VLOOKUP(Calc2!B9,Calc2!$C$4:$N$12,11,0))</f>
        <v>0</v>
      </c>
      <c r="V27" s="228">
        <f ca="1">IF(Calc2!$K$13=0,"",VLOOKUP(Calc2!B9,Calc2!$C$4:$N$12,12,0))</f>
        <v>0</v>
      </c>
      <c r="W27" s="229">
        <f t="shared" ca="1" si="3"/>
        <v>0</v>
      </c>
      <c r="X27" s="230" t="str">
        <f>Sprache!$E$90</f>
        <v>:</v>
      </c>
      <c r="Y27" s="231">
        <f ca="1">IF(Calc2!$K$13=0,"",VLOOKUP(Calc2!B9,Calc2!$C$4:$AS$12,43,0))</f>
        <v>0</v>
      </c>
      <c r="Z27" s="229">
        <f ca="1">IF(Calc2!$K$13=0,"",VLOOKUP(Calc2!B9,Calc2!$C$4:$N$12,5,0))</f>
        <v>0</v>
      </c>
      <c r="AA27" s="230" t="str">
        <f>Sprache!$E$90</f>
        <v>:</v>
      </c>
      <c r="AB27" s="231">
        <f ca="1">IF(Calc2!$K$13=0,"",VLOOKUP(Calc2!B9,Calc2!$C$4:$N$12,6,0))</f>
        <v>0</v>
      </c>
      <c r="AC27" s="226">
        <f ca="1">IF(Calc2!$K$13=0,"",IF(VLOOKUP(Calc2!B9,Calc2!$C$4:$AR$12,42,0)=Einstellungen!$F$7,"max",VLOOKUP(Calc2!B9,Calc2!$C$4:$AR$12,42,0)))</f>
        <v>0</v>
      </c>
      <c r="AD27" s="232">
        <f ca="1">IF(Calc2!$K$13=0,"",VLOOKUP(Calc2!B9,Calc2!$C$4:$N$12,8,0))</f>
        <v>0</v>
      </c>
      <c r="AE27" s="233" t="str">
        <f ca="1">IFERROR(VLOOKUP($R27&amp;AE$21,Calc2!$Z$64:$AI$207,Einstellungen!$G$17,0),"")</f>
        <v/>
      </c>
      <c r="AF27" s="227" t="str">
        <f ca="1">IFERROR(VLOOKUP($R27&amp;AF$21,Calc2!$Z$64:$AI$207,Einstellungen!$G$17,0),"")</f>
        <v/>
      </c>
      <c r="AG27" s="227" t="str">
        <f ca="1">IFERROR(VLOOKUP($R27&amp;AG$21,Calc2!$Z$64:$AI$207,Einstellungen!$G$17,0),"")</f>
        <v/>
      </c>
      <c r="AH27" s="227" t="str">
        <f ca="1">IFERROR(VLOOKUP($R27&amp;AH$21,Calc2!$Z$64:$AI$207,Einstellungen!$G$17,0),"")</f>
        <v/>
      </c>
      <c r="AI27" s="227" t="str">
        <f ca="1">IFERROR(VLOOKUP($R27&amp;AI$21,Calc2!$Z$64:$AI$207,Einstellungen!$G$17,0),"")</f>
        <v/>
      </c>
      <c r="AJ27" s="234"/>
      <c r="AK27" s="316" t="str">
        <f t="shared" ca="1" si="2"/>
        <v/>
      </c>
      <c r="AN27" s="440" t="s">
        <v>200</v>
      </c>
      <c r="AO27" s="388" t="str">
        <f>IF(Planung!$C34="","",Planung!$C34)</f>
        <v/>
      </c>
      <c r="AP27" s="291"/>
      <c r="AQ27" s="714">
        <f>IF($AO27="",0,COUNTIF(TieBreak!$U$12:$U$17,$AO27))</f>
        <v>0</v>
      </c>
    </row>
    <row r="28" spans="2:43" ht="24" customHeight="1" thickTop="1" x14ac:dyDescent="0.2">
      <c r="B28" s="347">
        <f ca="1">Planung!$E22</f>
        <v>17</v>
      </c>
      <c r="C28" s="235">
        <f ca="1">Planung!$F22</f>
        <v>0.47222222222222221</v>
      </c>
      <c r="D28" s="236">
        <f ca="1">Planung!$G22</f>
        <v>1</v>
      </c>
      <c r="E28" s="236" t="str">
        <f ca="1">Planung!$H22</f>
        <v>A</v>
      </c>
      <c r="F28" s="237" t="str">
        <f ca="1">Planung!$L22</f>
        <v>1. FC Riedwald</v>
      </c>
      <c r="G28" s="238" t="s">
        <v>4</v>
      </c>
      <c r="H28" s="237" t="str">
        <f ca="1">Planung!$N22</f>
        <v>Maibach 1822 eV</v>
      </c>
      <c r="I28" s="239">
        <v>25</v>
      </c>
      <c r="J28" s="240" t="str">
        <f>Sprache!$E$90</f>
        <v>:</v>
      </c>
      <c r="K28" s="644">
        <v>20</v>
      </c>
      <c r="L28" s="239">
        <v>25</v>
      </c>
      <c r="M28" s="240" t="str">
        <f>Sprache!$E$90</f>
        <v>:</v>
      </c>
      <c r="N28" s="241">
        <v>19</v>
      </c>
      <c r="O28" s="756" t="str">
        <f>IF(Planung!$O22="","",Planung!$O22)</f>
        <v/>
      </c>
      <c r="AP28" s="289"/>
      <c r="AQ28" s="289"/>
    </row>
    <row r="29" spans="2:43" ht="24" customHeight="1" thickBot="1" x14ac:dyDescent="0.25">
      <c r="B29" s="347">
        <f ca="1">Planung!$E23</f>
        <v>18</v>
      </c>
      <c r="C29" s="235">
        <f ca="1">Planung!$F23</f>
        <v>0.47222222222222221</v>
      </c>
      <c r="D29" s="236">
        <f ca="1">Planung!$G23</f>
        <v>2</v>
      </c>
      <c r="E29" s="236" t="str">
        <f ca="1">Planung!$H23</f>
        <v>B</v>
      </c>
      <c r="F29" s="237" t="str">
        <f ca="1">Planung!$L23</f>
        <v>Mainz 05</v>
      </c>
      <c r="G29" s="238" t="s">
        <v>4</v>
      </c>
      <c r="H29" s="237" t="str">
        <f ca="1">Planung!$N23</f>
        <v>Manchester City</v>
      </c>
      <c r="I29" s="239">
        <v>25</v>
      </c>
      <c r="J29" s="240" t="str">
        <f>Sprache!$E$90</f>
        <v>:</v>
      </c>
      <c r="K29" s="644">
        <v>2</v>
      </c>
      <c r="L29" s="239">
        <v>25</v>
      </c>
      <c r="M29" s="240" t="str">
        <f>Sprache!$E$90</f>
        <v>:</v>
      </c>
      <c r="N29" s="241">
        <v>20</v>
      </c>
      <c r="O29" s="756" t="str">
        <f>IF(Planung!$O23="","",Planung!$O23)</f>
        <v/>
      </c>
      <c r="Q29" s="289"/>
      <c r="R29" s="289"/>
      <c r="S29" s="289"/>
      <c r="T29" s="289"/>
      <c r="U29" s="289"/>
      <c r="V29" s="289"/>
      <c r="W29" s="289"/>
      <c r="X29" s="289"/>
      <c r="Y29" s="289"/>
      <c r="Z29" s="289"/>
      <c r="AA29" s="289"/>
      <c r="AB29" s="289"/>
      <c r="AC29" s="289"/>
      <c r="AD29" s="289"/>
      <c r="AE29" s="289"/>
      <c r="AF29" s="289"/>
      <c r="AG29" s="289"/>
      <c r="AH29" s="289"/>
      <c r="AI29" s="289"/>
      <c r="AJ29" s="289"/>
      <c r="AK29" s="289"/>
      <c r="AP29" s="289"/>
      <c r="AQ29" s="289"/>
    </row>
    <row r="30" spans="2:43" ht="24" customHeight="1" thickBot="1" x14ac:dyDescent="0.45">
      <c r="B30" s="347">
        <f ca="1">Planung!$E24</f>
        <v>19</v>
      </c>
      <c r="C30" s="235">
        <f ca="1">Planung!$F24</f>
        <v>0.47222222222222221</v>
      </c>
      <c r="D30" s="236">
        <f ca="1">Planung!$G24</f>
        <v>3</v>
      </c>
      <c r="E30" s="236" t="str">
        <f ca="1">Planung!$H24</f>
        <v>C</v>
      </c>
      <c r="F30" s="237" t="str">
        <f ca="1">Planung!$L24</f>
        <v>Kickers Rodendorf</v>
      </c>
      <c r="G30" s="238" t="s">
        <v>4</v>
      </c>
      <c r="H30" s="237" t="str">
        <f ca="1">Planung!$N24</f>
        <v>FSV Rauen</v>
      </c>
      <c r="I30" s="239">
        <v>25</v>
      </c>
      <c r="J30" s="240" t="str">
        <f>Sprache!$E$90</f>
        <v>:</v>
      </c>
      <c r="K30" s="644">
        <v>2</v>
      </c>
      <c r="L30" s="239">
        <v>25</v>
      </c>
      <c r="M30" s="240" t="str">
        <f>Sprache!$E$90</f>
        <v>:</v>
      </c>
      <c r="N30" s="241">
        <v>21</v>
      </c>
      <c r="O30" s="756" t="str">
        <f>IF(Planung!$O24="","",Planung!$O24)</f>
        <v/>
      </c>
      <c r="Q30" s="843" t="str">
        <f>Sprache!$E$16&amp;" C"</f>
        <v>Gruppe C</v>
      </c>
      <c r="R30" s="843"/>
      <c r="S30" s="198"/>
      <c r="T30" s="198"/>
      <c r="U30" s="198"/>
      <c r="V30" s="198"/>
      <c r="W30" s="198"/>
      <c r="X30" s="198"/>
      <c r="Y30" s="198"/>
      <c r="Z30" s="198"/>
      <c r="AA30" s="198"/>
      <c r="AB30" s="198"/>
      <c r="AC30" s="198"/>
      <c r="AD30" s="198"/>
      <c r="AE30" s="297" t="str">
        <f ca="1">IF(LEN(R32)&gt;Einstellungen!$C$11,LEFT(R32,Einstellungen!$C$11)&amp;".",R32)</f>
        <v>Kickers.</v>
      </c>
      <c r="AF30" s="298" t="str">
        <f ca="1">IF(LEN(R33)&gt;Einstellungen!$C$11,LEFT(R33,Einstellungen!$C$11)&amp;".",R33)</f>
        <v>FSV Rau.</v>
      </c>
      <c r="AG30" s="298" t="str">
        <f ca="1">IF(LEN(R34)&gt;Einstellungen!$C$11,LEFT(R34,Einstellungen!$C$11)&amp;".",R34)</f>
        <v>Borussi.</v>
      </c>
      <c r="AH30" s="298" t="str">
        <f ca="1">IF(LEN(R35)&gt;Einstellungen!$C$11,LEFT(R35,Einstellungen!$C$11)&amp;".",R35)</f>
        <v>1. FC N.</v>
      </c>
      <c r="AI30" s="298" t="str">
        <f ca="1">IF(LEN(R36)&gt;Einstellungen!$C$11,LEFT(R36,Einstellungen!$C$11)&amp;".",R36)</f>
        <v>Real Ma.</v>
      </c>
      <c r="AJ30" s="299" t="str">
        <f ca="1">IF(LEN(R37)&gt;Einstellungen!$C$11,LEFT(R37,Einstellungen!$C$11)&amp;".",R37)</f>
        <v/>
      </c>
      <c r="AK30" s="199"/>
      <c r="AN30" s="843" t="str">
        <f>Sprache!$E$16&amp;" C"</f>
        <v>Gruppe C</v>
      </c>
      <c r="AO30" s="843"/>
      <c r="AP30" s="691"/>
      <c r="AQ30" s="289"/>
    </row>
    <row r="31" spans="2:43" ht="24" customHeight="1" thickTop="1" thickBot="1" x14ac:dyDescent="0.25">
      <c r="B31" s="347">
        <f ca="1">Planung!$E25</f>
        <v>20</v>
      </c>
      <c r="C31" s="235">
        <f ca="1">Planung!$F25</f>
        <v>0.47222222222222221</v>
      </c>
      <c r="D31" s="236">
        <f ca="1">Planung!$G25</f>
        <v>4</v>
      </c>
      <c r="E31" s="236" t="str">
        <f ca="1">Planung!$H25</f>
        <v>D</v>
      </c>
      <c r="F31" s="237" t="str">
        <f ca="1">Planung!$L25</f>
        <v>TSG Saalberg eV</v>
      </c>
      <c r="G31" s="238" t="s">
        <v>4</v>
      </c>
      <c r="H31" s="237" t="str">
        <f ca="1">Planung!$N25</f>
        <v>RB Leipzig</v>
      </c>
      <c r="I31" s="239">
        <v>25</v>
      </c>
      <c r="J31" s="240" t="str">
        <f>Sprache!$E$90</f>
        <v>:</v>
      </c>
      <c r="K31" s="644">
        <v>2</v>
      </c>
      <c r="L31" s="239">
        <v>25</v>
      </c>
      <c r="M31" s="240" t="str">
        <f>Sprache!$E$90</f>
        <v>:</v>
      </c>
      <c r="N31" s="241">
        <v>22</v>
      </c>
      <c r="O31" s="756" t="str">
        <f>IF(Planung!$O25="","",Planung!$O25)</f>
        <v/>
      </c>
      <c r="Q31" s="844"/>
      <c r="R31" s="845"/>
      <c r="S31" s="200" t="str">
        <f>Sprache!$E$21</f>
        <v>SP</v>
      </c>
      <c r="T31" s="201" t="str">
        <f>Sprache!$E$22</f>
        <v>G</v>
      </c>
      <c r="U31" s="201" t="str">
        <f>Sprache!$E$23</f>
        <v>U</v>
      </c>
      <c r="V31" s="411" t="str">
        <f>Sprache!$E$24</f>
        <v>V</v>
      </c>
      <c r="W31" s="849" t="str">
        <f>Sprache!$E$25</f>
        <v>Sätze</v>
      </c>
      <c r="X31" s="850"/>
      <c r="Y31" s="851"/>
      <c r="Z31" s="846" t="str">
        <f>Sprache!$E$74</f>
        <v>Bälle</v>
      </c>
      <c r="AA31" s="847"/>
      <c r="AB31" s="848"/>
      <c r="AC31" s="201" t="str">
        <f>IF(Einstellungen!$G$7,Sprache!$E$26,Sprache!$E$80)</f>
        <v>Diff.</v>
      </c>
      <c r="AD31" s="203" t="str">
        <f>Sprache!$E$27</f>
        <v>Pkt</v>
      </c>
      <c r="AE31" s="204" t="str">
        <f ca="1">R32</f>
        <v>Kickers Rodendorf</v>
      </c>
      <c r="AF31" s="205" t="str">
        <f ca="1">R33</f>
        <v>FSV Rauen</v>
      </c>
      <c r="AG31" s="205" t="str">
        <f ca="1">R34</f>
        <v>Borussia Dortmund</v>
      </c>
      <c r="AH31" s="205" t="str">
        <f ca="1">R35</f>
        <v>1. FC Nürnberg</v>
      </c>
      <c r="AI31" s="205" t="str">
        <f ca="1">R36</f>
        <v>Real Madrid</v>
      </c>
      <c r="AJ31" s="628" t="str">
        <f ca="1">R37</f>
        <v/>
      </c>
      <c r="AK31" s="199"/>
      <c r="AN31" s="436" t="str">
        <f>Sprache!$E$9</f>
        <v>Nr.</v>
      </c>
      <c r="AO31" s="689" t="str">
        <f>Sprache!$E$10</f>
        <v>Teilnehmer bzw. Mannschaft</v>
      </c>
      <c r="AP31" s="692"/>
      <c r="AQ31" s="469"/>
    </row>
    <row r="32" spans="2:43" ht="24" customHeight="1" x14ac:dyDescent="0.2">
      <c r="B32" s="347">
        <f ca="1">Planung!$E26</f>
        <v>21</v>
      </c>
      <c r="C32" s="235">
        <f ca="1">Planung!$F26</f>
        <v>0.49652777777777779</v>
      </c>
      <c r="D32" s="236">
        <f ca="1">Planung!$G26</f>
        <v>1</v>
      </c>
      <c r="E32" s="236" t="str">
        <f ca="1">Planung!$H26</f>
        <v>A</v>
      </c>
      <c r="F32" s="237" t="str">
        <f ca="1">Planung!$L26</f>
        <v>Eintracht Frankfurt</v>
      </c>
      <c r="G32" s="238" t="s">
        <v>4</v>
      </c>
      <c r="H32" s="237" t="str">
        <f ca="1">Planung!$N26</f>
        <v>VFB Essenheim</v>
      </c>
      <c r="I32" s="239">
        <v>13</v>
      </c>
      <c r="J32" s="240" t="str">
        <f>Sprache!$E$90</f>
        <v>:</v>
      </c>
      <c r="K32" s="644">
        <v>25</v>
      </c>
      <c r="L32" s="239">
        <v>25</v>
      </c>
      <c r="M32" s="240" t="str">
        <f>Sprache!$E$90</f>
        <v>:</v>
      </c>
      <c r="N32" s="241">
        <v>11</v>
      </c>
      <c r="O32" s="756" t="str">
        <f>IF(Planung!$O26="","",Planung!$O26)</f>
        <v/>
      </c>
      <c r="Q32" s="383">
        <f ca="1">IF(Calc3!$K$13=0,"",1)</f>
        <v>1</v>
      </c>
      <c r="R32" s="384" t="str">
        <f ca="1">IF(Calc1!$F$14&lt;3,"",IF(Calc3!$K$13=0,Calc3!$Q64,VLOOKUP(Calc3!B4,Calc3!$C$4:$N$12,4,0)))</f>
        <v>Kickers Rodendorf</v>
      </c>
      <c r="S32" s="206">
        <f ca="1">IF(Calc3!$K$13=0,"",VLOOKUP(Calc3!B4,Calc3!$C$4:$N$12,9,0))</f>
        <v>4</v>
      </c>
      <c r="T32" s="207">
        <f ca="1">IF(Calc3!$K$13=0,"",VLOOKUP(Calc3!B4,Calc3!$C$4:$N$12,10,0))</f>
        <v>1</v>
      </c>
      <c r="U32" s="207">
        <f ca="1">IF(Calc3!$K$13=0,"",VLOOKUP(Calc3!B4,Calc3!$C$4:$N$12,11,0))</f>
        <v>3</v>
      </c>
      <c r="V32" s="208">
        <f ca="1">IF(Calc3!$K$13=0,"",VLOOKUP(Calc3!B4,Calc3!$C$4:$N$12,12,0))</f>
        <v>0</v>
      </c>
      <c r="W32" s="209">
        <f ca="1">AD32</f>
        <v>5</v>
      </c>
      <c r="X32" s="210" t="str">
        <f>Sprache!$E$90</f>
        <v>:</v>
      </c>
      <c r="Y32" s="211">
        <f ca="1">IF(Calc3!$K$13=0,"",VLOOKUP(Calc3!B4,Calc3!$C$4:$AS$12,43,0))</f>
        <v>3</v>
      </c>
      <c r="Z32" s="209">
        <f ca="1">IF(Calc3!$K$13=0,"",VLOOKUP(Calc3!B4,Calc3!$C$4:$N$12,5,0))</f>
        <v>177</v>
      </c>
      <c r="AA32" s="210" t="str">
        <f>Sprache!$E$90</f>
        <v>:</v>
      </c>
      <c r="AB32" s="211">
        <f ca="1">IF(Calc3!$K$13=0,"",VLOOKUP(Calc3!B4,Calc3!$C$4:$N$12,6,0))</f>
        <v>160</v>
      </c>
      <c r="AC32" s="206">
        <f ca="1">IF(Calc3!$K$13=0,"",IF(VLOOKUP(Calc3!B4,Calc3!$C$4:$AR$12,42,0)=Einstellungen!$F$7,"max",VLOOKUP(Calc3!B4,Calc3!$C$4:$AR$12,42,0)))</f>
        <v>17</v>
      </c>
      <c r="AD32" s="212">
        <f ca="1">IF(Calc3!$K$13=0,"",VLOOKUP(Calc3!B4,Calc3!$C$4:$N$12,8,0))</f>
        <v>5</v>
      </c>
      <c r="AE32" s="213"/>
      <c r="AF32" s="207" t="str">
        <f ca="1">IFERROR(VLOOKUP($R32&amp;AF$31,Calc3!$Z$64:$AI$207,Einstellungen!$G$17,0),"")</f>
        <v>50:23</v>
      </c>
      <c r="AG32" s="207" t="str">
        <f ca="1">IFERROR(VLOOKUP($R32&amp;AG$31,Calc3!$Z$64:$AI$207,Einstellungen!$G$17,0),"")</f>
        <v>44:45</v>
      </c>
      <c r="AH32" s="207" t="str">
        <f ca="1">IFERROR(VLOOKUP($R32&amp;AH$31,Calc3!$Z$64:$AI$207,Einstellungen!$G$17,0),"")</f>
        <v>45:47</v>
      </c>
      <c r="AI32" s="207" t="str">
        <f ca="1">IFERROR(VLOOKUP($R32&amp;AI$31,Calc3!$Z$64:$AI$207,Einstellungen!$G$17,0),"")</f>
        <v>38:45</v>
      </c>
      <c r="AJ32" s="214" t="str">
        <f ca="1">IFERROR(VLOOKUP($R32&amp;AJ$31,Calc3!$Z$64:$AI$207,Einstellungen!$G$17,0),"")</f>
        <v/>
      </c>
      <c r="AK32" s="215" t="str">
        <f t="shared" ref="AK32:AK37" ca="1" si="4">R32</f>
        <v>Kickers Rodendorf</v>
      </c>
      <c r="AN32" s="437" t="s">
        <v>268</v>
      </c>
      <c r="AO32" s="690" t="str">
        <f>IF(Planung!$C41="","",Planung!$C41)</f>
        <v>Kickers Rodendorf</v>
      </c>
      <c r="AP32" s="291"/>
      <c r="AQ32" s="712">
        <f>IF($AO32="",0,COUNTIF(TieBreak!$U$12:$U$17,$AO32))</f>
        <v>0</v>
      </c>
    </row>
    <row r="33" spans="2:43" ht="24" customHeight="1" x14ac:dyDescent="0.2">
      <c r="B33" s="347">
        <f ca="1">Planung!$E27</f>
        <v>22</v>
      </c>
      <c r="C33" s="235">
        <f ca="1">Planung!$F27</f>
        <v>0.49652777777777779</v>
      </c>
      <c r="D33" s="236">
        <f ca="1">Planung!$G27</f>
        <v>2</v>
      </c>
      <c r="E33" s="236" t="str">
        <f ca="1">Planung!$H27</f>
        <v>B</v>
      </c>
      <c r="F33" s="237" t="str">
        <f ca="1">Planung!$L27</f>
        <v>SSV Wildbach</v>
      </c>
      <c r="G33" s="238" t="s">
        <v>4</v>
      </c>
      <c r="H33" s="237" t="str">
        <f ca="1">Planung!$N27</f>
        <v>FC Grönlingen</v>
      </c>
      <c r="I33" s="239">
        <v>19</v>
      </c>
      <c r="J33" s="240" t="str">
        <f>Sprache!$E$90</f>
        <v>:</v>
      </c>
      <c r="K33" s="644">
        <v>25</v>
      </c>
      <c r="L33" s="239">
        <v>25</v>
      </c>
      <c r="M33" s="240" t="str">
        <f>Sprache!$E$90</f>
        <v>:</v>
      </c>
      <c r="N33" s="241">
        <v>17</v>
      </c>
      <c r="O33" s="756" t="str">
        <f>IF(Planung!$O27="","",Planung!$O27)</f>
        <v/>
      </c>
      <c r="Q33" s="385">
        <f ca="1">IF(Calc3!$K$13=0,"",IF(VLOOKUP(Calc3!B5,Calc3!$C$4:$E$12,3,0)=MAX(Q$32:Q32),VLOOKUP(Calc3!B5,Calc3!$C$4:$E$12,3,0),Calc3!B5))</f>
        <v>2</v>
      </c>
      <c r="R33" s="386" t="str">
        <f ca="1">IF(Calc1!$F$14&lt;3,"",IF(Calc3!$K$13=0,Calc3!$Q65,VLOOKUP(Calc3!B5,Calc3!$C$4:$N$12,4,0)))</f>
        <v>FSV Rauen</v>
      </c>
      <c r="S33" s="216">
        <f ca="1">IF(Calc3!$K$13=0,"",VLOOKUP(Calc3!B5,Calc3!$C$4:$N$12,9,0))</f>
        <v>4</v>
      </c>
      <c r="T33" s="197">
        <f ca="1">IF(Calc3!$K$13=0,"",VLOOKUP(Calc3!B5,Calc3!$C$4:$N$12,10,0))</f>
        <v>1</v>
      </c>
      <c r="U33" s="197">
        <f ca="1">IF(Calc3!$K$13=0,"",VLOOKUP(Calc3!B5,Calc3!$C$4:$N$12,11,0))</f>
        <v>2</v>
      </c>
      <c r="V33" s="217">
        <f ca="1">IF(Calc3!$K$13=0,"",VLOOKUP(Calc3!B5,Calc3!$C$4:$N$12,12,0))</f>
        <v>1</v>
      </c>
      <c r="W33" s="218">
        <f t="shared" ref="W33:W37" ca="1" si="5">AD33</f>
        <v>4</v>
      </c>
      <c r="X33" s="219" t="str">
        <f>Sprache!$E$90</f>
        <v>:</v>
      </c>
      <c r="Y33" s="220">
        <f ca="1">IF(Calc3!$K$13=0,"",VLOOKUP(Calc3!B5,Calc3!$C$4:$AS$12,43,0))</f>
        <v>4</v>
      </c>
      <c r="Z33" s="218">
        <f ca="1">IF(Calc3!$K$13=0,"",VLOOKUP(Calc3!B5,Calc3!$C$4:$N$12,5,0))</f>
        <v>168</v>
      </c>
      <c r="AA33" s="219" t="str">
        <f>Sprache!$E$90</f>
        <v>:</v>
      </c>
      <c r="AB33" s="220">
        <f ca="1">IF(Calc3!$K$13=0,"",VLOOKUP(Calc3!B5,Calc3!$C$4:$N$12,6,0))</f>
        <v>171</v>
      </c>
      <c r="AC33" s="216">
        <f ca="1">IF(Calc3!$K$13=0,"",IF(VLOOKUP(Calc3!B5,Calc3!$C$4:$AR$12,42,0)=Einstellungen!$F$7,"max",VLOOKUP(Calc3!B5,Calc3!$C$4:$AR$12,42,0)))</f>
        <v>-3</v>
      </c>
      <c r="AD33" s="221">
        <f ca="1">IF(Calc3!$K$13=0,"",VLOOKUP(Calc3!B5,Calc3!$C$4:$N$12,8,0))</f>
        <v>4</v>
      </c>
      <c r="AE33" s="222" t="str">
        <f ca="1">IFERROR(VLOOKUP($R33&amp;AE$31,Calc3!$Z$64:$AI$207,Einstellungen!$G$17,0),"")</f>
        <v>23:50</v>
      </c>
      <c r="AF33" s="223"/>
      <c r="AG33" s="197" t="str">
        <f ca="1">IFERROR(VLOOKUP($R33&amp;AG$31,Calc3!$Z$64:$AI$207,Einstellungen!$G$17,0),"")</f>
        <v>48:45</v>
      </c>
      <c r="AH33" s="197" t="str">
        <f ca="1">IFERROR(VLOOKUP($R33&amp;AH$31,Calc3!$Z$64:$AI$207,Einstellungen!$G$17,0),"")</f>
        <v>50:34</v>
      </c>
      <c r="AI33" s="197" t="str">
        <f ca="1">IFERROR(VLOOKUP($R33&amp;AI$31,Calc3!$Z$64:$AI$207,Einstellungen!$G$17,0),"")</f>
        <v>47:42</v>
      </c>
      <c r="AJ33" s="224" t="str">
        <f ca="1">IFERROR(VLOOKUP($R33&amp;AJ$31,Calc3!$Z$64:$AI$207,Einstellungen!$G$17,0),"")</f>
        <v/>
      </c>
      <c r="AK33" s="225" t="str">
        <f t="shared" ca="1" si="4"/>
        <v>FSV Rauen</v>
      </c>
      <c r="AN33" s="438" t="s">
        <v>267</v>
      </c>
      <c r="AO33" s="386" t="str">
        <f>IF(Planung!$C43="","",Planung!$C43)</f>
        <v>Real Madrid</v>
      </c>
      <c r="AP33" s="291"/>
      <c r="AQ33" s="713">
        <f>IF($AO33="",0,COUNTIF(TieBreak!$U$12:$U$17,$AO33))</f>
        <v>0</v>
      </c>
    </row>
    <row r="34" spans="2:43" ht="24" customHeight="1" x14ac:dyDescent="0.2">
      <c r="B34" s="347">
        <f ca="1">Planung!$E28</f>
        <v>23</v>
      </c>
      <c r="C34" s="235">
        <f ca="1">Planung!$F28</f>
        <v>0.49652777777777779</v>
      </c>
      <c r="D34" s="236">
        <f ca="1">Planung!$G28</f>
        <v>3</v>
      </c>
      <c r="E34" s="236" t="str">
        <f ca="1">Planung!$H28</f>
        <v>C</v>
      </c>
      <c r="F34" s="237" t="str">
        <f ca="1">Planung!$L28</f>
        <v>Borussia Dortmund</v>
      </c>
      <c r="G34" s="238" t="s">
        <v>4</v>
      </c>
      <c r="H34" s="237" t="str">
        <f ca="1">Planung!$N28</f>
        <v>1. FC Nürnberg</v>
      </c>
      <c r="I34" s="239">
        <v>17</v>
      </c>
      <c r="J34" s="240" t="str">
        <f>Sprache!$E$90</f>
        <v>:</v>
      </c>
      <c r="K34" s="644">
        <v>25</v>
      </c>
      <c r="L34" s="239">
        <v>25</v>
      </c>
      <c r="M34" s="240" t="str">
        <f>Sprache!$E$90</f>
        <v>:</v>
      </c>
      <c r="N34" s="241">
        <v>16</v>
      </c>
      <c r="O34" s="756" t="str">
        <f>IF(Planung!$O28="","",Planung!$O28)</f>
        <v/>
      </c>
      <c r="Q34" s="385">
        <f ca="1">IF(Calc3!$K$13=0,"",IF(VLOOKUP(Calc3!B6,Calc3!$C$4:$E$12,3,0)=MAX(Q$32:Q33),VLOOKUP(Calc3!B6,Calc3!$C$4:$E$12,3,0),Calc3!B6))</f>
        <v>3</v>
      </c>
      <c r="R34" s="386" t="str">
        <f ca="1">IF(Calc1!$F$14&lt;3,"",IF(Calc3!$K$13=0,Calc3!$Q66,VLOOKUP(Calc3!B6,Calc3!$C$4:$N$12,4,0)))</f>
        <v>Borussia Dortmund</v>
      </c>
      <c r="S34" s="216">
        <f ca="1">IF(Calc3!$K$13=0,"",VLOOKUP(Calc3!B6,Calc3!$C$4:$N$12,9,0))</f>
        <v>4</v>
      </c>
      <c r="T34" s="197">
        <f ca="1">IF(Calc3!$K$13=0,"",VLOOKUP(Calc3!B6,Calc3!$C$4:$N$12,10,0))</f>
        <v>0</v>
      </c>
      <c r="U34" s="197">
        <f ca="1">IF(Calc3!$K$13=0,"",VLOOKUP(Calc3!B6,Calc3!$C$4:$N$12,11,0))</f>
        <v>4</v>
      </c>
      <c r="V34" s="217">
        <f ca="1">IF(Calc3!$K$13=0,"",VLOOKUP(Calc3!B6,Calc3!$C$4:$N$12,12,0))</f>
        <v>0</v>
      </c>
      <c r="W34" s="218">
        <f t="shared" ca="1" si="5"/>
        <v>4</v>
      </c>
      <c r="X34" s="219" t="str">
        <f>Sprache!$E$90</f>
        <v>:</v>
      </c>
      <c r="Y34" s="220">
        <f ca="1">IF(Calc3!$K$13=0,"",VLOOKUP(Calc3!B6,Calc3!$C$4:$AS$12,43,0))</f>
        <v>4</v>
      </c>
      <c r="Z34" s="218">
        <f ca="1">IF(Calc3!$K$13=0,"",VLOOKUP(Calc3!B6,Calc3!$C$4:$N$12,5,0))</f>
        <v>174</v>
      </c>
      <c r="AA34" s="219" t="str">
        <f>Sprache!$E$90</f>
        <v>:</v>
      </c>
      <c r="AB34" s="220">
        <f ca="1">IF(Calc3!$K$13=0,"",VLOOKUP(Calc3!B6,Calc3!$C$4:$N$12,6,0))</f>
        <v>179</v>
      </c>
      <c r="AC34" s="216">
        <f ca="1">IF(Calc3!$K$13=0,"",IF(VLOOKUP(Calc3!B6,Calc3!$C$4:$AR$12,42,0)=Einstellungen!$F$7,"max",VLOOKUP(Calc3!B6,Calc3!$C$4:$AR$12,42,0)))</f>
        <v>-5</v>
      </c>
      <c r="AD34" s="221">
        <f ca="1">IF(Calc3!$K$13=0,"",VLOOKUP(Calc3!B6,Calc3!$C$4:$N$12,8,0))</f>
        <v>4</v>
      </c>
      <c r="AE34" s="222" t="str">
        <f ca="1">IFERROR(VLOOKUP($R34&amp;AE$31,Calc3!$Z$64:$AI$207,Einstellungen!$G$17,0),"")</f>
        <v>45:44</v>
      </c>
      <c r="AF34" s="412" t="str">
        <f ca="1">IFERROR(VLOOKUP($R34&amp;AF$31,Calc3!$Z$64:$AI$207,Einstellungen!$G$17,0),"")</f>
        <v>45:48</v>
      </c>
      <c r="AG34" s="223"/>
      <c r="AH34" s="197" t="str">
        <f ca="1">IFERROR(VLOOKUP($R34&amp;AH$31,Calc3!$Z$64:$AI$207,Einstellungen!$G$17,0),"")</f>
        <v>42:41</v>
      </c>
      <c r="AI34" s="197" t="str">
        <f ca="1">IFERROR(VLOOKUP($R34&amp;AI$31,Calc3!$Z$64:$AI$207,Einstellungen!$G$17,0),"")</f>
        <v>42:46</v>
      </c>
      <c r="AJ34" s="224" t="str">
        <f ca="1">IFERROR(VLOOKUP($R34&amp;AJ$31,Calc3!$Z$64:$AI$207,Einstellungen!$G$17,0),"")</f>
        <v/>
      </c>
      <c r="AK34" s="225" t="str">
        <f t="shared" ca="1" si="4"/>
        <v>Borussia Dortmund</v>
      </c>
      <c r="AN34" s="438" t="s">
        <v>266</v>
      </c>
      <c r="AO34" s="386" t="str">
        <f>IF(Planung!$C45="","",Planung!$C45)</f>
        <v>Borussia Dortmund</v>
      </c>
      <c r="AP34" s="291"/>
      <c r="AQ34" s="713">
        <f>IF($AO34="",0,COUNTIF(TieBreak!$U$12:$U$17,$AO34))</f>
        <v>0</v>
      </c>
    </row>
    <row r="35" spans="2:43" ht="24" customHeight="1" x14ac:dyDescent="0.2">
      <c r="B35" s="347">
        <f ca="1">Planung!$E29</f>
        <v>24</v>
      </c>
      <c r="C35" s="235">
        <f ca="1">Planung!$F29</f>
        <v>0.49652777777777779</v>
      </c>
      <c r="D35" s="236">
        <f ca="1">Planung!$G29</f>
        <v>4</v>
      </c>
      <c r="E35" s="236" t="str">
        <f ca="1">Planung!$H29</f>
        <v>D</v>
      </c>
      <c r="F35" s="237" t="str">
        <f ca="1">Planung!$L29</f>
        <v>HSV</v>
      </c>
      <c r="G35" s="238" t="s">
        <v>4</v>
      </c>
      <c r="H35" s="237" t="str">
        <f ca="1">Planung!$N29</f>
        <v>SV Oberredenburg</v>
      </c>
      <c r="I35" s="239">
        <v>14</v>
      </c>
      <c r="J35" s="240" t="str">
        <f>Sprache!$E$90</f>
        <v>:</v>
      </c>
      <c r="K35" s="644">
        <v>25</v>
      </c>
      <c r="L35" s="239">
        <v>25</v>
      </c>
      <c r="M35" s="240" t="str">
        <f>Sprache!$E$90</f>
        <v>:</v>
      </c>
      <c r="N35" s="241">
        <v>19</v>
      </c>
      <c r="O35" s="756" t="str">
        <f>IF(Planung!$O29="","",Planung!$O29)</f>
        <v/>
      </c>
      <c r="Q35" s="385">
        <f ca="1">IF(Calc3!$K$13=0,"",IF(VLOOKUP(Calc3!B7,Calc3!$C$4:$E$12,3,0)=MAX(Q$32:Q34),VLOOKUP(Calc3!B7,Calc3!$C$4:$E$12,3,0),Calc3!B7))</f>
        <v>4</v>
      </c>
      <c r="R35" s="386" t="str">
        <f ca="1">IF(Calc1!$F$14&lt;3,"",IF(Calc3!$K$13=0,Calc3!$Q67,VLOOKUP(Calc3!B7,Calc3!$C$4:$N$12,4,0)))</f>
        <v>1. FC Nürnberg</v>
      </c>
      <c r="S35" s="216">
        <f ca="1">IF(Calc3!$K$13=0,"",VLOOKUP(Calc3!B7,Calc3!$C$4:$N$12,9,0))</f>
        <v>4</v>
      </c>
      <c r="T35" s="197">
        <f ca="1">IF(Calc3!$K$13=0,"",VLOOKUP(Calc3!B7,Calc3!$C$4:$N$12,10,0))</f>
        <v>1</v>
      </c>
      <c r="U35" s="197">
        <f ca="1">IF(Calc3!$K$13=0,"",VLOOKUP(Calc3!B7,Calc3!$C$4:$N$12,11,0))</f>
        <v>2</v>
      </c>
      <c r="V35" s="217">
        <f ca="1">IF(Calc3!$K$13=0,"",VLOOKUP(Calc3!B7,Calc3!$C$4:$N$12,12,0))</f>
        <v>1</v>
      </c>
      <c r="W35" s="218">
        <f t="shared" ca="1" si="5"/>
        <v>4</v>
      </c>
      <c r="X35" s="219" t="str">
        <f>Sprache!$E$90</f>
        <v>:</v>
      </c>
      <c r="Y35" s="220">
        <f ca="1">IF(Calc3!$K$13=0,"",VLOOKUP(Calc3!B7,Calc3!$C$4:$AS$12,43,0))</f>
        <v>4</v>
      </c>
      <c r="Z35" s="218">
        <f ca="1">IF(Calc3!$K$13=0,"",VLOOKUP(Calc3!B7,Calc3!$C$4:$N$12,5,0))</f>
        <v>172</v>
      </c>
      <c r="AA35" s="219" t="str">
        <f>Sprache!$E$90</f>
        <v>:</v>
      </c>
      <c r="AB35" s="220">
        <f ca="1">IF(Calc3!$K$13=0,"",VLOOKUP(Calc3!B7,Calc3!$C$4:$N$12,6,0))</f>
        <v>177</v>
      </c>
      <c r="AC35" s="216">
        <f ca="1">IF(Calc3!$K$13=0,"",IF(VLOOKUP(Calc3!B7,Calc3!$C$4:$AR$12,42,0)=Einstellungen!$F$7,"max",VLOOKUP(Calc3!B7,Calc3!$C$4:$AR$12,42,0)))</f>
        <v>-5</v>
      </c>
      <c r="AD35" s="221">
        <f ca="1">IF(Calc3!$K$13=0,"",VLOOKUP(Calc3!B7,Calc3!$C$4:$N$12,8,0))</f>
        <v>4</v>
      </c>
      <c r="AE35" s="222" t="str">
        <f ca="1">IFERROR(VLOOKUP($R35&amp;AE$31,Calc3!$Z$64:$AI$207,Einstellungen!$G$17,0),"")</f>
        <v>47:45</v>
      </c>
      <c r="AF35" s="412" t="str">
        <f ca="1">IFERROR(VLOOKUP($R35&amp;AF$31,Calc3!$Z$64:$AI$207,Einstellungen!$G$17,0),"")</f>
        <v>34:50</v>
      </c>
      <c r="AG35" s="197" t="str">
        <f ca="1">IFERROR(VLOOKUP($R35&amp;AG$31,Calc3!$Z$64:$AI$207,Einstellungen!$G$17,0),"")</f>
        <v>41:42</v>
      </c>
      <c r="AH35" s="223"/>
      <c r="AI35" s="197" t="str">
        <f ca="1">IFERROR(VLOOKUP($R35&amp;AI$31,Calc3!$Z$64:$AI$207,Einstellungen!$G$17,0),"")</f>
        <v>50:40</v>
      </c>
      <c r="AJ35" s="224" t="str">
        <f ca="1">IFERROR(VLOOKUP($R35&amp;AJ$31,Calc3!$Z$64:$AI$207,Einstellungen!$G$17,0),"")</f>
        <v/>
      </c>
      <c r="AK35" s="225" t="str">
        <f t="shared" ca="1" si="4"/>
        <v>1. FC Nürnberg</v>
      </c>
      <c r="AN35" s="438" t="s">
        <v>269</v>
      </c>
      <c r="AO35" s="386" t="str">
        <f>IF(Planung!$C47="","",Planung!$C47)</f>
        <v>FSV Rauen</v>
      </c>
      <c r="AP35" s="291"/>
      <c r="AQ35" s="713">
        <f>IF($AO35="",0,COUNTIF(TieBreak!$U$12:$U$17,$AO35))</f>
        <v>0</v>
      </c>
    </row>
    <row r="36" spans="2:43" ht="24" customHeight="1" x14ac:dyDescent="0.2">
      <c r="B36" s="347">
        <f ca="1">Planung!$E30</f>
        <v>25</v>
      </c>
      <c r="C36" s="235">
        <f ca="1">Planung!$F30</f>
        <v>0.52083333333333337</v>
      </c>
      <c r="D36" s="236">
        <f ca="1">Planung!$G30</f>
        <v>1</v>
      </c>
      <c r="E36" s="236" t="str">
        <f ca="1">Planung!$H30</f>
        <v>A</v>
      </c>
      <c r="F36" s="237" t="str">
        <f ca="1">Planung!$L30</f>
        <v>FC Barcelona</v>
      </c>
      <c r="G36" s="238" t="s">
        <v>4</v>
      </c>
      <c r="H36" s="237" t="str">
        <f ca="1">Planung!$N30</f>
        <v>Maibach 1822 eV</v>
      </c>
      <c r="I36" s="239">
        <v>20</v>
      </c>
      <c r="J36" s="240" t="str">
        <f>Sprache!$E$90</f>
        <v>:</v>
      </c>
      <c r="K36" s="644">
        <v>25</v>
      </c>
      <c r="L36" s="239">
        <v>25</v>
      </c>
      <c r="M36" s="240" t="str">
        <f>Sprache!$E$90</f>
        <v>:</v>
      </c>
      <c r="N36" s="241">
        <v>20</v>
      </c>
      <c r="O36" s="756" t="str">
        <f>IF(Planung!$O30="","",Planung!$O30)</f>
        <v/>
      </c>
      <c r="Q36" s="385">
        <f ca="1">IF(Calc3!$K$13=0,"",IF(VLOOKUP(Calc3!B8,Calc3!$C$4:$E$12,3,0)=MAX(Q$32:Q35),VLOOKUP(Calc3!B8,Calc3!$C$4:$E$12,3,0),Calc3!B8))</f>
        <v>5</v>
      </c>
      <c r="R36" s="386" t="str">
        <f ca="1">IF(Calc1!$F$14&lt;3,"",IF(Calc3!$K$13=0,Calc3!$Q68,VLOOKUP(Calc3!B8,Calc3!$C$4:$N$12,4,0)))</f>
        <v>Real Madrid</v>
      </c>
      <c r="S36" s="216">
        <f ca="1">IF(Calc3!$K$13=0,"",VLOOKUP(Calc3!B8,Calc3!$C$4:$N$12,9,0))</f>
        <v>4</v>
      </c>
      <c r="T36" s="197">
        <f ca="1">IF(Calc3!$K$13=0,"",VLOOKUP(Calc3!B8,Calc3!$C$4:$N$12,10,0))</f>
        <v>0</v>
      </c>
      <c r="U36" s="197">
        <f ca="1">IF(Calc3!$K$13=0,"",VLOOKUP(Calc3!B8,Calc3!$C$4:$N$12,11,0))</f>
        <v>3</v>
      </c>
      <c r="V36" s="217">
        <f ca="1">IF(Calc3!$K$13=0,"",VLOOKUP(Calc3!B8,Calc3!$C$4:$N$12,12,0))</f>
        <v>1</v>
      </c>
      <c r="W36" s="218">
        <f t="shared" ca="1" si="5"/>
        <v>3</v>
      </c>
      <c r="X36" s="219" t="str">
        <f>Sprache!$E$90</f>
        <v>:</v>
      </c>
      <c r="Y36" s="220">
        <f ca="1">IF(Calc3!$K$13=0,"",VLOOKUP(Calc3!B8,Calc3!$C$4:$AS$12,43,0))</f>
        <v>5</v>
      </c>
      <c r="Z36" s="218">
        <f ca="1">IF(Calc3!$K$13=0,"",VLOOKUP(Calc3!B8,Calc3!$C$4:$N$12,5,0))</f>
        <v>173</v>
      </c>
      <c r="AA36" s="219" t="str">
        <f>Sprache!$E$90</f>
        <v>:</v>
      </c>
      <c r="AB36" s="220">
        <f ca="1">IF(Calc3!$K$13=0,"",VLOOKUP(Calc3!B8,Calc3!$C$4:$N$12,6,0))</f>
        <v>177</v>
      </c>
      <c r="AC36" s="216">
        <f ca="1">IF(Calc3!$K$13=0,"",IF(VLOOKUP(Calc3!B8,Calc3!$C$4:$AR$12,42,0)=Einstellungen!$F$7,"max",VLOOKUP(Calc3!B8,Calc3!$C$4:$AR$12,42,0)))</f>
        <v>-4</v>
      </c>
      <c r="AD36" s="221">
        <f ca="1">IF(Calc3!$K$13=0,"",VLOOKUP(Calc3!B8,Calc3!$C$4:$N$12,8,0))</f>
        <v>3</v>
      </c>
      <c r="AE36" s="222" t="str">
        <f ca="1">IFERROR(VLOOKUP($R36&amp;AE$31,Calc3!$Z$64:$AI$207,Einstellungen!$G$17,0),"")</f>
        <v>45:38</v>
      </c>
      <c r="AF36" s="412" t="str">
        <f ca="1">IFERROR(VLOOKUP($R36&amp;AF$31,Calc3!$Z$64:$AI$207,Einstellungen!$G$17,0),"")</f>
        <v>42:47</v>
      </c>
      <c r="AG36" s="197" t="str">
        <f ca="1">IFERROR(VLOOKUP($R36&amp;AG$31,Calc3!$Z$64:$AI$207,Einstellungen!$G$17,0),"")</f>
        <v>46:42</v>
      </c>
      <c r="AH36" s="197" t="str">
        <f ca="1">IFERROR(VLOOKUP($R36&amp;AH$31,Calc3!$Z$64:$AI$207,Einstellungen!$G$17,0),"")</f>
        <v>40:50</v>
      </c>
      <c r="AI36" s="223"/>
      <c r="AJ36" s="224" t="str">
        <f ca="1">IFERROR(VLOOKUP($R36&amp;AJ$31,Calc3!$Z$64:$AI$207,Einstellungen!$G$17,0),"")</f>
        <v/>
      </c>
      <c r="AK36" s="225" t="str">
        <f t="shared" ca="1" si="4"/>
        <v>Real Madrid</v>
      </c>
      <c r="AN36" s="438" t="s">
        <v>270</v>
      </c>
      <c r="AO36" s="386" t="str">
        <f>IF(Planung!$C49="","",Planung!$C49)</f>
        <v>1. FC Nürnberg</v>
      </c>
      <c r="AP36" s="291"/>
      <c r="AQ36" s="713">
        <f>IF($AO36="",0,COUNTIF(TieBreak!$U$12:$U$17,$AO36))</f>
        <v>0</v>
      </c>
    </row>
    <row r="37" spans="2:43" ht="24" customHeight="1" thickBot="1" x14ac:dyDescent="0.25">
      <c r="B37" s="347">
        <f ca="1">Planung!$E31</f>
        <v>26</v>
      </c>
      <c r="C37" s="235">
        <f ca="1">Planung!$F31</f>
        <v>0.52083333333333337</v>
      </c>
      <c r="D37" s="236">
        <f ca="1">Planung!$G31</f>
        <v>2</v>
      </c>
      <c r="E37" s="236" t="str">
        <f ca="1">Planung!$H31</f>
        <v>B</v>
      </c>
      <c r="F37" s="237" t="str">
        <f ca="1">Planung!$L31</f>
        <v>Inter Mailand</v>
      </c>
      <c r="G37" s="238" t="s">
        <v>4</v>
      </c>
      <c r="H37" s="237" t="str">
        <f ca="1">Planung!$N31</f>
        <v>Manchester City</v>
      </c>
      <c r="I37" s="239">
        <v>19</v>
      </c>
      <c r="J37" s="240" t="str">
        <f>Sprache!$E$90</f>
        <v>:</v>
      </c>
      <c r="K37" s="644">
        <v>25</v>
      </c>
      <c r="L37" s="239">
        <v>25</v>
      </c>
      <c r="M37" s="240" t="str">
        <f>Sprache!$E$90</f>
        <v>:</v>
      </c>
      <c r="N37" s="241">
        <v>21</v>
      </c>
      <c r="O37" s="756" t="str">
        <f>IF(Planung!$O31="","",Planung!$O31)</f>
        <v/>
      </c>
      <c r="Q37" s="387">
        <f ca="1">IF(Calc3!$K$13=0,"",IF(VLOOKUP(Calc3!B9,Calc3!$C$4:$E$12,3,0)=MAX(Q$32:Q36),VLOOKUP(Calc3!B9,Calc3!$C$4:$E$12,3,0),Calc3!B9))</f>
        <v>6</v>
      </c>
      <c r="R37" s="388" t="str">
        <f ca="1">IF(Calc1!$F$14&lt;3,"",IF(Calc3!$K$13=0,Calc3!$Q69,VLOOKUP(Calc3!B9,Calc3!$C$4:$N$12,4,0)))</f>
        <v/>
      </c>
      <c r="S37" s="226">
        <f ca="1">IF(Calc3!$K$13=0,"",VLOOKUP(Calc3!B9,Calc3!$C$4:$N$12,9,0))</f>
        <v>0</v>
      </c>
      <c r="T37" s="227">
        <f ca="1">IF(Calc3!$K$13=0,"",VLOOKUP(Calc3!B9,Calc3!$C$4:$N$12,10,0))</f>
        <v>0</v>
      </c>
      <c r="U37" s="227">
        <f ca="1">IF(Calc3!$K$13=0,"",VLOOKUP(Calc3!B9,Calc3!$C$4:$N$12,11,0))</f>
        <v>0</v>
      </c>
      <c r="V37" s="228">
        <f ca="1">IF(Calc3!$K$13=0,"",VLOOKUP(Calc3!B9,Calc3!$C$4:$N$12,12,0))</f>
        <v>0</v>
      </c>
      <c r="W37" s="229">
        <f t="shared" ca="1" si="5"/>
        <v>0</v>
      </c>
      <c r="X37" s="230" t="str">
        <f>Sprache!$E$90</f>
        <v>:</v>
      </c>
      <c r="Y37" s="231">
        <f ca="1">IF(Calc3!$K$13=0,"",VLOOKUP(Calc3!B9,Calc3!$C$4:$AS$12,43,0))</f>
        <v>0</v>
      </c>
      <c r="Z37" s="229">
        <f ca="1">IF(Calc3!$K$13=0,"",VLOOKUP(Calc3!B9,Calc3!$C$4:$N$12,5,0))</f>
        <v>0</v>
      </c>
      <c r="AA37" s="230" t="str">
        <f>Sprache!$E$90</f>
        <v>:</v>
      </c>
      <c r="AB37" s="231">
        <f ca="1">IF(Calc3!$K$13=0,"",VLOOKUP(Calc3!B9,Calc3!$C$4:$N$12,6,0))</f>
        <v>0</v>
      </c>
      <c r="AC37" s="226">
        <f ca="1">IF(Calc3!$K$13=0,"",IF(VLOOKUP(Calc3!B9,Calc3!$C$4:$AR$12,42,0)=Einstellungen!$F$7,"max",VLOOKUP(Calc3!B9,Calc3!$C$4:$AR$12,42,0)))</f>
        <v>0</v>
      </c>
      <c r="AD37" s="232">
        <f ca="1">IF(Calc3!$K$13=0,"",VLOOKUP(Calc3!B9,Calc3!$C$4:$N$12,8,0))</f>
        <v>0</v>
      </c>
      <c r="AE37" s="233" t="str">
        <f ca="1">IFERROR(VLOOKUP($R37&amp;AE$31,Calc3!$Z$64:$AI$207,Einstellungen!$G$17,0),"")</f>
        <v/>
      </c>
      <c r="AF37" s="227" t="str">
        <f ca="1">IFERROR(VLOOKUP($R37&amp;AF$31,Calc3!$Z$64:$AI$207,Einstellungen!$G$17,0),"")</f>
        <v/>
      </c>
      <c r="AG37" s="227" t="str">
        <f ca="1">IFERROR(VLOOKUP($R37&amp;AG$31,Calc3!$Z$64:$AI$207,Einstellungen!$G$17,0),"")</f>
        <v/>
      </c>
      <c r="AH37" s="227" t="str">
        <f ca="1">IFERROR(VLOOKUP($R37&amp;AH$31,Calc3!$Z$64:$AI$207,Einstellungen!$G$17,0),"")</f>
        <v/>
      </c>
      <c r="AI37" s="227" t="str">
        <f ca="1">IFERROR(VLOOKUP($R37&amp;AI$31,Calc3!$Z$64:$AI$207,Einstellungen!$G$17,0),"")</f>
        <v/>
      </c>
      <c r="AJ37" s="234"/>
      <c r="AK37" s="316" t="str">
        <f t="shared" ca="1" si="4"/>
        <v/>
      </c>
      <c r="AN37" s="440" t="s">
        <v>271</v>
      </c>
      <c r="AO37" s="388" t="str">
        <f>IF(Planung!$C51="","",Planung!$C51)</f>
        <v/>
      </c>
      <c r="AP37" s="291"/>
      <c r="AQ37" s="714">
        <f>IF($AO37="",0,COUNTIF(TieBreak!$U$12:$U$17,$AO37))</f>
        <v>0</v>
      </c>
    </row>
    <row r="38" spans="2:43" ht="24" customHeight="1" thickTop="1" x14ac:dyDescent="0.2">
      <c r="B38" s="347">
        <f ca="1">Planung!$E32</f>
        <v>27</v>
      </c>
      <c r="C38" s="235">
        <f ca="1">Planung!$F32</f>
        <v>0.52083333333333337</v>
      </c>
      <c r="D38" s="236">
        <f ca="1">Planung!$G32</f>
        <v>3</v>
      </c>
      <c r="E38" s="236" t="str">
        <f ca="1">Planung!$H32</f>
        <v>C</v>
      </c>
      <c r="F38" s="237" t="str">
        <f ca="1">Planung!$L32</f>
        <v>Real Madrid</v>
      </c>
      <c r="G38" s="238" t="s">
        <v>4</v>
      </c>
      <c r="H38" s="237" t="str">
        <f ca="1">Planung!$N32</f>
        <v>FSV Rauen</v>
      </c>
      <c r="I38" s="239">
        <v>17</v>
      </c>
      <c r="J38" s="240" t="str">
        <f>Sprache!$E$90</f>
        <v>:</v>
      </c>
      <c r="K38" s="644">
        <v>25</v>
      </c>
      <c r="L38" s="239">
        <v>25</v>
      </c>
      <c r="M38" s="240" t="str">
        <f>Sprache!$E$90</f>
        <v>:</v>
      </c>
      <c r="N38" s="241">
        <v>22</v>
      </c>
      <c r="O38" s="756" t="str">
        <f>IF(Planung!$O32="","",Planung!$O32)</f>
        <v/>
      </c>
      <c r="Q38" s="290"/>
      <c r="R38" s="291"/>
      <c r="S38" s="292"/>
      <c r="T38" s="292"/>
      <c r="U38" s="292"/>
      <c r="V38" s="292"/>
      <c r="W38" s="292"/>
      <c r="X38" s="292"/>
      <c r="Y38" s="292"/>
      <c r="Z38" s="293"/>
      <c r="AA38" s="292"/>
      <c r="AB38" s="291"/>
      <c r="AC38" s="292"/>
      <c r="AD38" s="294"/>
      <c r="AE38" s="292"/>
      <c r="AF38" s="292"/>
      <c r="AG38" s="292"/>
      <c r="AH38" s="292"/>
      <c r="AI38" s="292"/>
      <c r="AJ38" s="292"/>
      <c r="AK38" s="291"/>
      <c r="AP38" s="289"/>
      <c r="AQ38" s="289"/>
    </row>
    <row r="39" spans="2:43" ht="24" customHeight="1" thickBot="1" x14ac:dyDescent="0.25">
      <c r="B39" s="347">
        <f ca="1">Planung!$E33</f>
        <v>28</v>
      </c>
      <c r="C39" s="235">
        <f ca="1">Planung!$F33</f>
        <v>0.52083333333333337</v>
      </c>
      <c r="D39" s="236">
        <f ca="1">Planung!$G33</f>
        <v>4</v>
      </c>
      <c r="E39" s="236" t="str">
        <f ca="1">Planung!$H33</f>
        <v>D</v>
      </c>
      <c r="F39" s="237" t="str">
        <f ca="1">Planung!$L33</f>
        <v>Paris St. Germain</v>
      </c>
      <c r="G39" s="238" t="s">
        <v>4</v>
      </c>
      <c r="H39" s="237" t="str">
        <f ca="1">Planung!$N33</f>
        <v>RB Leipzig</v>
      </c>
      <c r="I39" s="239">
        <v>19</v>
      </c>
      <c r="J39" s="240" t="str">
        <f>Sprache!$E$90</f>
        <v>:</v>
      </c>
      <c r="K39" s="644">
        <v>25</v>
      </c>
      <c r="L39" s="239">
        <v>25</v>
      </c>
      <c r="M39" s="240" t="str">
        <f>Sprache!$E$90</f>
        <v>:</v>
      </c>
      <c r="N39" s="241">
        <v>23</v>
      </c>
      <c r="O39" s="756" t="str">
        <f>IF(Planung!$O33="","",Planung!$O33)</f>
        <v/>
      </c>
      <c r="Q39" s="290"/>
      <c r="R39" s="291"/>
      <c r="S39" s="292"/>
      <c r="T39" s="292"/>
      <c r="U39" s="292"/>
      <c r="V39" s="292"/>
      <c r="W39" s="292"/>
      <c r="X39" s="292"/>
      <c r="Y39" s="292"/>
      <c r="Z39" s="293"/>
      <c r="AA39" s="292"/>
      <c r="AB39" s="291"/>
      <c r="AC39" s="292"/>
      <c r="AD39" s="294"/>
      <c r="AE39" s="292"/>
      <c r="AF39" s="292"/>
      <c r="AG39" s="292"/>
      <c r="AH39" s="292"/>
      <c r="AI39" s="292"/>
      <c r="AJ39" s="292"/>
      <c r="AK39" s="291"/>
      <c r="AP39" s="289"/>
      <c r="AQ39" s="289"/>
    </row>
    <row r="40" spans="2:43" ht="24" customHeight="1" thickBot="1" x14ac:dyDescent="0.45">
      <c r="B40" s="347">
        <f ca="1">Planung!$E34</f>
        <v>29</v>
      </c>
      <c r="C40" s="235">
        <f ca="1">Planung!$F34</f>
        <v>0.54513888888888884</v>
      </c>
      <c r="D40" s="236">
        <f ca="1">Planung!$G34</f>
        <v>1</v>
      </c>
      <c r="E40" s="236" t="str">
        <f ca="1">Planung!$H34</f>
        <v>A</v>
      </c>
      <c r="F40" s="237" t="str">
        <f ca="1">Planung!$L34</f>
        <v>Eintracht Frankfurt</v>
      </c>
      <c r="G40" s="238" t="s">
        <v>4</v>
      </c>
      <c r="H40" s="237" t="str">
        <f ca="1">Planung!$N34</f>
        <v>1. FC Riedwald</v>
      </c>
      <c r="I40" s="239">
        <v>17</v>
      </c>
      <c r="J40" s="240" t="str">
        <f>Sprache!$E$90</f>
        <v>:</v>
      </c>
      <c r="K40" s="644">
        <v>25</v>
      </c>
      <c r="L40" s="239">
        <v>17</v>
      </c>
      <c r="M40" s="240" t="str">
        <f>Sprache!$E$90</f>
        <v>:</v>
      </c>
      <c r="N40" s="241">
        <v>25</v>
      </c>
      <c r="O40" s="756" t="str">
        <f>IF(Planung!$O34="","",Planung!$O34)</f>
        <v/>
      </c>
      <c r="Q40" s="843" t="str">
        <f>Sprache!$E$16&amp;" D"</f>
        <v>Gruppe D</v>
      </c>
      <c r="R40" s="843"/>
      <c r="S40" s="198"/>
      <c r="T40" s="198"/>
      <c r="U40" s="198"/>
      <c r="V40" s="198"/>
      <c r="W40" s="198"/>
      <c r="X40" s="198"/>
      <c r="Y40" s="198"/>
      <c r="Z40" s="198"/>
      <c r="AA40" s="198"/>
      <c r="AB40" s="198"/>
      <c r="AC40" s="198"/>
      <c r="AD40" s="198"/>
      <c r="AE40" s="297" t="str">
        <f ca="1">IF(LEN(R42)&gt;Einstellungen!$C$11,LEFT(R42,Einstellungen!$C$11)&amp;".",R42)</f>
        <v>TSG Saa.</v>
      </c>
      <c r="AF40" s="298" t="str">
        <f ca="1">IF(LEN(R43)&gt;Einstellungen!$C$11,LEFT(R43,Einstellungen!$C$11)&amp;".",R43)</f>
        <v>Paris S.</v>
      </c>
      <c r="AG40" s="298" t="str">
        <f ca="1">IF(LEN(R44)&gt;Einstellungen!$C$11,LEFT(R44,Einstellungen!$C$11)&amp;".",R44)</f>
        <v>SV Ober.</v>
      </c>
      <c r="AH40" s="298" t="str">
        <f ca="1">IF(LEN(R45)&gt;Einstellungen!$C$11,LEFT(R45,Einstellungen!$C$11)&amp;".",R45)</f>
        <v>RB Leip.</v>
      </c>
      <c r="AI40" s="298" t="str">
        <f ca="1">IF(LEN(R46)&gt;Einstellungen!$C$11,LEFT(R46,Einstellungen!$C$11)&amp;".",R46)</f>
        <v>HSV</v>
      </c>
      <c r="AJ40" s="299" t="str">
        <f ca="1">IF(LEN(R47)&gt;Einstellungen!$C$11,LEFT(R47,Einstellungen!$C$11)&amp;".",R47)</f>
        <v/>
      </c>
      <c r="AK40" s="199"/>
      <c r="AN40" s="843" t="str">
        <f>Sprache!$E$16&amp;" D"</f>
        <v>Gruppe D</v>
      </c>
      <c r="AO40" s="843"/>
      <c r="AP40" s="691"/>
      <c r="AQ40" s="289"/>
    </row>
    <row r="41" spans="2:43" ht="24" customHeight="1" thickTop="1" thickBot="1" x14ac:dyDescent="0.25">
      <c r="B41" s="347">
        <f ca="1">Planung!$E35</f>
        <v>30</v>
      </c>
      <c r="C41" s="235">
        <f ca="1">Planung!$F35</f>
        <v>0.54513888888888884</v>
      </c>
      <c r="D41" s="236">
        <f ca="1">Planung!$G35</f>
        <v>2</v>
      </c>
      <c r="E41" s="236" t="str">
        <f ca="1">Planung!$H35</f>
        <v>B</v>
      </c>
      <c r="F41" s="237" t="str">
        <f ca="1">Planung!$L35</f>
        <v>SSV Wildbach</v>
      </c>
      <c r="G41" s="238" t="s">
        <v>4</v>
      </c>
      <c r="H41" s="237" t="str">
        <f ca="1">Planung!$N35</f>
        <v>Mainz 05</v>
      </c>
      <c r="I41" s="239">
        <v>14</v>
      </c>
      <c r="J41" s="240" t="str">
        <f>Sprache!$E$90</f>
        <v>:</v>
      </c>
      <c r="K41" s="644">
        <v>25</v>
      </c>
      <c r="L41" s="239">
        <v>25</v>
      </c>
      <c r="M41" s="240" t="str">
        <f>Sprache!$E$90</f>
        <v>:</v>
      </c>
      <c r="N41" s="241">
        <v>18</v>
      </c>
      <c r="O41" s="756" t="str">
        <f>IF(Planung!$O35="","",Planung!$O35)</f>
        <v/>
      </c>
      <c r="Q41" s="844"/>
      <c r="R41" s="845"/>
      <c r="S41" s="200" t="str">
        <f>Sprache!$E$21</f>
        <v>SP</v>
      </c>
      <c r="T41" s="201" t="str">
        <f>Sprache!$E$22</f>
        <v>G</v>
      </c>
      <c r="U41" s="201" t="str">
        <f>Sprache!$E$23</f>
        <v>U</v>
      </c>
      <c r="V41" s="454" t="str">
        <f>Sprache!$E$24</f>
        <v>V</v>
      </c>
      <c r="W41" s="849" t="str">
        <f>Sprache!$E$25</f>
        <v>Sätze</v>
      </c>
      <c r="X41" s="850"/>
      <c r="Y41" s="851"/>
      <c r="Z41" s="846" t="str">
        <f>Sprache!$E$74</f>
        <v>Bälle</v>
      </c>
      <c r="AA41" s="847"/>
      <c r="AB41" s="848"/>
      <c r="AC41" s="201" t="str">
        <f>IF(Einstellungen!$G$7,Sprache!$E$26,Sprache!$E$80)</f>
        <v>Diff.</v>
      </c>
      <c r="AD41" s="203" t="str">
        <f>Sprache!$E$27</f>
        <v>Pkt</v>
      </c>
      <c r="AE41" s="204" t="str">
        <f ca="1">R42</f>
        <v>TSG Saalberg eV</v>
      </c>
      <c r="AF41" s="205" t="str">
        <f ca="1">R43</f>
        <v>Paris St. Germain</v>
      </c>
      <c r="AG41" s="205" t="str">
        <f ca="1">R44</f>
        <v>SV Oberredenburg</v>
      </c>
      <c r="AH41" s="205" t="str">
        <f ca="1">R45</f>
        <v>RB Leipzig</v>
      </c>
      <c r="AI41" s="205" t="str">
        <f ca="1">R46</f>
        <v>HSV</v>
      </c>
      <c r="AJ41" s="628" t="str">
        <f ca="1">R47</f>
        <v/>
      </c>
      <c r="AK41" s="199"/>
      <c r="AN41" s="436" t="str">
        <f>Sprache!$E$9</f>
        <v>Nr.</v>
      </c>
      <c r="AO41" s="689" t="str">
        <f>Sprache!$E$10</f>
        <v>Teilnehmer bzw. Mannschaft</v>
      </c>
      <c r="AP41" s="692"/>
      <c r="AQ41" s="469"/>
    </row>
    <row r="42" spans="2:43" ht="24" customHeight="1" x14ac:dyDescent="0.2">
      <c r="B42" s="347">
        <f ca="1">Planung!$E36</f>
        <v>31</v>
      </c>
      <c r="C42" s="235">
        <f ca="1">Planung!$F36</f>
        <v>0.54513888888888884</v>
      </c>
      <c r="D42" s="236">
        <f ca="1">Planung!$G36</f>
        <v>3</v>
      </c>
      <c r="E42" s="236" t="str">
        <f ca="1">Planung!$H36</f>
        <v>C</v>
      </c>
      <c r="F42" s="237" t="str">
        <f ca="1">Planung!$L36</f>
        <v>Borussia Dortmund</v>
      </c>
      <c r="G42" s="238" t="s">
        <v>4</v>
      </c>
      <c r="H42" s="237" t="str">
        <f ca="1">Planung!$N36</f>
        <v>Kickers Rodendorf</v>
      </c>
      <c r="I42" s="239">
        <v>20</v>
      </c>
      <c r="J42" s="240" t="str">
        <f>Sprache!$E$90</f>
        <v>:</v>
      </c>
      <c r="K42" s="644">
        <v>25</v>
      </c>
      <c r="L42" s="239">
        <v>25</v>
      </c>
      <c r="M42" s="240" t="str">
        <f>Sprache!$E$90</f>
        <v>:</v>
      </c>
      <c r="N42" s="241">
        <v>19</v>
      </c>
      <c r="O42" s="756" t="str">
        <f>IF(Planung!$O36="","",Planung!$O36)</f>
        <v/>
      </c>
      <c r="Q42" s="383">
        <f ca="1">IF(Calc4!$K$13=0,"",1)</f>
        <v>1</v>
      </c>
      <c r="R42" s="384" t="str">
        <f ca="1">IF(Calc1!$F$14&lt;3,"",IF(Calc4!$K$13=0,Calc4!$Q64,VLOOKUP(Calc4!B4,Calc4!$C$4:$N$12,4,0)))</f>
        <v>TSG Saalberg eV</v>
      </c>
      <c r="S42" s="206">
        <f ca="1">IF(Calc4!$K$13=0,"",VLOOKUP(Calc4!B4,Calc4!$C$4:$N$12,9,0))</f>
        <v>4</v>
      </c>
      <c r="T42" s="207">
        <f ca="1">IF(Calc4!$K$13=0,"",VLOOKUP(Calc4!B4,Calc4!$C$4:$N$12,10,0))</f>
        <v>1</v>
      </c>
      <c r="U42" s="207">
        <f ca="1">IF(Calc4!$K$13=0,"",VLOOKUP(Calc4!B4,Calc4!$C$4:$N$12,11,0))</f>
        <v>3</v>
      </c>
      <c r="V42" s="208">
        <f ca="1">IF(Calc4!$K$13=0,"",VLOOKUP(Calc4!B4,Calc4!$C$4:$N$12,12,0))</f>
        <v>0</v>
      </c>
      <c r="W42" s="209">
        <f ca="1">AD42</f>
        <v>5</v>
      </c>
      <c r="X42" s="210" t="str">
        <f>Sprache!$E$90</f>
        <v>:</v>
      </c>
      <c r="Y42" s="211">
        <f ca="1">IF(Calc4!$K$13=0,"",VLOOKUP(Calc4!B4,Calc4!$C$4:$AS$12,43,0))</f>
        <v>3</v>
      </c>
      <c r="Z42" s="209">
        <f ca="1">IF(Calc4!$K$13=0,"",VLOOKUP(Calc4!B4,Calc4!$C$4:$N$12,5,0))</f>
        <v>184</v>
      </c>
      <c r="AA42" s="210" t="str">
        <f>Sprache!$E$90</f>
        <v>:</v>
      </c>
      <c r="AB42" s="211">
        <f ca="1">IF(Calc4!$K$13=0,"",VLOOKUP(Calc4!B4,Calc4!$C$4:$N$12,6,0))</f>
        <v>158</v>
      </c>
      <c r="AC42" s="206">
        <f ca="1">IF(Calc4!$K$13=0,"",IF(VLOOKUP(Calc4!B4,Calc4!$C$4:$AR$12,42,0)=Einstellungen!$F$7,"max",VLOOKUP(Calc4!B4,Calc4!$C$4:$AR$12,42,0)))</f>
        <v>26</v>
      </c>
      <c r="AD42" s="212">
        <f ca="1">IF(Calc4!$K$13=0,"",VLOOKUP(Calc4!B4,Calc4!$C$4:$N$12,8,0))</f>
        <v>5</v>
      </c>
      <c r="AE42" s="213"/>
      <c r="AF42" s="207" t="str">
        <f ca="1">IFERROR(VLOOKUP($R42&amp;AF$41,Calc4!$Z$64:$AI$207,Einstellungen!$G$17,0),"")</f>
        <v>43:46</v>
      </c>
      <c r="AG42" s="207" t="str">
        <f ca="1">IFERROR(VLOOKUP($R42&amp;AG$41,Calc4!$Z$64:$AI$207,Einstellungen!$G$17,0),"")</f>
        <v>46:44</v>
      </c>
      <c r="AH42" s="207" t="str">
        <f ca="1">IFERROR(VLOOKUP($R42&amp;AH$41,Calc4!$Z$64:$AI$207,Einstellungen!$G$17,0),"")</f>
        <v>50:24</v>
      </c>
      <c r="AI42" s="207" t="str">
        <f ca="1">IFERROR(VLOOKUP($R42&amp;AI$41,Calc4!$Z$64:$AI$207,Einstellungen!$G$17,0),"")</f>
        <v>45:44</v>
      </c>
      <c r="AJ42" s="214" t="str">
        <f ca="1">IFERROR(VLOOKUP($R42&amp;AJ$41,Calc4!$Z$64:$AI$207,Einstellungen!$G$17,0),"")</f>
        <v/>
      </c>
      <c r="AK42" s="215" t="str">
        <f t="shared" ref="AK42:AK47" ca="1" si="6">R42</f>
        <v>TSG Saalberg eV</v>
      </c>
      <c r="AN42" s="437" t="s">
        <v>305</v>
      </c>
      <c r="AO42" s="690" t="str">
        <f>IF(Planung!$C58="","",Planung!$C58)</f>
        <v>TSG Saalberg eV</v>
      </c>
      <c r="AP42" s="291"/>
      <c r="AQ42" s="712">
        <f>IF($AO42="",0,COUNTIF(TieBreak!$U$12:$U$17,$AO42))</f>
        <v>0</v>
      </c>
    </row>
    <row r="43" spans="2:43" ht="24" customHeight="1" x14ac:dyDescent="0.2">
      <c r="B43" s="347">
        <f ca="1">Planung!$E37</f>
        <v>32</v>
      </c>
      <c r="C43" s="235">
        <f ca="1">Planung!$F37</f>
        <v>0.54513888888888884</v>
      </c>
      <c r="D43" s="236">
        <f ca="1">Planung!$G37</f>
        <v>4</v>
      </c>
      <c r="E43" s="236" t="str">
        <f ca="1">Planung!$H37</f>
        <v>D</v>
      </c>
      <c r="F43" s="237" t="str">
        <f ca="1">Planung!$L37</f>
        <v>HSV</v>
      </c>
      <c r="G43" s="238" t="s">
        <v>4</v>
      </c>
      <c r="H43" s="237" t="str">
        <f ca="1">Planung!$N37</f>
        <v>TSG Saalberg eV</v>
      </c>
      <c r="I43" s="239">
        <v>19</v>
      </c>
      <c r="J43" s="240" t="str">
        <f>Sprache!$E$90</f>
        <v>:</v>
      </c>
      <c r="K43" s="644">
        <v>25</v>
      </c>
      <c r="L43" s="239">
        <v>25</v>
      </c>
      <c r="M43" s="240" t="str">
        <f>Sprache!$E$90</f>
        <v>:</v>
      </c>
      <c r="N43" s="241">
        <v>20</v>
      </c>
      <c r="O43" s="756" t="str">
        <f>IF(Planung!$O37="","",Planung!$O37)</f>
        <v/>
      </c>
      <c r="Q43" s="385">
        <f ca="1">IF(Calc4!$K$13=0,"",IF(VLOOKUP(Calc4!B5,Calc4!$C$4:$E$12,3,0)=MAX(Q$42:Q42),VLOOKUP(Calc4!B5,Calc4!$C$4:$E$12,3,0),Calc4!B5))</f>
        <v>2</v>
      </c>
      <c r="R43" s="386" t="str">
        <f ca="1">IF(Calc1!$F$14&lt;3,"",IF(Calc4!$K$13=0,Calc4!$Q65,VLOOKUP(Calc4!B5,Calc4!$C$4:$N$12,4,0)))</f>
        <v>Paris St. Germain</v>
      </c>
      <c r="S43" s="216">
        <f ca="1">IF(Calc4!$K$13=0,"",VLOOKUP(Calc4!B5,Calc4!$C$4:$N$12,9,0))</f>
        <v>4</v>
      </c>
      <c r="T43" s="197">
        <f ca="1">IF(Calc4!$K$13=0,"",VLOOKUP(Calc4!B5,Calc4!$C$4:$N$12,10,0))</f>
        <v>1</v>
      </c>
      <c r="U43" s="197">
        <f ca="1">IF(Calc4!$K$13=0,"",VLOOKUP(Calc4!B5,Calc4!$C$4:$N$12,11,0))</f>
        <v>2</v>
      </c>
      <c r="V43" s="217">
        <f ca="1">IF(Calc4!$K$13=0,"",VLOOKUP(Calc4!B5,Calc4!$C$4:$N$12,12,0))</f>
        <v>1</v>
      </c>
      <c r="W43" s="218">
        <f t="shared" ref="W43:W47" ca="1" si="7">AD43</f>
        <v>4</v>
      </c>
      <c r="X43" s="219" t="str">
        <f>Sprache!$E$90</f>
        <v>:</v>
      </c>
      <c r="Y43" s="220">
        <f ca="1">IF(Calc4!$K$13=0,"",VLOOKUP(Calc4!B5,Calc4!$C$4:$AS$12,43,0))</f>
        <v>4</v>
      </c>
      <c r="Z43" s="218">
        <f ca="1">IF(Calc4!$K$13=0,"",VLOOKUP(Calc4!B5,Calc4!$C$4:$N$12,5,0))</f>
        <v>182</v>
      </c>
      <c r="AA43" s="219" t="str">
        <f>Sprache!$E$90</f>
        <v>:</v>
      </c>
      <c r="AB43" s="220">
        <f ca="1">IF(Calc4!$K$13=0,"",VLOOKUP(Calc4!B5,Calc4!$C$4:$N$12,6,0))</f>
        <v>161</v>
      </c>
      <c r="AC43" s="216">
        <f ca="1">IF(Calc4!$K$13=0,"",IF(VLOOKUP(Calc4!B5,Calc4!$C$4:$AR$12,42,0)=Einstellungen!$F$7,"max",VLOOKUP(Calc4!B5,Calc4!$C$4:$AR$12,42,0)))</f>
        <v>21</v>
      </c>
      <c r="AD43" s="221">
        <f ca="1">IF(Calc4!$K$13=0,"",VLOOKUP(Calc4!B5,Calc4!$C$4:$N$12,8,0))</f>
        <v>4</v>
      </c>
      <c r="AE43" s="222" t="str">
        <f ca="1">IFERROR(VLOOKUP($R43&amp;AE$41,Calc4!$Z$64:$AI$207,Einstellungen!$G$17,0),"")</f>
        <v>46:43</v>
      </c>
      <c r="AF43" s="223"/>
      <c r="AG43" s="197" t="str">
        <f ca="1">IFERROR(VLOOKUP($R43&amp;AG$41,Calc4!$Z$64:$AI$207,Einstellungen!$G$17,0),"")</f>
        <v>42:50</v>
      </c>
      <c r="AH43" s="197" t="str">
        <f ca="1">IFERROR(VLOOKUP($R43&amp;AH$41,Calc4!$Z$64:$AI$207,Einstellungen!$G$17,0),"")</f>
        <v>44:48</v>
      </c>
      <c r="AI43" s="197" t="str">
        <f ca="1">IFERROR(VLOOKUP($R43&amp;AI$41,Calc4!$Z$64:$AI$207,Einstellungen!$G$17,0),"")</f>
        <v>50:20</v>
      </c>
      <c r="AJ43" s="224" t="str">
        <f ca="1">IFERROR(VLOOKUP($R43&amp;AJ$41,Calc4!$Z$64:$AI$207,Einstellungen!$G$17,0),"")</f>
        <v/>
      </c>
      <c r="AK43" s="225" t="str">
        <f t="shared" ca="1" si="6"/>
        <v>Paris St. Germain</v>
      </c>
      <c r="AN43" s="438" t="s">
        <v>306</v>
      </c>
      <c r="AO43" s="386" t="str">
        <f>IF(Planung!$C60="","",Planung!$C60)</f>
        <v>Paris St. Germain</v>
      </c>
      <c r="AP43" s="291"/>
      <c r="AQ43" s="713">
        <f>IF($AO43="",0,COUNTIF(TieBreak!$U$12:$U$17,$AO43))</f>
        <v>0</v>
      </c>
    </row>
    <row r="44" spans="2:43" ht="24" customHeight="1" x14ac:dyDescent="0.2">
      <c r="B44" s="347">
        <f ca="1">Planung!$E38</f>
        <v>33</v>
      </c>
      <c r="C44" s="235">
        <f ca="1">Planung!$F38</f>
        <v>0.56944444444444442</v>
      </c>
      <c r="D44" s="236">
        <f ca="1">Planung!$G38</f>
        <v>1</v>
      </c>
      <c r="E44" s="236" t="str">
        <f ca="1">Planung!$H38</f>
        <v>A</v>
      </c>
      <c r="F44" s="237" t="str">
        <f ca="1">Planung!$L38</f>
        <v>Maibach 1822 eV</v>
      </c>
      <c r="G44" s="238" t="s">
        <v>4</v>
      </c>
      <c r="H44" s="237" t="str">
        <f ca="1">Planung!$N38</f>
        <v>VFB Essenheim</v>
      </c>
      <c r="I44" s="239">
        <v>17</v>
      </c>
      <c r="J44" s="240" t="str">
        <f>Sprache!$E$90</f>
        <v>:</v>
      </c>
      <c r="K44" s="644">
        <v>25</v>
      </c>
      <c r="L44" s="239">
        <v>25</v>
      </c>
      <c r="M44" s="240" t="str">
        <f>Sprache!$E$90</f>
        <v>:</v>
      </c>
      <c r="N44" s="241">
        <v>21</v>
      </c>
      <c r="O44" s="756" t="str">
        <f>IF(Planung!$O38="","",Planung!$O38)</f>
        <v/>
      </c>
      <c r="Q44" s="385">
        <f ca="1">IF(Calc4!$K$13=0,"",IF(VLOOKUP(Calc4!B6,Calc4!$C$4:$E$12,3,0)=MAX(Q$42:Q43),VLOOKUP(Calc4!B6,Calc4!$C$4:$E$12,3,0),Calc4!B6))</f>
        <v>3</v>
      </c>
      <c r="R44" s="386" t="str">
        <f ca="1">IF(Calc1!$F$14&lt;3,"",IF(Calc4!$K$13=0,Calc4!$Q66,VLOOKUP(Calc4!B6,Calc4!$C$4:$N$12,4,0)))</f>
        <v>SV Oberredenburg</v>
      </c>
      <c r="S44" s="216">
        <f ca="1">IF(Calc4!$K$13=0,"",VLOOKUP(Calc4!B6,Calc4!$C$4:$N$12,9,0))</f>
        <v>4</v>
      </c>
      <c r="T44" s="197">
        <f ca="1">IF(Calc4!$K$13=0,"",VLOOKUP(Calc4!B6,Calc4!$C$4:$N$12,10,0))</f>
        <v>1</v>
      </c>
      <c r="U44" s="197">
        <f ca="1">IF(Calc4!$K$13=0,"",VLOOKUP(Calc4!B6,Calc4!$C$4:$N$12,11,0))</f>
        <v>2</v>
      </c>
      <c r="V44" s="217">
        <f ca="1">IF(Calc4!$K$13=0,"",VLOOKUP(Calc4!B6,Calc4!$C$4:$N$12,12,0))</f>
        <v>1</v>
      </c>
      <c r="W44" s="218">
        <f t="shared" ca="1" si="7"/>
        <v>4</v>
      </c>
      <c r="X44" s="219" t="str">
        <f>Sprache!$E$90</f>
        <v>:</v>
      </c>
      <c r="Y44" s="220">
        <f ca="1">IF(Calc4!$K$13=0,"",VLOOKUP(Calc4!B6,Calc4!$C$4:$AS$12,43,0))</f>
        <v>4</v>
      </c>
      <c r="Z44" s="218">
        <f ca="1">IF(Calc4!$K$13=0,"",VLOOKUP(Calc4!B6,Calc4!$C$4:$N$12,5,0))</f>
        <v>174</v>
      </c>
      <c r="AA44" s="219" t="str">
        <f>Sprache!$E$90</f>
        <v>:</v>
      </c>
      <c r="AB44" s="220">
        <f ca="1">IF(Calc4!$K$13=0,"",VLOOKUP(Calc4!B6,Calc4!$C$4:$N$12,6,0))</f>
        <v>177</v>
      </c>
      <c r="AC44" s="216">
        <f ca="1">IF(Calc4!$K$13=0,"",IF(VLOOKUP(Calc4!B6,Calc4!$C$4:$AR$12,42,0)=Einstellungen!$F$7,"max",VLOOKUP(Calc4!B6,Calc4!$C$4:$AR$12,42,0)))</f>
        <v>-3</v>
      </c>
      <c r="AD44" s="221">
        <f ca="1">IF(Calc4!$K$13=0,"",VLOOKUP(Calc4!B6,Calc4!$C$4:$N$12,8,0))</f>
        <v>4</v>
      </c>
      <c r="AE44" s="222" t="str">
        <f ca="1">IFERROR(VLOOKUP($R44&amp;AE$41,Calc4!$Z$64:$AI$207,Einstellungen!$G$17,0),"")</f>
        <v>44:46</v>
      </c>
      <c r="AF44" s="412" t="str">
        <f ca="1">IFERROR(VLOOKUP($R44&amp;AF$41,Calc4!$Z$64:$AI$207,Einstellungen!$G$17,0),"")</f>
        <v>50:42</v>
      </c>
      <c r="AG44" s="223"/>
      <c r="AH44" s="197" t="str">
        <f ca="1">IFERROR(VLOOKUP($R44&amp;AH$41,Calc4!$Z$64:$AI$207,Einstellungen!$G$17,0),"")</f>
        <v>36:50</v>
      </c>
      <c r="AI44" s="197" t="str">
        <f ca="1">IFERROR(VLOOKUP($R44&amp;AI$41,Calc4!$Z$64:$AI$207,Einstellungen!$G$17,0),"")</f>
        <v>44:39</v>
      </c>
      <c r="AJ44" s="224" t="str">
        <f ca="1">IFERROR(VLOOKUP($R44&amp;AJ$41,Calc4!$Z$64:$AI$207,Einstellungen!$G$17,0),"")</f>
        <v/>
      </c>
      <c r="AK44" s="225" t="str">
        <f t="shared" ca="1" si="6"/>
        <v>SV Oberredenburg</v>
      </c>
      <c r="AN44" s="438" t="s">
        <v>307</v>
      </c>
      <c r="AO44" s="386" t="str">
        <f>IF(Planung!$C62="","",Planung!$C62)</f>
        <v>HSV</v>
      </c>
      <c r="AP44" s="291"/>
      <c r="AQ44" s="713">
        <f>IF($AO44="",0,COUNTIF(TieBreak!$U$12:$U$17,$AO44))</f>
        <v>0</v>
      </c>
    </row>
    <row r="45" spans="2:43" ht="24" customHeight="1" x14ac:dyDescent="0.2">
      <c r="B45" s="347">
        <f ca="1">Planung!$E39</f>
        <v>34</v>
      </c>
      <c r="C45" s="235">
        <f ca="1">Planung!$F39</f>
        <v>0.56944444444444442</v>
      </c>
      <c r="D45" s="236">
        <f ca="1">Planung!$G39</f>
        <v>2</v>
      </c>
      <c r="E45" s="236" t="str">
        <f ca="1">Planung!$H39</f>
        <v>B</v>
      </c>
      <c r="F45" s="237" t="str">
        <f ca="1">Planung!$L39</f>
        <v>Manchester City</v>
      </c>
      <c r="G45" s="238" t="s">
        <v>4</v>
      </c>
      <c r="H45" s="237" t="str">
        <f ca="1">Planung!$N39</f>
        <v>FC Grönlingen</v>
      </c>
      <c r="I45" s="239">
        <v>14</v>
      </c>
      <c r="J45" s="240" t="str">
        <f>Sprache!$E$90</f>
        <v>:</v>
      </c>
      <c r="K45" s="644">
        <v>25</v>
      </c>
      <c r="L45" s="239">
        <v>25</v>
      </c>
      <c r="M45" s="240" t="str">
        <f>Sprache!$E$90</f>
        <v>:</v>
      </c>
      <c r="N45" s="241">
        <v>22</v>
      </c>
      <c r="O45" s="756" t="str">
        <f>IF(Planung!$O39="","",Planung!$O39)</f>
        <v/>
      </c>
      <c r="Q45" s="385">
        <f ca="1">IF(Calc4!$K$13=0,"",IF(VLOOKUP(Calc4!B7,Calc4!$C$4:$E$12,3,0)=MAX(Q$42:Q44),VLOOKUP(Calc4!B7,Calc4!$C$4:$E$12,3,0),Calc4!B7))</f>
        <v>4</v>
      </c>
      <c r="R45" s="386" t="str">
        <f ca="1">IF(Calc1!$F$14&lt;3,"",IF(Calc4!$K$13=0,Calc4!$Q67,VLOOKUP(Calc4!B7,Calc4!$C$4:$N$12,4,0)))</f>
        <v>RB Leipzig</v>
      </c>
      <c r="S45" s="216">
        <f ca="1">IF(Calc4!$K$13=0,"",VLOOKUP(Calc4!B7,Calc4!$C$4:$N$12,9,0))</f>
        <v>4</v>
      </c>
      <c r="T45" s="197">
        <f ca="1">IF(Calc4!$K$13=0,"",VLOOKUP(Calc4!B7,Calc4!$C$4:$N$12,10,0))</f>
        <v>1</v>
      </c>
      <c r="U45" s="197">
        <f ca="1">IF(Calc4!$K$13=0,"",VLOOKUP(Calc4!B7,Calc4!$C$4:$N$12,11,0))</f>
        <v>2</v>
      </c>
      <c r="V45" s="217">
        <f ca="1">IF(Calc4!$K$13=0,"",VLOOKUP(Calc4!B7,Calc4!$C$4:$N$12,12,0))</f>
        <v>1</v>
      </c>
      <c r="W45" s="218">
        <f t="shared" ca="1" si="7"/>
        <v>4</v>
      </c>
      <c r="X45" s="219" t="str">
        <f>Sprache!$E$90</f>
        <v>:</v>
      </c>
      <c r="Y45" s="220">
        <f ca="1">IF(Calc4!$K$13=0,"",VLOOKUP(Calc4!B7,Calc4!$C$4:$AS$12,43,0))</f>
        <v>4</v>
      </c>
      <c r="Z45" s="218">
        <f ca="1">IF(Calc4!$K$13=0,"",VLOOKUP(Calc4!B7,Calc4!$C$4:$N$12,5,0))</f>
        <v>164</v>
      </c>
      <c r="AA45" s="219" t="str">
        <f>Sprache!$E$90</f>
        <v>:</v>
      </c>
      <c r="AB45" s="220">
        <f ca="1">IF(Calc4!$K$13=0,"",VLOOKUP(Calc4!B7,Calc4!$C$4:$N$12,6,0))</f>
        <v>174</v>
      </c>
      <c r="AC45" s="216">
        <f ca="1">IF(Calc4!$K$13=0,"",IF(VLOOKUP(Calc4!B7,Calc4!$C$4:$AR$12,42,0)=Einstellungen!$F$7,"max",VLOOKUP(Calc4!B7,Calc4!$C$4:$AR$12,42,0)))</f>
        <v>-10</v>
      </c>
      <c r="AD45" s="221">
        <f ca="1">IF(Calc4!$K$13=0,"",VLOOKUP(Calc4!B7,Calc4!$C$4:$N$12,8,0))</f>
        <v>4</v>
      </c>
      <c r="AE45" s="222" t="str">
        <f ca="1">IFERROR(VLOOKUP($R45&amp;AE$41,Calc4!$Z$64:$AI$207,Einstellungen!$G$17,0),"")</f>
        <v>24:50</v>
      </c>
      <c r="AF45" s="412" t="str">
        <f ca="1">IFERROR(VLOOKUP($R45&amp;AF$41,Calc4!$Z$64:$AI$207,Einstellungen!$G$17,0),"")</f>
        <v>48:44</v>
      </c>
      <c r="AG45" s="197" t="str">
        <f ca="1">IFERROR(VLOOKUP($R45&amp;AG$41,Calc4!$Z$64:$AI$207,Einstellungen!$G$17,0),"")</f>
        <v>50:36</v>
      </c>
      <c r="AH45" s="223"/>
      <c r="AI45" s="197" t="str">
        <f ca="1">IFERROR(VLOOKUP($R45&amp;AI$41,Calc4!$Z$64:$AI$207,Einstellungen!$G$17,0),"")</f>
        <v>42:44</v>
      </c>
      <c r="AJ45" s="224" t="str">
        <f ca="1">IFERROR(VLOOKUP($R45&amp;AJ$41,Calc4!$Z$64:$AI$207,Einstellungen!$G$17,0),"")</f>
        <v/>
      </c>
      <c r="AK45" s="225" t="str">
        <f t="shared" ca="1" si="6"/>
        <v>RB Leipzig</v>
      </c>
      <c r="AN45" s="438" t="s">
        <v>308</v>
      </c>
      <c r="AO45" s="386" t="str">
        <f>IF(Planung!$C64="","",Planung!$C64)</f>
        <v>RB Leipzig</v>
      </c>
      <c r="AP45" s="291"/>
      <c r="AQ45" s="713">
        <f>IF($AO45="",0,COUNTIF(TieBreak!$U$12:$U$17,$AO45))</f>
        <v>0</v>
      </c>
    </row>
    <row r="46" spans="2:43" ht="24" customHeight="1" x14ac:dyDescent="0.2">
      <c r="B46" s="347">
        <f ca="1">Planung!$E40</f>
        <v>35</v>
      </c>
      <c r="C46" s="235">
        <f ca="1">Planung!$F40</f>
        <v>0.56944444444444442</v>
      </c>
      <c r="D46" s="236">
        <f ca="1">Planung!$G40</f>
        <v>3</v>
      </c>
      <c r="E46" s="236" t="str">
        <f ca="1">Planung!$H40</f>
        <v>C</v>
      </c>
      <c r="F46" s="237" t="str">
        <f ca="1">Planung!$L40</f>
        <v>FSV Rauen</v>
      </c>
      <c r="G46" s="238" t="s">
        <v>4</v>
      </c>
      <c r="H46" s="237" t="str">
        <f ca="1">Planung!$N40</f>
        <v>1. FC Nürnberg</v>
      </c>
      <c r="I46" s="239">
        <v>25</v>
      </c>
      <c r="J46" s="240" t="str">
        <f>Sprache!$E$90</f>
        <v>:</v>
      </c>
      <c r="K46" s="644">
        <v>21</v>
      </c>
      <c r="L46" s="239">
        <v>25</v>
      </c>
      <c r="M46" s="240" t="str">
        <f>Sprache!$E$90</f>
        <v>:</v>
      </c>
      <c r="N46" s="241">
        <v>13</v>
      </c>
      <c r="O46" s="756" t="str">
        <f>IF(Planung!$O40="","",Planung!$O40)</f>
        <v/>
      </c>
      <c r="Q46" s="385">
        <f ca="1">IF(Calc4!$K$13=0,"",IF(VLOOKUP(Calc4!B8,Calc4!$C$4:$E$12,3,0)=MAX(Q$42:Q45),VLOOKUP(Calc4!B8,Calc4!$C$4:$E$12,3,0),Calc4!B8))</f>
        <v>5</v>
      </c>
      <c r="R46" s="386" t="str">
        <f ca="1">IF(Calc1!$F$14&lt;3,"",IF(Calc4!$K$13=0,Calc4!$Q68,VLOOKUP(Calc4!B8,Calc4!$C$4:$N$12,4,0)))</f>
        <v>HSV</v>
      </c>
      <c r="S46" s="216">
        <f ca="1">IF(Calc4!$K$13=0,"",VLOOKUP(Calc4!B8,Calc4!$C$4:$N$12,9,0))</f>
        <v>4</v>
      </c>
      <c r="T46" s="197">
        <f ca="1">IF(Calc4!$K$13=0,"",VLOOKUP(Calc4!B8,Calc4!$C$4:$N$12,10,0))</f>
        <v>0</v>
      </c>
      <c r="U46" s="197">
        <f ca="1">IF(Calc4!$K$13=0,"",VLOOKUP(Calc4!B8,Calc4!$C$4:$N$12,11,0))</f>
        <v>3</v>
      </c>
      <c r="V46" s="217">
        <f ca="1">IF(Calc4!$K$13=0,"",VLOOKUP(Calc4!B8,Calc4!$C$4:$N$12,12,0))</f>
        <v>1</v>
      </c>
      <c r="W46" s="218">
        <f t="shared" ca="1" si="7"/>
        <v>3</v>
      </c>
      <c r="X46" s="219" t="str">
        <f>Sprache!$E$90</f>
        <v>:</v>
      </c>
      <c r="Y46" s="220">
        <f ca="1">IF(Calc4!$K$13=0,"",VLOOKUP(Calc4!B8,Calc4!$C$4:$AS$12,43,0))</f>
        <v>5</v>
      </c>
      <c r="Z46" s="218">
        <f ca="1">IF(Calc4!$K$13=0,"",VLOOKUP(Calc4!B8,Calc4!$C$4:$N$12,5,0))</f>
        <v>147</v>
      </c>
      <c r="AA46" s="219" t="str">
        <f>Sprache!$E$90</f>
        <v>:</v>
      </c>
      <c r="AB46" s="220">
        <f ca="1">IF(Calc4!$K$13=0,"",VLOOKUP(Calc4!B8,Calc4!$C$4:$N$12,6,0))</f>
        <v>181</v>
      </c>
      <c r="AC46" s="216">
        <f ca="1">IF(Calc4!$K$13=0,"",IF(VLOOKUP(Calc4!B8,Calc4!$C$4:$AR$12,42,0)=Einstellungen!$F$7,"max",VLOOKUP(Calc4!B8,Calc4!$C$4:$AR$12,42,0)))</f>
        <v>-34</v>
      </c>
      <c r="AD46" s="221">
        <f ca="1">IF(Calc4!$K$13=0,"",VLOOKUP(Calc4!B8,Calc4!$C$4:$N$12,8,0))</f>
        <v>3</v>
      </c>
      <c r="AE46" s="222" t="str">
        <f ca="1">IFERROR(VLOOKUP($R46&amp;AE$41,Calc4!$Z$64:$AI$207,Einstellungen!$G$17,0),"")</f>
        <v>44:45</v>
      </c>
      <c r="AF46" s="412" t="str">
        <f ca="1">IFERROR(VLOOKUP($R46&amp;AF$41,Calc4!$Z$64:$AI$207,Einstellungen!$G$17,0),"")</f>
        <v>20:50</v>
      </c>
      <c r="AG46" s="197" t="str">
        <f ca="1">IFERROR(VLOOKUP($R46&amp;AG$41,Calc4!$Z$64:$AI$207,Einstellungen!$G$17,0),"")</f>
        <v>39:44</v>
      </c>
      <c r="AH46" s="197" t="str">
        <f ca="1">IFERROR(VLOOKUP($R46&amp;AH$41,Calc4!$Z$64:$AI$207,Einstellungen!$G$17,0),"")</f>
        <v>44:42</v>
      </c>
      <c r="AI46" s="223"/>
      <c r="AJ46" s="224" t="str">
        <f ca="1">IFERROR(VLOOKUP($R46&amp;AJ$41,Calc4!$Z$64:$AI$207,Einstellungen!$G$17,0),"")</f>
        <v/>
      </c>
      <c r="AK46" s="225" t="str">
        <f t="shared" ca="1" si="6"/>
        <v>HSV</v>
      </c>
      <c r="AN46" s="438" t="s">
        <v>309</v>
      </c>
      <c r="AO46" s="386" t="str">
        <f>IF(Planung!$C66="","",Planung!$C66)</f>
        <v>SV Oberredenburg</v>
      </c>
      <c r="AP46" s="291"/>
      <c r="AQ46" s="713">
        <f>IF($AO46="",0,COUNTIF(TieBreak!$U$12:$U$17,$AO46))</f>
        <v>0</v>
      </c>
    </row>
    <row r="47" spans="2:43" ht="24" customHeight="1" thickBot="1" x14ac:dyDescent="0.25">
      <c r="B47" s="347">
        <f ca="1">Planung!$E41</f>
        <v>36</v>
      </c>
      <c r="C47" s="235">
        <f ca="1">Planung!$F41</f>
        <v>0.56944444444444442</v>
      </c>
      <c r="D47" s="236">
        <f ca="1">Planung!$G41</f>
        <v>4</v>
      </c>
      <c r="E47" s="236" t="str">
        <f ca="1">Planung!$H41</f>
        <v>D</v>
      </c>
      <c r="F47" s="237" t="str">
        <f ca="1">Planung!$L41</f>
        <v>RB Leipzig</v>
      </c>
      <c r="G47" s="238" t="s">
        <v>4</v>
      </c>
      <c r="H47" s="237" t="str">
        <f ca="1">Planung!$N41</f>
        <v>SV Oberredenburg</v>
      </c>
      <c r="I47" s="239">
        <v>25</v>
      </c>
      <c r="J47" s="240" t="str">
        <f>Sprache!$E$90</f>
        <v>:</v>
      </c>
      <c r="K47" s="644">
        <v>19</v>
      </c>
      <c r="L47" s="239">
        <v>25</v>
      </c>
      <c r="M47" s="240" t="str">
        <f>Sprache!$E$90</f>
        <v>:</v>
      </c>
      <c r="N47" s="241">
        <v>17</v>
      </c>
      <c r="O47" s="756" t="str">
        <f>IF(Planung!$O41="","",Planung!$O41)</f>
        <v/>
      </c>
      <c r="Q47" s="387">
        <f ca="1">IF(Calc4!$K$13=0,"",IF(VLOOKUP(Calc4!B9,Calc4!$C$4:$E$12,3,0)=MAX(Q$42:Q46),VLOOKUP(Calc4!B9,Calc4!$C$4:$E$12,3,0),Calc4!B9))</f>
        <v>6</v>
      </c>
      <c r="R47" s="388" t="str">
        <f ca="1">IF(Calc1!$F$14&lt;3,"",IF(Calc4!$K$13=0,Calc4!$Q69,VLOOKUP(Calc4!B9,Calc4!$C$4:$N$12,4,0)))</f>
        <v/>
      </c>
      <c r="S47" s="226">
        <f ca="1">IF(Calc4!$K$13=0,"",VLOOKUP(Calc4!B9,Calc4!$C$4:$N$12,9,0))</f>
        <v>0</v>
      </c>
      <c r="T47" s="227">
        <f ca="1">IF(Calc4!$K$13=0,"",VLOOKUP(Calc4!B9,Calc4!$C$4:$N$12,10,0))</f>
        <v>0</v>
      </c>
      <c r="U47" s="227">
        <f ca="1">IF(Calc4!$K$13=0,"",VLOOKUP(Calc4!B9,Calc4!$C$4:$N$12,11,0))</f>
        <v>0</v>
      </c>
      <c r="V47" s="228">
        <f ca="1">IF(Calc4!$K$13=0,"",VLOOKUP(Calc4!B9,Calc4!$C$4:$N$12,12,0))</f>
        <v>0</v>
      </c>
      <c r="W47" s="229">
        <f t="shared" ca="1" si="7"/>
        <v>0</v>
      </c>
      <c r="X47" s="230" t="str">
        <f>Sprache!$E$90</f>
        <v>:</v>
      </c>
      <c r="Y47" s="231">
        <f ca="1">IF(Calc4!$K$13=0,"",VLOOKUP(Calc4!B9,Calc4!$C$4:$AS$12,43,0))</f>
        <v>0</v>
      </c>
      <c r="Z47" s="229">
        <f ca="1">IF(Calc4!$K$13=0,"",VLOOKUP(Calc4!B9,Calc4!$C$4:$N$12,5,0))</f>
        <v>0</v>
      </c>
      <c r="AA47" s="230" t="str">
        <f>Sprache!$E$90</f>
        <v>:</v>
      </c>
      <c r="AB47" s="231">
        <f ca="1">IF(Calc4!$K$13=0,"",VLOOKUP(Calc4!B9,Calc4!$C$4:$N$12,6,0))</f>
        <v>0</v>
      </c>
      <c r="AC47" s="226">
        <f ca="1">IF(Calc4!$K$13=0,"",IF(VLOOKUP(Calc4!B9,Calc4!$C$4:$AR$12,42,0)=Einstellungen!$F$7,"max",VLOOKUP(Calc4!B9,Calc4!$C$4:$AR$12,42,0)))</f>
        <v>0</v>
      </c>
      <c r="AD47" s="232">
        <f ca="1">IF(Calc4!$K$13=0,"",VLOOKUP(Calc4!B9,Calc4!$C$4:$N$12,8,0))</f>
        <v>0</v>
      </c>
      <c r="AE47" s="233" t="str">
        <f ca="1">IFERROR(VLOOKUP($R47&amp;AE$41,Calc4!$Z$64:$AI$207,Einstellungen!$G$17,0),"")</f>
        <v/>
      </c>
      <c r="AF47" s="227" t="str">
        <f ca="1">IFERROR(VLOOKUP($R47&amp;AF$41,Calc4!$Z$64:$AI$207,Einstellungen!$G$17,0),"")</f>
        <v/>
      </c>
      <c r="AG47" s="227" t="str">
        <f ca="1">IFERROR(VLOOKUP($R47&amp;AG$41,Calc4!$Z$64:$AI$207,Einstellungen!$G$17,0),"")</f>
        <v/>
      </c>
      <c r="AH47" s="227" t="str">
        <f ca="1">IFERROR(VLOOKUP($R47&amp;AH$41,Calc4!$Z$64:$AI$207,Einstellungen!$G$17,0),"")</f>
        <v/>
      </c>
      <c r="AI47" s="227" t="str">
        <f ca="1">IFERROR(VLOOKUP($R47&amp;AI$41,Calc4!$Z$64:$AI$207,Einstellungen!$G$17,0),"")</f>
        <v/>
      </c>
      <c r="AJ47" s="234"/>
      <c r="AK47" s="316" t="str">
        <f t="shared" ca="1" si="6"/>
        <v/>
      </c>
      <c r="AN47" s="440" t="s">
        <v>310</v>
      </c>
      <c r="AO47" s="388" t="str">
        <f>IF(Planung!$C68="","",Planung!$C68)</f>
        <v/>
      </c>
      <c r="AP47" s="291"/>
      <c r="AQ47" s="714">
        <f>IF($AO47="",0,COUNTIF(TieBreak!$U$12:$U$17,$AO47))</f>
        <v>0</v>
      </c>
    </row>
    <row r="48" spans="2:43" ht="24" customHeight="1" thickTop="1" x14ac:dyDescent="0.2">
      <c r="B48" s="347">
        <f ca="1">Planung!$E42</f>
        <v>37</v>
      </c>
      <c r="C48" s="235">
        <f ca="1">Planung!$F42</f>
        <v>0.59375</v>
      </c>
      <c r="D48" s="236">
        <f ca="1">Planung!$G42</f>
        <v>1</v>
      </c>
      <c r="E48" s="236" t="str">
        <f ca="1">Planung!$H42</f>
        <v>A</v>
      </c>
      <c r="F48" s="237" t="str">
        <f ca="1">Planung!$L42</f>
        <v>1. FC Riedwald</v>
      </c>
      <c r="G48" s="238" t="s">
        <v>4</v>
      </c>
      <c r="H48" s="237" t="str">
        <f ca="1">Planung!$N42</f>
        <v>FC Barcelona</v>
      </c>
      <c r="I48" s="239">
        <v>25</v>
      </c>
      <c r="J48" s="240" t="str">
        <f>Sprache!$E$90</f>
        <v>:</v>
      </c>
      <c r="K48" s="644">
        <v>17</v>
      </c>
      <c r="L48" s="239">
        <v>25</v>
      </c>
      <c r="M48" s="240" t="str">
        <f>Sprache!$E$90</f>
        <v>:</v>
      </c>
      <c r="N48" s="241">
        <v>18</v>
      </c>
      <c r="O48" s="756" t="str">
        <f>IF(Planung!$O42="","",Planung!$O42)</f>
        <v/>
      </c>
      <c r="AP48" s="289"/>
      <c r="AQ48" s="289"/>
    </row>
    <row r="49" spans="2:37" ht="24" customHeight="1" x14ac:dyDescent="0.2">
      <c r="B49" s="347">
        <f ca="1">Planung!$E43</f>
        <v>38</v>
      </c>
      <c r="C49" s="235">
        <f ca="1">Planung!$F43</f>
        <v>0.59375</v>
      </c>
      <c r="D49" s="236">
        <f ca="1">Planung!$G43</f>
        <v>2</v>
      </c>
      <c r="E49" s="236" t="str">
        <f ca="1">Planung!$H43</f>
        <v>B</v>
      </c>
      <c r="F49" s="237" t="str">
        <f ca="1">Planung!$L43</f>
        <v>Mainz 05</v>
      </c>
      <c r="G49" s="238" t="s">
        <v>4</v>
      </c>
      <c r="H49" s="237" t="str">
        <f ca="1">Planung!$N43</f>
        <v>Inter Mailand</v>
      </c>
      <c r="I49" s="239">
        <v>25</v>
      </c>
      <c r="J49" s="240" t="str">
        <f>Sprache!$E$90</f>
        <v>:</v>
      </c>
      <c r="K49" s="644">
        <v>14</v>
      </c>
      <c r="L49" s="239">
        <v>25</v>
      </c>
      <c r="M49" s="240" t="str">
        <f>Sprache!$E$90</f>
        <v>:</v>
      </c>
      <c r="N49" s="241">
        <v>19</v>
      </c>
      <c r="O49" s="756" t="str">
        <f>IF(Planung!$O43="","",Planung!$O43)</f>
        <v/>
      </c>
    </row>
    <row r="50" spans="2:37" ht="24" customHeight="1" x14ac:dyDescent="0.2">
      <c r="B50" s="347">
        <f ca="1">Planung!$E44</f>
        <v>39</v>
      </c>
      <c r="C50" s="235">
        <f ca="1">Planung!$F44</f>
        <v>0.59375</v>
      </c>
      <c r="D50" s="236">
        <f ca="1">Planung!$G44</f>
        <v>3</v>
      </c>
      <c r="E50" s="236" t="str">
        <f ca="1">Planung!$H44</f>
        <v>C</v>
      </c>
      <c r="F50" s="237" t="str">
        <f ca="1">Planung!$L44</f>
        <v>Kickers Rodendorf</v>
      </c>
      <c r="G50" s="238" t="s">
        <v>4</v>
      </c>
      <c r="H50" s="237" t="str">
        <f ca="1">Planung!$N44</f>
        <v>Real Madrid</v>
      </c>
      <c r="I50" s="239">
        <v>13</v>
      </c>
      <c r="J50" s="240" t="str">
        <f>Sprache!$E$90</f>
        <v>:</v>
      </c>
      <c r="K50" s="644">
        <v>25</v>
      </c>
      <c r="L50" s="239">
        <v>25</v>
      </c>
      <c r="M50" s="240" t="str">
        <f>Sprache!$E$90</f>
        <v>:</v>
      </c>
      <c r="N50" s="241">
        <v>20</v>
      </c>
      <c r="O50" s="756" t="str">
        <f>IF(Planung!$O44="","",Planung!$O44)</f>
        <v/>
      </c>
      <c r="Q50" s="841" t="str">
        <f>Sprache!$E$40</f>
        <v>Ende der Vorrunde:</v>
      </c>
      <c r="R50" s="841"/>
      <c r="S50" s="841"/>
      <c r="T50" s="841"/>
      <c r="U50" s="841"/>
      <c r="V50" s="841"/>
      <c r="W50" s="841"/>
      <c r="X50" s="841"/>
      <c r="Y50" s="841"/>
      <c r="Z50" s="841"/>
      <c r="AA50" s="841"/>
      <c r="AB50" s="841"/>
      <c r="AC50" s="841"/>
      <c r="AD50" s="842">
        <f ca="1">Planung!$S$13</f>
        <v>0.61458333333333337</v>
      </c>
      <c r="AE50" s="842"/>
      <c r="AF50" s="842"/>
      <c r="AG50" s="842"/>
      <c r="AH50" s="842"/>
      <c r="AI50" s="842"/>
      <c r="AJ50" s="842"/>
      <c r="AK50" s="842"/>
    </row>
    <row r="51" spans="2:37" ht="24" customHeight="1" x14ac:dyDescent="0.2">
      <c r="B51" s="347">
        <f ca="1">Planung!$E45</f>
        <v>40</v>
      </c>
      <c r="C51" s="235">
        <f ca="1">Planung!$F45</f>
        <v>0.59375</v>
      </c>
      <c r="D51" s="236">
        <f ca="1">Planung!$G45</f>
        <v>4</v>
      </c>
      <c r="E51" s="236" t="str">
        <f ca="1">Planung!$H45</f>
        <v>D</v>
      </c>
      <c r="F51" s="237" t="str">
        <f ca="1">Planung!$L45</f>
        <v>TSG Saalberg eV</v>
      </c>
      <c r="G51" s="238" t="s">
        <v>4</v>
      </c>
      <c r="H51" s="237" t="str">
        <f ca="1">Planung!$N45</f>
        <v>Paris St. Germain</v>
      </c>
      <c r="I51" s="239">
        <v>18</v>
      </c>
      <c r="J51" s="240" t="str">
        <f>Sprache!$E$90</f>
        <v>:</v>
      </c>
      <c r="K51" s="644">
        <v>25</v>
      </c>
      <c r="L51" s="239">
        <v>25</v>
      </c>
      <c r="M51" s="240" t="str">
        <f>Sprache!$E$90</f>
        <v>:</v>
      </c>
      <c r="N51" s="241">
        <v>21</v>
      </c>
      <c r="O51" s="756" t="str">
        <f>IF(Planung!$O45="","",Planung!$O45)</f>
        <v/>
      </c>
    </row>
    <row r="52" spans="2:37" ht="24" customHeight="1" x14ac:dyDescent="0.2">
      <c r="B52" s="347" t="str">
        <f>Planung!$E46</f>
        <v/>
      </c>
      <c r="C52" s="235" t="str">
        <f>Planung!$F46</f>
        <v/>
      </c>
      <c r="D52" s="236" t="str">
        <f>Planung!$G46</f>
        <v/>
      </c>
      <c r="E52" s="236" t="str">
        <f ca="1">Planung!$H46</f>
        <v/>
      </c>
      <c r="F52" s="237" t="str">
        <f ca="1">Planung!$L46</f>
        <v/>
      </c>
      <c r="G52" s="238" t="s">
        <v>4</v>
      </c>
      <c r="H52" s="237" t="str">
        <f ca="1">Planung!$N46</f>
        <v/>
      </c>
      <c r="I52" s="239"/>
      <c r="J52" s="240" t="str">
        <f>Sprache!$E$90</f>
        <v>:</v>
      </c>
      <c r="K52" s="644"/>
      <c r="L52" s="239"/>
      <c r="M52" s="240" t="str">
        <f>Sprache!$E$90</f>
        <v>:</v>
      </c>
      <c r="N52" s="241"/>
      <c r="O52" s="756" t="str">
        <f>IF(Planung!$O46="","",Planung!$O46)</f>
        <v/>
      </c>
    </row>
    <row r="53" spans="2:37" ht="24" customHeight="1" x14ac:dyDescent="0.2">
      <c r="B53" s="347" t="str">
        <f>Planung!$E47</f>
        <v/>
      </c>
      <c r="C53" s="235" t="str">
        <f>Planung!$F47</f>
        <v/>
      </c>
      <c r="D53" s="236" t="str">
        <f>Planung!$G47</f>
        <v/>
      </c>
      <c r="E53" s="236" t="str">
        <f ca="1">Planung!$H47</f>
        <v/>
      </c>
      <c r="F53" s="237" t="str">
        <f ca="1">Planung!$L47</f>
        <v/>
      </c>
      <c r="G53" s="238" t="s">
        <v>4</v>
      </c>
      <c r="H53" s="237" t="str">
        <f ca="1">Planung!$N47</f>
        <v/>
      </c>
      <c r="I53" s="239"/>
      <c r="J53" s="240" t="str">
        <f>Sprache!$E$90</f>
        <v>:</v>
      </c>
      <c r="K53" s="644"/>
      <c r="L53" s="239"/>
      <c r="M53" s="240" t="str">
        <f>Sprache!$E$90</f>
        <v>:</v>
      </c>
      <c r="N53" s="241"/>
      <c r="O53" s="756" t="str">
        <f>IF(Planung!$O47="","",Planung!$O47)</f>
        <v/>
      </c>
    </row>
    <row r="54" spans="2:37" ht="24" customHeight="1" x14ac:dyDescent="0.2">
      <c r="B54" s="347" t="str">
        <f>Planung!$E48</f>
        <v/>
      </c>
      <c r="C54" s="235" t="str">
        <f>Planung!$F48</f>
        <v/>
      </c>
      <c r="D54" s="236" t="str">
        <f>Planung!$G48</f>
        <v/>
      </c>
      <c r="E54" s="236" t="str">
        <f ca="1">Planung!$H48</f>
        <v/>
      </c>
      <c r="F54" s="237" t="str">
        <f ca="1">Planung!$L48</f>
        <v/>
      </c>
      <c r="G54" s="238" t="s">
        <v>4</v>
      </c>
      <c r="H54" s="237" t="str">
        <f ca="1">Planung!$N48</f>
        <v/>
      </c>
      <c r="I54" s="239"/>
      <c r="J54" s="240" t="str">
        <f>Sprache!$E$90</f>
        <v>:</v>
      </c>
      <c r="K54" s="644"/>
      <c r="L54" s="239"/>
      <c r="M54" s="240" t="str">
        <f>Sprache!$E$90</f>
        <v>:</v>
      </c>
      <c r="N54" s="241"/>
      <c r="O54" s="756" t="str">
        <f>IF(Planung!$O48="","",Planung!$O48)</f>
        <v/>
      </c>
    </row>
    <row r="55" spans="2:37" ht="24" customHeight="1" x14ac:dyDescent="0.2">
      <c r="B55" s="347" t="str">
        <f>Planung!$E49</f>
        <v/>
      </c>
      <c r="C55" s="235" t="str">
        <f>Planung!$F49</f>
        <v/>
      </c>
      <c r="D55" s="236" t="str">
        <f>Planung!$G49</f>
        <v/>
      </c>
      <c r="E55" s="236" t="str">
        <f ca="1">Planung!$H49</f>
        <v/>
      </c>
      <c r="F55" s="237" t="str">
        <f ca="1">Planung!$L49</f>
        <v/>
      </c>
      <c r="G55" s="238" t="s">
        <v>4</v>
      </c>
      <c r="H55" s="237" t="str">
        <f ca="1">Planung!$N49</f>
        <v/>
      </c>
      <c r="I55" s="239"/>
      <c r="J55" s="240" t="str">
        <f>Sprache!$E$90</f>
        <v>:</v>
      </c>
      <c r="K55" s="644"/>
      <c r="L55" s="239"/>
      <c r="M55" s="240" t="str">
        <f>Sprache!$E$90</f>
        <v>:</v>
      </c>
      <c r="N55" s="241"/>
      <c r="O55" s="756" t="str">
        <f>IF(Planung!$O49="","",Planung!$O49)</f>
        <v/>
      </c>
    </row>
    <row r="56" spans="2:37" ht="24" customHeight="1" x14ac:dyDescent="0.2">
      <c r="B56" s="347" t="str">
        <f>Planung!$E50</f>
        <v/>
      </c>
      <c r="C56" s="235" t="str">
        <f>Planung!$F50</f>
        <v/>
      </c>
      <c r="D56" s="236" t="str">
        <f>Planung!$G50</f>
        <v/>
      </c>
      <c r="E56" s="236" t="str">
        <f ca="1">Planung!$H50</f>
        <v/>
      </c>
      <c r="F56" s="237" t="str">
        <f ca="1">Planung!$L50</f>
        <v/>
      </c>
      <c r="G56" s="238" t="s">
        <v>4</v>
      </c>
      <c r="H56" s="237" t="str">
        <f ca="1">Planung!$N50</f>
        <v/>
      </c>
      <c r="I56" s="239"/>
      <c r="J56" s="240" t="str">
        <f>Sprache!$E$90</f>
        <v>:</v>
      </c>
      <c r="K56" s="644"/>
      <c r="L56" s="239"/>
      <c r="M56" s="240" t="str">
        <f>Sprache!$E$90</f>
        <v>:</v>
      </c>
      <c r="N56" s="241"/>
      <c r="O56" s="756" t="str">
        <f>IF(Planung!$O50="","",Planung!$O50)</f>
        <v/>
      </c>
    </row>
    <row r="57" spans="2:37" ht="24" customHeight="1" x14ac:dyDescent="0.2">
      <c r="B57" s="347" t="str">
        <f>Planung!$E51</f>
        <v/>
      </c>
      <c r="C57" s="235" t="str">
        <f>Planung!$F51</f>
        <v/>
      </c>
      <c r="D57" s="236" t="str">
        <f>Planung!$G51</f>
        <v/>
      </c>
      <c r="E57" s="236" t="str">
        <f ca="1">Planung!$H51</f>
        <v/>
      </c>
      <c r="F57" s="237" t="str">
        <f ca="1">Planung!$L51</f>
        <v/>
      </c>
      <c r="G57" s="238" t="s">
        <v>4</v>
      </c>
      <c r="H57" s="237" t="str">
        <f ca="1">Planung!$N51</f>
        <v/>
      </c>
      <c r="I57" s="239"/>
      <c r="J57" s="240" t="str">
        <f>Sprache!$E$90</f>
        <v>:</v>
      </c>
      <c r="K57" s="644"/>
      <c r="L57" s="239"/>
      <c r="M57" s="240" t="str">
        <f>Sprache!$E$90</f>
        <v>:</v>
      </c>
      <c r="N57" s="241"/>
      <c r="O57" s="756" t="str">
        <f>IF(Planung!$O51="","",Planung!$O51)</f>
        <v/>
      </c>
    </row>
    <row r="58" spans="2:37" ht="24" customHeight="1" x14ac:dyDescent="0.2">
      <c r="B58" s="347" t="str">
        <f>Planung!$E52</f>
        <v/>
      </c>
      <c r="C58" s="235" t="str">
        <f>Planung!$F52</f>
        <v/>
      </c>
      <c r="D58" s="236" t="str">
        <f>Planung!$G52</f>
        <v/>
      </c>
      <c r="E58" s="236" t="str">
        <f ca="1">Planung!$H52</f>
        <v/>
      </c>
      <c r="F58" s="237" t="str">
        <f ca="1">Planung!$L52</f>
        <v/>
      </c>
      <c r="G58" s="238" t="s">
        <v>4</v>
      </c>
      <c r="H58" s="237" t="str">
        <f ca="1">Planung!$N52</f>
        <v/>
      </c>
      <c r="I58" s="239"/>
      <c r="J58" s="240" t="str">
        <f>Sprache!$E$90</f>
        <v>:</v>
      </c>
      <c r="K58" s="644"/>
      <c r="L58" s="239"/>
      <c r="M58" s="240" t="str">
        <f>Sprache!$E$90</f>
        <v>:</v>
      </c>
      <c r="N58" s="241"/>
      <c r="O58" s="756" t="str">
        <f>IF(Planung!$O52="","",Planung!$O52)</f>
        <v/>
      </c>
    </row>
    <row r="59" spans="2:37" ht="24" customHeight="1" x14ac:dyDescent="0.2">
      <c r="B59" s="347" t="str">
        <f>Planung!$E53</f>
        <v/>
      </c>
      <c r="C59" s="235" t="str">
        <f>Planung!$F53</f>
        <v/>
      </c>
      <c r="D59" s="236" t="str">
        <f>Planung!$G53</f>
        <v/>
      </c>
      <c r="E59" s="236" t="str">
        <f ca="1">Planung!$H53</f>
        <v/>
      </c>
      <c r="F59" s="237" t="str">
        <f ca="1">Planung!$L53</f>
        <v/>
      </c>
      <c r="G59" s="238" t="s">
        <v>4</v>
      </c>
      <c r="H59" s="237" t="str">
        <f ca="1">Planung!$N53</f>
        <v/>
      </c>
      <c r="I59" s="239"/>
      <c r="J59" s="240" t="str">
        <f>Sprache!$E$90</f>
        <v>:</v>
      </c>
      <c r="K59" s="644"/>
      <c r="L59" s="239"/>
      <c r="M59" s="240" t="str">
        <f>Sprache!$E$90</f>
        <v>:</v>
      </c>
      <c r="N59" s="241"/>
      <c r="O59" s="756" t="str">
        <f>IF(Planung!$O53="","",Planung!$O53)</f>
        <v/>
      </c>
    </row>
    <row r="60" spans="2:37" ht="24" customHeight="1" x14ac:dyDescent="0.2">
      <c r="B60" s="347" t="str">
        <f>Planung!$E54</f>
        <v/>
      </c>
      <c r="C60" s="235" t="str">
        <f>Planung!$F54</f>
        <v/>
      </c>
      <c r="D60" s="236" t="str">
        <f>Planung!$G54</f>
        <v/>
      </c>
      <c r="E60" s="236" t="str">
        <f ca="1">Planung!$H54</f>
        <v/>
      </c>
      <c r="F60" s="237" t="str">
        <f ca="1">Planung!$L54</f>
        <v/>
      </c>
      <c r="G60" s="238" t="s">
        <v>4</v>
      </c>
      <c r="H60" s="237" t="str">
        <f ca="1">Planung!$N54</f>
        <v/>
      </c>
      <c r="I60" s="239"/>
      <c r="J60" s="240" t="str">
        <f>Sprache!$E$90</f>
        <v>:</v>
      </c>
      <c r="K60" s="644"/>
      <c r="L60" s="239"/>
      <c r="M60" s="240" t="str">
        <f>Sprache!$E$90</f>
        <v>:</v>
      </c>
      <c r="N60" s="241"/>
      <c r="O60" s="756" t="str">
        <f>IF(Planung!$O54="","",Planung!$O54)</f>
        <v/>
      </c>
    </row>
    <row r="61" spans="2:37" ht="24" customHeight="1" x14ac:dyDescent="0.2">
      <c r="B61" s="347" t="str">
        <f>Planung!$E55</f>
        <v/>
      </c>
      <c r="C61" s="235" t="str">
        <f>Planung!$F55</f>
        <v/>
      </c>
      <c r="D61" s="236" t="str">
        <f>Planung!$G55</f>
        <v/>
      </c>
      <c r="E61" s="236" t="str">
        <f ca="1">Planung!$H55</f>
        <v/>
      </c>
      <c r="F61" s="237" t="str">
        <f ca="1">Planung!$L55</f>
        <v/>
      </c>
      <c r="G61" s="238" t="s">
        <v>4</v>
      </c>
      <c r="H61" s="237" t="str">
        <f ca="1">Planung!$N55</f>
        <v/>
      </c>
      <c r="I61" s="239"/>
      <c r="J61" s="240" t="str">
        <f>Sprache!$E$90</f>
        <v>:</v>
      </c>
      <c r="K61" s="644"/>
      <c r="L61" s="239"/>
      <c r="M61" s="240" t="str">
        <f>Sprache!$E$90</f>
        <v>:</v>
      </c>
      <c r="N61" s="241"/>
      <c r="O61" s="756" t="str">
        <f>IF(Planung!$O55="","",Planung!$O55)</f>
        <v/>
      </c>
    </row>
    <row r="62" spans="2:37" ht="24" customHeight="1" x14ac:dyDescent="0.2">
      <c r="B62" s="347" t="str">
        <f>Planung!$E56</f>
        <v/>
      </c>
      <c r="C62" s="235" t="str">
        <f>Planung!$F56</f>
        <v/>
      </c>
      <c r="D62" s="236" t="str">
        <f>Planung!$G56</f>
        <v/>
      </c>
      <c r="E62" s="236" t="str">
        <f ca="1">Planung!$H56</f>
        <v/>
      </c>
      <c r="F62" s="237" t="str">
        <f ca="1">Planung!$L56</f>
        <v/>
      </c>
      <c r="G62" s="238" t="s">
        <v>4</v>
      </c>
      <c r="H62" s="237" t="str">
        <f ca="1">Planung!$N56</f>
        <v/>
      </c>
      <c r="I62" s="239"/>
      <c r="J62" s="240" t="str">
        <f>Sprache!$E$90</f>
        <v>:</v>
      </c>
      <c r="K62" s="644"/>
      <c r="L62" s="239"/>
      <c r="M62" s="240" t="str">
        <f>Sprache!$E$90</f>
        <v>:</v>
      </c>
      <c r="N62" s="241"/>
      <c r="O62" s="756" t="str">
        <f>IF(Planung!$O56="","",Planung!$O56)</f>
        <v/>
      </c>
    </row>
    <row r="63" spans="2:37" ht="24" customHeight="1" x14ac:dyDescent="0.2">
      <c r="B63" s="347" t="str">
        <f>Planung!$E57</f>
        <v/>
      </c>
      <c r="C63" s="235" t="str">
        <f>Planung!$F57</f>
        <v/>
      </c>
      <c r="D63" s="236" t="str">
        <f>Planung!$G57</f>
        <v/>
      </c>
      <c r="E63" s="236" t="str">
        <f ca="1">Planung!$H57</f>
        <v/>
      </c>
      <c r="F63" s="237" t="str">
        <f ca="1">Planung!$L57</f>
        <v/>
      </c>
      <c r="G63" s="238" t="s">
        <v>4</v>
      </c>
      <c r="H63" s="237" t="str">
        <f ca="1">Planung!$N57</f>
        <v/>
      </c>
      <c r="I63" s="239"/>
      <c r="J63" s="240" t="str">
        <f>Sprache!$E$90</f>
        <v>:</v>
      </c>
      <c r="K63" s="644"/>
      <c r="L63" s="239"/>
      <c r="M63" s="240" t="str">
        <f>Sprache!$E$90</f>
        <v>:</v>
      </c>
      <c r="N63" s="241"/>
      <c r="O63" s="756" t="str">
        <f>IF(Planung!$O57="","",Planung!$O57)</f>
        <v/>
      </c>
    </row>
    <row r="64" spans="2:37" ht="24" customHeight="1" x14ac:dyDescent="0.2">
      <c r="B64" s="347" t="str">
        <f>Planung!$E58</f>
        <v/>
      </c>
      <c r="C64" s="235" t="str">
        <f>Planung!$F58</f>
        <v/>
      </c>
      <c r="D64" s="236" t="str">
        <f>Planung!$G58</f>
        <v/>
      </c>
      <c r="E64" s="236" t="str">
        <f ca="1">Planung!$H58</f>
        <v/>
      </c>
      <c r="F64" s="237" t="str">
        <f ca="1">Planung!$L58</f>
        <v/>
      </c>
      <c r="G64" s="238" t="s">
        <v>4</v>
      </c>
      <c r="H64" s="237" t="str">
        <f ca="1">Planung!$N58</f>
        <v/>
      </c>
      <c r="I64" s="239"/>
      <c r="J64" s="240" t="str">
        <f>Sprache!$E$90</f>
        <v>:</v>
      </c>
      <c r="K64" s="644"/>
      <c r="L64" s="239"/>
      <c r="M64" s="240" t="str">
        <f>Sprache!$E$90</f>
        <v>:</v>
      </c>
      <c r="N64" s="241"/>
      <c r="O64" s="756" t="str">
        <f>IF(Planung!$O58="","",Planung!$O58)</f>
        <v/>
      </c>
    </row>
    <row r="65" spans="2:15" ht="24" customHeight="1" x14ac:dyDescent="0.2">
      <c r="B65" s="347" t="str">
        <f>Planung!$E59</f>
        <v/>
      </c>
      <c r="C65" s="235" t="str">
        <f>Planung!$F59</f>
        <v/>
      </c>
      <c r="D65" s="236" t="str">
        <f>Planung!$G59</f>
        <v/>
      </c>
      <c r="E65" s="236" t="str">
        <f ca="1">Planung!$H59</f>
        <v/>
      </c>
      <c r="F65" s="237" t="str">
        <f ca="1">Planung!$L59</f>
        <v/>
      </c>
      <c r="G65" s="238" t="s">
        <v>4</v>
      </c>
      <c r="H65" s="237" t="str">
        <f ca="1">Planung!$N59</f>
        <v/>
      </c>
      <c r="I65" s="239"/>
      <c r="J65" s="240" t="str">
        <f>Sprache!$E$90</f>
        <v>:</v>
      </c>
      <c r="K65" s="644"/>
      <c r="L65" s="239"/>
      <c r="M65" s="240" t="str">
        <f>Sprache!$E$90</f>
        <v>:</v>
      </c>
      <c r="N65" s="241"/>
      <c r="O65" s="756" t="str">
        <f>IF(Planung!$O59="","",Planung!$O59)</f>
        <v/>
      </c>
    </row>
    <row r="66" spans="2:15" ht="24" customHeight="1" x14ac:dyDescent="0.2">
      <c r="B66" s="347" t="str">
        <f>Planung!$E60</f>
        <v/>
      </c>
      <c r="C66" s="235" t="str">
        <f>Planung!$F60</f>
        <v/>
      </c>
      <c r="D66" s="236" t="str">
        <f>Planung!$G60</f>
        <v/>
      </c>
      <c r="E66" s="236" t="str">
        <f ca="1">Planung!$H60</f>
        <v/>
      </c>
      <c r="F66" s="237" t="str">
        <f ca="1">Planung!$L60</f>
        <v/>
      </c>
      <c r="G66" s="238" t="s">
        <v>4</v>
      </c>
      <c r="H66" s="237" t="str">
        <f ca="1">Planung!$N60</f>
        <v/>
      </c>
      <c r="I66" s="239"/>
      <c r="J66" s="240" t="str">
        <f>Sprache!$E$90</f>
        <v>:</v>
      </c>
      <c r="K66" s="644"/>
      <c r="L66" s="239"/>
      <c r="M66" s="240" t="str">
        <f>Sprache!$E$90</f>
        <v>:</v>
      </c>
      <c r="N66" s="241"/>
      <c r="O66" s="756" t="str">
        <f>IF(Planung!$O60="","",Planung!$O60)</f>
        <v/>
      </c>
    </row>
    <row r="67" spans="2:15" ht="24" customHeight="1" x14ac:dyDescent="0.2">
      <c r="B67" s="347" t="str">
        <f>Planung!$E61</f>
        <v/>
      </c>
      <c r="C67" s="235" t="str">
        <f>Planung!$F61</f>
        <v/>
      </c>
      <c r="D67" s="236" t="str">
        <f>Planung!$G61</f>
        <v/>
      </c>
      <c r="E67" s="236" t="str">
        <f ca="1">Planung!$H61</f>
        <v/>
      </c>
      <c r="F67" s="237" t="str">
        <f ca="1">Planung!$L61</f>
        <v/>
      </c>
      <c r="G67" s="238" t="s">
        <v>4</v>
      </c>
      <c r="H67" s="237" t="str">
        <f ca="1">Planung!$N61</f>
        <v/>
      </c>
      <c r="I67" s="239"/>
      <c r="J67" s="240" t="str">
        <f>Sprache!$E$90</f>
        <v>:</v>
      </c>
      <c r="K67" s="644"/>
      <c r="L67" s="239"/>
      <c r="M67" s="240" t="str">
        <f>Sprache!$E$90</f>
        <v>:</v>
      </c>
      <c r="N67" s="241"/>
      <c r="O67" s="756" t="str">
        <f>IF(Planung!$O61="","",Planung!$O61)</f>
        <v/>
      </c>
    </row>
    <row r="68" spans="2:15" ht="24" customHeight="1" x14ac:dyDescent="0.2">
      <c r="B68" s="347" t="str">
        <f>Planung!$E62</f>
        <v/>
      </c>
      <c r="C68" s="235" t="str">
        <f>Planung!$F62</f>
        <v/>
      </c>
      <c r="D68" s="236" t="str">
        <f>Planung!$G62</f>
        <v/>
      </c>
      <c r="E68" s="236" t="str">
        <f ca="1">Planung!$H62</f>
        <v/>
      </c>
      <c r="F68" s="237" t="str">
        <f ca="1">Planung!$L62</f>
        <v/>
      </c>
      <c r="G68" s="238" t="s">
        <v>4</v>
      </c>
      <c r="H68" s="237" t="str">
        <f ca="1">Planung!$N62</f>
        <v/>
      </c>
      <c r="I68" s="239"/>
      <c r="J68" s="240" t="str">
        <f>Sprache!$E$90</f>
        <v>:</v>
      </c>
      <c r="K68" s="644"/>
      <c r="L68" s="239"/>
      <c r="M68" s="240" t="str">
        <f>Sprache!$E$90</f>
        <v>:</v>
      </c>
      <c r="N68" s="241"/>
      <c r="O68" s="756" t="str">
        <f>IF(Planung!$O62="","",Planung!$O62)</f>
        <v/>
      </c>
    </row>
    <row r="69" spans="2:15" ht="24" customHeight="1" x14ac:dyDescent="0.2">
      <c r="B69" s="347" t="str">
        <f>Planung!$E63</f>
        <v/>
      </c>
      <c r="C69" s="235" t="str">
        <f>Planung!$F63</f>
        <v/>
      </c>
      <c r="D69" s="236" t="str">
        <f>Planung!$G63</f>
        <v/>
      </c>
      <c r="E69" s="236" t="str">
        <f ca="1">Planung!$H63</f>
        <v/>
      </c>
      <c r="F69" s="237" t="str">
        <f ca="1">Planung!$L63</f>
        <v/>
      </c>
      <c r="G69" s="238" t="s">
        <v>4</v>
      </c>
      <c r="H69" s="237" t="str">
        <f ca="1">Planung!$N63</f>
        <v/>
      </c>
      <c r="I69" s="239"/>
      <c r="J69" s="240" t="str">
        <f>Sprache!$E$90</f>
        <v>:</v>
      </c>
      <c r="K69" s="644"/>
      <c r="L69" s="239"/>
      <c r="M69" s="240" t="str">
        <f>Sprache!$E$90</f>
        <v>:</v>
      </c>
      <c r="N69" s="241"/>
      <c r="O69" s="756" t="str">
        <f>IF(Planung!$O63="","",Planung!$O63)</f>
        <v/>
      </c>
    </row>
    <row r="70" spans="2:15" ht="24" customHeight="1" x14ac:dyDescent="0.2">
      <c r="B70" s="347" t="str">
        <f>Planung!$E64</f>
        <v/>
      </c>
      <c r="C70" s="235" t="str">
        <f>Planung!$F64</f>
        <v/>
      </c>
      <c r="D70" s="236" t="str">
        <f>Planung!$G64</f>
        <v/>
      </c>
      <c r="E70" s="236" t="str">
        <f ca="1">Planung!$H64</f>
        <v/>
      </c>
      <c r="F70" s="237" t="str">
        <f ca="1">Planung!$L64</f>
        <v/>
      </c>
      <c r="G70" s="238" t="s">
        <v>4</v>
      </c>
      <c r="H70" s="237" t="str">
        <f ca="1">Planung!$N64</f>
        <v/>
      </c>
      <c r="I70" s="239"/>
      <c r="J70" s="240" t="str">
        <f>Sprache!$E$90</f>
        <v>:</v>
      </c>
      <c r="K70" s="644"/>
      <c r="L70" s="239"/>
      <c r="M70" s="240" t="str">
        <f>Sprache!$E$90</f>
        <v>:</v>
      </c>
      <c r="N70" s="241"/>
      <c r="O70" s="756" t="str">
        <f>IF(Planung!$O64="","",Planung!$O64)</f>
        <v/>
      </c>
    </row>
    <row r="71" spans="2:15" ht="24" customHeight="1" thickBot="1" x14ac:dyDescent="0.25">
      <c r="B71" s="348" t="str">
        <f>Planung!$E65</f>
        <v/>
      </c>
      <c r="C71" s="242" t="str">
        <f>Planung!$F65</f>
        <v/>
      </c>
      <c r="D71" s="243" t="str">
        <f>Planung!$G65</f>
        <v/>
      </c>
      <c r="E71" s="243" t="str">
        <f ca="1">Planung!$H65</f>
        <v/>
      </c>
      <c r="F71" s="244" t="str">
        <f ca="1">Planung!$L65</f>
        <v/>
      </c>
      <c r="G71" s="245" t="s">
        <v>4</v>
      </c>
      <c r="H71" s="244" t="str">
        <f ca="1">Planung!$N65</f>
        <v/>
      </c>
      <c r="I71" s="246"/>
      <c r="J71" s="247" t="str">
        <f>Sprache!$E$90</f>
        <v>:</v>
      </c>
      <c r="K71" s="645"/>
      <c r="L71" s="246"/>
      <c r="M71" s="247" t="str">
        <f>Sprache!$E$90</f>
        <v>:</v>
      </c>
      <c r="N71" s="248"/>
      <c r="O71" s="757" t="str">
        <f>IF(Planung!$O65="","",Planung!$O65)</f>
        <v/>
      </c>
    </row>
    <row r="72" spans="2:15" ht="13.5" thickTop="1" x14ac:dyDescent="0.2"/>
    <row r="73" spans="2:15" x14ac:dyDescent="0.2"/>
    <row r="74" spans="2:15" x14ac:dyDescent="0.2"/>
    <row r="75" spans="2:15" x14ac:dyDescent="0.2"/>
  </sheetData>
  <sheetProtection sheet="1" selectLockedCells="1"/>
  <mergeCells count="32">
    <mergeCell ref="AN10:AO10"/>
    <mergeCell ref="AI2:AJ2"/>
    <mergeCell ref="G2:AC2"/>
    <mergeCell ref="G3:AC3"/>
    <mergeCell ref="G4:AC4"/>
    <mergeCell ref="G5:AC5"/>
    <mergeCell ref="I7:V8"/>
    <mergeCell ref="Q1:R1"/>
    <mergeCell ref="F11:H11"/>
    <mergeCell ref="I11:K11"/>
    <mergeCell ref="Z11:AB11"/>
    <mergeCell ref="Q11:R11"/>
    <mergeCell ref="Q10:R10"/>
    <mergeCell ref="L11:N11"/>
    <mergeCell ref="W11:Y11"/>
    <mergeCell ref="AN40:AO40"/>
    <mergeCell ref="AN20:AO20"/>
    <mergeCell ref="Q30:R30"/>
    <mergeCell ref="Q31:R31"/>
    <mergeCell ref="Z31:AB31"/>
    <mergeCell ref="Q21:R21"/>
    <mergeCell ref="Z21:AB21"/>
    <mergeCell ref="Q20:R20"/>
    <mergeCell ref="AN30:AO30"/>
    <mergeCell ref="W21:Y21"/>
    <mergeCell ref="W31:Y31"/>
    <mergeCell ref="Q50:AC50"/>
    <mergeCell ref="AD50:AK50"/>
    <mergeCell ref="Q40:R40"/>
    <mergeCell ref="Q41:R41"/>
    <mergeCell ref="Z41:AB41"/>
    <mergeCell ref="W41:Y41"/>
  </mergeCells>
  <conditionalFormatting sqref="I12:K71">
    <cfRule type="expression" dxfId="38" priority="433">
      <formula>$B12=#REF!</formula>
    </cfRule>
    <cfRule type="expression" dxfId="37" priority="434">
      <formula>$B12=#REF!</formula>
    </cfRule>
  </conditionalFormatting>
  <conditionalFormatting sqref="Q12:AK17 Q22:AK27 Q32:AK37 Q42:AK47">
    <cfRule type="expression" dxfId="36" priority="7">
      <formula>$R12=""</formula>
    </cfRule>
  </conditionalFormatting>
  <conditionalFormatting sqref="Q12:AD17 AK12:AK17 AK22:AK27 AK32:AK37 AK42:AK47 Q22:AD27 Q32:AD37 Q42:AD47">
    <cfRule type="expression" dxfId="35" priority="6">
      <formula>OR(AND($Q12=$Q11,$R11&lt;&gt;""),AND($Q12=$Q13,$R13&lt;&gt;""))</formula>
    </cfRule>
  </conditionalFormatting>
  <conditionalFormatting sqref="B12:K71">
    <cfRule type="expression" dxfId="34" priority="5">
      <formula>OR($F12="",$H12="")</formula>
    </cfRule>
  </conditionalFormatting>
  <conditionalFormatting sqref="L12:N71">
    <cfRule type="expression" dxfId="33" priority="3">
      <formula>$B12=#REF!</formula>
    </cfRule>
    <cfRule type="expression" dxfId="32" priority="4">
      <formula>$B12=#REF!</formula>
    </cfRule>
  </conditionalFormatting>
  <conditionalFormatting sqref="L12:N71">
    <cfRule type="expression" dxfId="31" priority="2">
      <formula>OR($F12="",$H12="")</formula>
    </cfRule>
  </conditionalFormatting>
  <conditionalFormatting sqref="I12:N71">
    <cfRule type="expression" dxfId="30" priority="1">
      <formula>OR(AND($I12&lt;&gt;"",$I12=$K12),AND($L12&lt;&gt;"",$L12=$N12))</formula>
    </cfRule>
  </conditionalFormatting>
  <dataValidations count="1">
    <dataValidation type="whole" allowBlank="1" showErrorMessage="1" errorTitle="Error" error="Maximal 999 !" sqref="I12:I71 K12:K71" xr:uid="{D9E07FCF-67B7-4BAF-9BC8-AE233331B860}">
      <formula1>0</formula1>
      <formula2>999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B701-D3A6-4C40-8B29-EDAAE2ECFA57}">
  <dimension ref="A1:AE80"/>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68" customWidth="1"/>
    <col min="17" max="18" width="4.7109375" style="47" customWidth="1"/>
    <col min="19" max="19" width="2.7109375" style="47" customWidth="1"/>
    <col min="20" max="20" width="4.7109375" style="47" customWidth="1"/>
    <col min="21" max="21" width="24.7109375" style="47" customWidth="1"/>
    <col min="22" max="22" width="9.140625" style="47" customWidth="1"/>
    <col min="23" max="23" width="8.42578125" style="47" hidden="1" customWidth="1"/>
    <col min="24" max="24" width="6.140625" style="47" hidden="1" customWidth="1"/>
    <col min="25" max="25" width="5.85546875" style="47" hidden="1" customWidth="1"/>
    <col min="26" max="26" width="6.140625" style="47" hidden="1" customWidth="1"/>
    <col min="27" max="27" width="6.42578125" style="47" hidden="1" customWidth="1"/>
    <col min="28" max="28" width="3.28515625" style="47" hidden="1" customWidth="1"/>
    <col min="29" max="30" width="14.140625" style="47" hidden="1" customWidth="1"/>
    <col min="31" max="31" width="11.85546875" style="47" hidden="1" customWidth="1"/>
    <col min="32" max="16384" width="24.7109375" style="47" hidden="1"/>
  </cols>
  <sheetData>
    <row r="1" spans="2:31" ht="13.5" thickBot="1" x14ac:dyDescent="0.25"/>
    <row r="2" spans="2:31" ht="36" customHeight="1" thickTop="1" x14ac:dyDescent="0.2">
      <c r="F2" s="877" t="str">
        <f>Vorrunde!$G$2</f>
        <v>Internationales U10-Turnier am 13.04.2025</v>
      </c>
      <c r="G2" s="878"/>
      <c r="H2" s="878"/>
      <c r="I2" s="878"/>
      <c r="J2" s="878"/>
      <c r="K2" s="878"/>
      <c r="L2" s="878"/>
      <c r="M2" s="878"/>
      <c r="N2" s="878"/>
      <c r="O2" s="878"/>
      <c r="P2" s="878"/>
      <c r="Q2" s="878"/>
      <c r="R2" s="878"/>
      <c r="S2" s="878"/>
      <c r="T2" s="878"/>
      <c r="U2" s="879"/>
    </row>
    <row r="3" spans="2:31" ht="30" customHeight="1" x14ac:dyDescent="0.2">
      <c r="F3" s="880" t="str">
        <f>Vorrunde!$G$3</f>
        <v>Veranstalter:  1. FC Riedwald</v>
      </c>
      <c r="G3" s="881"/>
      <c r="H3" s="881"/>
      <c r="I3" s="881"/>
      <c r="J3" s="881"/>
      <c r="K3" s="881"/>
      <c r="L3" s="881"/>
      <c r="M3" s="881"/>
      <c r="N3" s="881"/>
      <c r="O3" s="881"/>
      <c r="P3" s="881"/>
      <c r="Q3" s="881"/>
      <c r="R3" s="881"/>
      <c r="S3" s="881"/>
      <c r="T3" s="881"/>
      <c r="U3" s="882"/>
    </row>
    <row r="4" spans="2:31" ht="30" customHeight="1" x14ac:dyDescent="0.2">
      <c r="F4" s="883" t="str">
        <f>Vorrunde!$G$4</f>
        <v>Sporthalle Wiesengrund, Wendiger Str. 51, 65432 Riedwald</v>
      </c>
      <c r="G4" s="884"/>
      <c r="H4" s="884"/>
      <c r="I4" s="884"/>
      <c r="J4" s="884"/>
      <c r="K4" s="884"/>
      <c r="L4" s="884"/>
      <c r="M4" s="884"/>
      <c r="N4" s="884"/>
      <c r="O4" s="884"/>
      <c r="P4" s="884"/>
      <c r="Q4" s="884"/>
      <c r="R4" s="884"/>
      <c r="S4" s="884"/>
      <c r="T4" s="884"/>
      <c r="U4" s="885"/>
    </row>
    <row r="5" spans="2:31" ht="30" customHeight="1" thickBot="1" x14ac:dyDescent="0.25">
      <c r="F5" s="886" t="str">
        <f>Vorrunde!$G$5</f>
        <v>Beginn:  9:00 Uhr</v>
      </c>
      <c r="G5" s="887"/>
      <c r="H5" s="887"/>
      <c r="I5" s="887"/>
      <c r="J5" s="887"/>
      <c r="K5" s="887"/>
      <c r="L5" s="887"/>
      <c r="M5" s="887"/>
      <c r="N5" s="887"/>
      <c r="O5" s="887"/>
      <c r="P5" s="887"/>
      <c r="Q5" s="887"/>
      <c r="R5" s="887"/>
      <c r="S5" s="887"/>
      <c r="T5" s="887"/>
      <c r="U5" s="888"/>
    </row>
    <row r="6" spans="2:31" ht="29.25" customHeight="1" thickTop="1" x14ac:dyDescent="0.2"/>
    <row r="7" spans="2:31" ht="30" customHeight="1" x14ac:dyDescent="0.2">
      <c r="H7" s="889" t="str">
        <f>Sprache!$E$6</f>
        <v>Tie Break Vorrunde</v>
      </c>
      <c r="I7" s="889"/>
      <c r="J7" s="889"/>
      <c r="K7" s="889"/>
      <c r="L7" s="889"/>
      <c r="M7" s="889"/>
      <c r="N7" s="889"/>
      <c r="O7" s="889"/>
      <c r="P7" s="889"/>
      <c r="Q7" s="889"/>
      <c r="R7" s="889"/>
      <c r="S7" s="889"/>
      <c r="T7" s="889"/>
    </row>
    <row r="8" spans="2:31" ht="30" customHeight="1" x14ac:dyDescent="0.2">
      <c r="H8" s="889"/>
      <c r="I8" s="889"/>
      <c r="J8" s="889"/>
      <c r="K8" s="889"/>
      <c r="L8" s="889"/>
      <c r="M8" s="889"/>
      <c r="N8" s="889"/>
      <c r="O8" s="889"/>
      <c r="P8" s="889"/>
      <c r="Q8" s="889"/>
      <c r="R8" s="889"/>
      <c r="S8" s="889"/>
      <c r="T8" s="889"/>
    </row>
    <row r="9" spans="2:31" ht="15.95" customHeight="1" x14ac:dyDescent="0.2"/>
    <row r="10" spans="2:31" ht="24" customHeight="1" thickBot="1" x14ac:dyDescent="0.3">
      <c r="C10" s="816"/>
      <c r="D10" s="816"/>
      <c r="E10" s="324"/>
      <c r="F10" s="897" t="str">
        <f>Sprache!$E$115</f>
        <v>z.B.  A2 - A4</v>
      </c>
      <c r="G10" s="897"/>
      <c r="H10" s="897"/>
      <c r="I10" s="324"/>
      <c r="J10" s="324"/>
      <c r="K10" s="324"/>
      <c r="L10" s="418"/>
      <c r="M10" s="418"/>
      <c r="N10" s="418"/>
      <c r="O10" s="511"/>
      <c r="P10" s="510"/>
      <c r="Q10" s="667"/>
      <c r="R10" s="667"/>
      <c r="S10" s="667"/>
      <c r="T10" s="667"/>
      <c r="U10" s="290"/>
    </row>
    <row r="11" spans="2:31" ht="24" customHeight="1" thickTop="1" x14ac:dyDescent="0.2">
      <c r="C11" s="419" t="str">
        <f>Sprache!$E$33</f>
        <v>Spiel-Nr.</v>
      </c>
      <c r="D11" s="666" t="str">
        <f>Sprache!$E$39</f>
        <v>Beginn:</v>
      </c>
      <c r="E11" s="666" t="str">
        <f>Sprache!$E$48</f>
        <v>Feld</v>
      </c>
      <c r="F11" s="894" t="str">
        <f>Sprache!$E$114</f>
        <v>Team-Kürzel</v>
      </c>
      <c r="G11" s="895"/>
      <c r="H11" s="896"/>
      <c r="I11" s="894" t="str">
        <f>Sprache!$E$14</f>
        <v>Spielpaarung</v>
      </c>
      <c r="J11" s="895"/>
      <c r="K11" s="896"/>
      <c r="L11" s="890" t="str">
        <f>Sprache!$E$72</f>
        <v>1. Satz</v>
      </c>
      <c r="M11" s="891"/>
      <c r="N11" s="892"/>
      <c r="O11" s="890" t="str">
        <f>Sprache!$E$73</f>
        <v>2. Satz</v>
      </c>
      <c r="P11" s="891"/>
      <c r="Q11" s="892"/>
      <c r="R11" s="890" t="str">
        <f>Sprache!$E$75</f>
        <v>3. Satz</v>
      </c>
      <c r="S11" s="891"/>
      <c r="T11" s="893"/>
      <c r="U11" s="682" t="str">
        <f>Sprache!$E$76</f>
        <v>Sieger</v>
      </c>
      <c r="W11" s="680" t="str">
        <f>Sprache!$E$75&amp;"?"</f>
        <v>3. Satz?</v>
      </c>
      <c r="AC11" s="680" t="s">
        <v>385</v>
      </c>
      <c r="AD11" s="680" t="s">
        <v>386</v>
      </c>
      <c r="AE11" s="680" t="s">
        <v>387</v>
      </c>
    </row>
    <row r="12" spans="2:31" ht="24" customHeight="1" x14ac:dyDescent="0.2">
      <c r="B12" s="609"/>
      <c r="C12" s="527" t="s">
        <v>6</v>
      </c>
      <c r="D12" s="693"/>
      <c r="E12" s="681"/>
      <c r="F12" s="431"/>
      <c r="G12" s="694" t="s">
        <v>4</v>
      </c>
      <c r="H12" s="513"/>
      <c r="I12" s="444" t="str">
        <f>IF($F12="","",IFERROR(VLOOKUP($F12,Planung!$B$7:$C$69,2,0),""))</f>
        <v/>
      </c>
      <c r="J12" s="445" t="s">
        <v>4</v>
      </c>
      <c r="K12" s="515" t="str">
        <f>IF($H12="","",IFERROR(VLOOKUP($H12,Planung!$B$7:$C$69,2,0),""))</f>
        <v/>
      </c>
      <c r="L12" s="430"/>
      <c r="M12" s="379" t="str">
        <f>Sprache!$E$90</f>
        <v>:</v>
      </c>
      <c r="N12" s="512"/>
      <c r="O12" s="430"/>
      <c r="P12" s="379" t="str">
        <f>Sprache!$E$90</f>
        <v>:</v>
      </c>
      <c r="Q12" s="512"/>
      <c r="R12" s="668"/>
      <c r="S12" s="379" t="str">
        <f>Sprache!$E$90</f>
        <v>:</v>
      </c>
      <c r="T12" s="669"/>
      <c r="U12" s="683" t="str">
        <f>IF(OR($AC12,AND($AD12,OR($O12&lt;&gt;"",$Q12&lt;&gt;""))),"",IF($X12+$Z12&gt;$Y12+$AA12,$I12,IF($X12+$Z12&lt;$Y12+$AA12,$K12,"")))</f>
        <v/>
      </c>
      <c r="V12" s="665"/>
      <c r="W12" s="523" t="b">
        <f t="shared" ref="W12:W16" si="0">AND(NOT(OR($AC12,$AD12)),$X12=1,$Y12=1)</f>
        <v>0</v>
      </c>
      <c r="X12" s="523">
        <f t="shared" ref="X12:X16" si="1">IF($AC12,0,($L12&gt;$N12)+IF($AD12,0,$O12&gt;$Q12))</f>
        <v>0</v>
      </c>
      <c r="Y12" s="523">
        <f t="shared" ref="Y12:Y16" si="2">IF($AC12,0,($L12&lt;$N12)+IF($AD12,0,$O12&lt;$Q12))</f>
        <v>0</v>
      </c>
      <c r="Z12" s="523">
        <f t="shared" ref="Z12:Z16" si="3">($O12&lt;&gt;"")*($Q12&lt;&gt;"")*($R12&lt;&gt;"")*($T12&lt;&gt;"")*(X12=1)*(Y12=1)*($R12&gt;$T12)</f>
        <v>0</v>
      </c>
      <c r="AA12" s="523">
        <f t="shared" ref="AA12:AA16" si="4">($O12&lt;&gt;"")*($Q12&lt;&gt;"")*($R12&lt;&gt;"")*($T12&lt;&gt;"")*(X12=1)*(Y12=1)*($R12&lt;$T12)</f>
        <v>0</v>
      </c>
      <c r="AB12" s="686"/>
      <c r="AC12" s="523" t="b">
        <f t="shared" ref="AC12:AC16" si="5">OR($I12="",$K12="",$L12="",$N12="",AND($L12&lt;&gt;"",$L12=$N12))</f>
        <v>1</v>
      </c>
      <c r="AD12" s="523" t="b">
        <f t="shared" ref="AD12:AD16" si="6">OR(AC12,$O12="",$Q12="",AND($O12&lt;&gt;"",$O12=$Q12))</f>
        <v>1</v>
      </c>
      <c r="AE12" s="523" t="b">
        <f t="shared" ref="AE12:AE16" si="7">OR($R12="",$T12="",$R12=$T12)</f>
        <v>1</v>
      </c>
    </row>
    <row r="13" spans="2:31" ht="24" customHeight="1" x14ac:dyDescent="0.2">
      <c r="B13" s="609"/>
      <c r="C13" s="528" t="s">
        <v>7</v>
      </c>
      <c r="D13" s="344"/>
      <c r="E13" s="344"/>
      <c r="F13" s="431"/>
      <c r="G13" s="694" t="s">
        <v>4</v>
      </c>
      <c r="H13" s="513"/>
      <c r="I13" s="516" t="str">
        <f>IF($F13="","",IFERROR(VLOOKUP($F13,Planung!$B$7:$C$69,2,0),""))</f>
        <v/>
      </c>
      <c r="J13" s="517" t="s">
        <v>4</v>
      </c>
      <c r="K13" s="518" t="str">
        <f>IF($H13="","",IFERROR(VLOOKUP($H13,Planung!$B$7:$C$69,2,0),""))</f>
        <v/>
      </c>
      <c r="L13" s="431"/>
      <c r="M13" s="432" t="str">
        <f>Sprache!$E$90</f>
        <v>:</v>
      </c>
      <c r="N13" s="513"/>
      <c r="O13" s="431"/>
      <c r="P13" s="432" t="str">
        <f>Sprache!$E$90</f>
        <v>:</v>
      </c>
      <c r="Q13" s="513"/>
      <c r="R13" s="431"/>
      <c r="S13" s="432" t="str">
        <f>Sprache!$E$90</f>
        <v>:</v>
      </c>
      <c r="T13" s="670"/>
      <c r="U13" s="684" t="str">
        <f t="shared" ref="U13:U17" si="8">IF(OR($AC13,AND($AD13,OR($O13&lt;&gt;"",$Q13&lt;&gt;""))),"",IF($X13+$Z13&gt;$Y13+$AA13,$I13,IF($X13+$Z13&lt;$Y13+$AA13,$K13,"")))</f>
        <v/>
      </c>
      <c r="V13" s="665"/>
      <c r="W13" s="523" t="b">
        <f t="shared" si="0"/>
        <v>0</v>
      </c>
      <c r="X13" s="523">
        <f t="shared" si="1"/>
        <v>0</v>
      </c>
      <c r="Y13" s="523">
        <f t="shared" si="2"/>
        <v>0</v>
      </c>
      <c r="Z13" s="523">
        <f t="shared" si="3"/>
        <v>0</v>
      </c>
      <c r="AA13" s="523">
        <f t="shared" si="4"/>
        <v>0</v>
      </c>
      <c r="AB13" s="686"/>
      <c r="AC13" s="523" t="b">
        <f t="shared" si="5"/>
        <v>1</v>
      </c>
      <c r="AD13" s="523" t="b">
        <f t="shared" si="6"/>
        <v>1</v>
      </c>
      <c r="AE13" s="523" t="b">
        <f t="shared" si="7"/>
        <v>1</v>
      </c>
    </row>
    <row r="14" spans="2:31" ht="24" customHeight="1" x14ac:dyDescent="0.2">
      <c r="B14" s="609"/>
      <c r="C14" s="528" t="s">
        <v>8</v>
      </c>
      <c r="D14" s="344"/>
      <c r="E14" s="344"/>
      <c r="F14" s="431"/>
      <c r="G14" s="694" t="s">
        <v>4</v>
      </c>
      <c r="H14" s="513"/>
      <c r="I14" s="516" t="str">
        <f>IF($F14="","",IFERROR(VLOOKUP($F14,Planung!$B$7:$C$69,2,0),""))</f>
        <v/>
      </c>
      <c r="J14" s="517" t="s">
        <v>4</v>
      </c>
      <c r="K14" s="518" t="str">
        <f>IF($H14="","",IFERROR(VLOOKUP($H14,Planung!$B$7:$C$69,2,0),""))</f>
        <v/>
      </c>
      <c r="L14" s="431"/>
      <c r="M14" s="432" t="str">
        <f>Sprache!$E$90</f>
        <v>:</v>
      </c>
      <c r="N14" s="513"/>
      <c r="O14" s="431"/>
      <c r="P14" s="432" t="str">
        <f>Sprache!$E$90</f>
        <v>:</v>
      </c>
      <c r="Q14" s="513"/>
      <c r="R14" s="431"/>
      <c r="S14" s="432" t="str">
        <f>Sprache!$E$90</f>
        <v>:</v>
      </c>
      <c r="T14" s="670"/>
      <c r="U14" s="684" t="str">
        <f t="shared" si="8"/>
        <v/>
      </c>
      <c r="V14" s="665"/>
      <c r="W14" s="523" t="b">
        <f t="shared" si="0"/>
        <v>0</v>
      </c>
      <c r="X14" s="523">
        <f t="shared" si="1"/>
        <v>0</v>
      </c>
      <c r="Y14" s="523">
        <f t="shared" si="2"/>
        <v>0</v>
      </c>
      <c r="Z14" s="523">
        <f t="shared" si="3"/>
        <v>0</v>
      </c>
      <c r="AA14" s="523">
        <f t="shared" si="4"/>
        <v>0</v>
      </c>
      <c r="AB14" s="686"/>
      <c r="AC14" s="523" t="b">
        <f t="shared" si="5"/>
        <v>1</v>
      </c>
      <c r="AD14" s="523" t="b">
        <f t="shared" si="6"/>
        <v>1</v>
      </c>
      <c r="AE14" s="523" t="b">
        <f t="shared" si="7"/>
        <v>1</v>
      </c>
    </row>
    <row r="15" spans="2:31" ht="24" customHeight="1" x14ac:dyDescent="0.2">
      <c r="B15" s="609"/>
      <c r="C15" s="528" t="s">
        <v>9</v>
      </c>
      <c r="D15" s="344"/>
      <c r="E15" s="344"/>
      <c r="F15" s="431"/>
      <c r="G15" s="694" t="s">
        <v>4</v>
      </c>
      <c r="H15" s="513"/>
      <c r="I15" s="516" t="str">
        <f>IF($F15="","",IFERROR(VLOOKUP($F15,Planung!$B$7:$C$69,2,0),""))</f>
        <v/>
      </c>
      <c r="J15" s="517" t="s">
        <v>4</v>
      </c>
      <c r="K15" s="518" t="str">
        <f>IF($H15="","",IFERROR(VLOOKUP($H15,Planung!$B$7:$C$69,2,0),""))</f>
        <v/>
      </c>
      <c r="L15" s="431"/>
      <c r="M15" s="432" t="str">
        <f>Sprache!$E$90</f>
        <v>:</v>
      </c>
      <c r="N15" s="513"/>
      <c r="O15" s="431"/>
      <c r="P15" s="432" t="str">
        <f>Sprache!$E$90</f>
        <v>:</v>
      </c>
      <c r="Q15" s="513"/>
      <c r="R15" s="431"/>
      <c r="S15" s="432" t="str">
        <f>Sprache!$E$90</f>
        <v>:</v>
      </c>
      <c r="T15" s="670"/>
      <c r="U15" s="684" t="str">
        <f t="shared" si="8"/>
        <v/>
      </c>
      <c r="V15" s="665"/>
      <c r="W15" s="523" t="b">
        <f t="shared" si="0"/>
        <v>0</v>
      </c>
      <c r="X15" s="523">
        <f t="shared" si="1"/>
        <v>0</v>
      </c>
      <c r="Y15" s="523">
        <f t="shared" si="2"/>
        <v>0</v>
      </c>
      <c r="Z15" s="523">
        <f t="shared" si="3"/>
        <v>0</v>
      </c>
      <c r="AA15" s="523">
        <f t="shared" si="4"/>
        <v>0</v>
      </c>
      <c r="AB15" s="686"/>
      <c r="AC15" s="523" t="b">
        <f t="shared" si="5"/>
        <v>1</v>
      </c>
      <c r="AD15" s="523" t="b">
        <f t="shared" si="6"/>
        <v>1</v>
      </c>
      <c r="AE15" s="523" t="b">
        <f t="shared" si="7"/>
        <v>1</v>
      </c>
    </row>
    <row r="16" spans="2:31" ht="24" customHeight="1" x14ac:dyDescent="0.2">
      <c r="B16" s="609"/>
      <c r="C16" s="528" t="s">
        <v>10</v>
      </c>
      <c r="D16" s="344"/>
      <c r="E16" s="344"/>
      <c r="F16" s="431"/>
      <c r="G16" s="694" t="s">
        <v>4</v>
      </c>
      <c r="H16" s="513"/>
      <c r="I16" s="516" t="str">
        <f>IF($F16="","",IFERROR(VLOOKUP($F16,Planung!$B$7:$C$69,2,0),""))</f>
        <v/>
      </c>
      <c r="J16" s="517" t="s">
        <v>4</v>
      </c>
      <c r="K16" s="518" t="str">
        <f>IF($H16="","",IFERROR(VLOOKUP($H16,Planung!$B$7:$C$69,2,0),""))</f>
        <v/>
      </c>
      <c r="L16" s="431"/>
      <c r="M16" s="432" t="str">
        <f>Sprache!$E$90</f>
        <v>:</v>
      </c>
      <c r="N16" s="513"/>
      <c r="O16" s="431"/>
      <c r="P16" s="432" t="str">
        <f>Sprache!$E$90</f>
        <v>:</v>
      </c>
      <c r="Q16" s="513"/>
      <c r="R16" s="431"/>
      <c r="S16" s="432" t="str">
        <f>Sprache!$E$90</f>
        <v>:</v>
      </c>
      <c r="T16" s="670"/>
      <c r="U16" s="684" t="str">
        <f t="shared" si="8"/>
        <v/>
      </c>
      <c r="V16" s="665"/>
      <c r="W16" s="523" t="b">
        <f t="shared" si="0"/>
        <v>0</v>
      </c>
      <c r="X16" s="523">
        <f t="shared" si="1"/>
        <v>0</v>
      </c>
      <c r="Y16" s="523">
        <f t="shared" si="2"/>
        <v>0</v>
      </c>
      <c r="Z16" s="523">
        <f t="shared" si="3"/>
        <v>0</v>
      </c>
      <c r="AA16" s="523">
        <f t="shared" si="4"/>
        <v>0</v>
      </c>
      <c r="AB16" s="686"/>
      <c r="AC16" s="523" t="b">
        <f t="shared" si="5"/>
        <v>1</v>
      </c>
      <c r="AD16" s="523" t="b">
        <f t="shared" si="6"/>
        <v>1</v>
      </c>
      <c r="AE16" s="523" t="b">
        <f t="shared" si="7"/>
        <v>1</v>
      </c>
    </row>
    <row r="17" spans="2:31" ht="24" customHeight="1" thickBot="1" x14ac:dyDescent="0.25">
      <c r="B17" s="609"/>
      <c r="C17" s="529" t="s">
        <v>11</v>
      </c>
      <c r="D17" s="345"/>
      <c r="E17" s="345"/>
      <c r="F17" s="433"/>
      <c r="G17" s="695" t="s">
        <v>4</v>
      </c>
      <c r="H17" s="514"/>
      <c r="I17" s="507" t="str">
        <f>IF($F17="","",IFERROR(VLOOKUP($F17,Planung!$B$7:$C$69,2,0),""))</f>
        <v/>
      </c>
      <c r="J17" s="508" t="s">
        <v>4</v>
      </c>
      <c r="K17" s="519" t="str">
        <f>IF($H17="","",IFERROR(VLOOKUP($H17,Planung!$B$7:$C$69,2,0),""))</f>
        <v/>
      </c>
      <c r="L17" s="433"/>
      <c r="M17" s="373" t="str">
        <f>Sprache!$E$90</f>
        <v>:</v>
      </c>
      <c r="N17" s="514"/>
      <c r="O17" s="433"/>
      <c r="P17" s="373" t="str">
        <f>Sprache!$E$90</f>
        <v>:</v>
      </c>
      <c r="Q17" s="514"/>
      <c r="R17" s="433"/>
      <c r="S17" s="373" t="str">
        <f>Sprache!$E$90</f>
        <v>:</v>
      </c>
      <c r="T17" s="671"/>
      <c r="U17" s="685" t="str">
        <f t="shared" si="8"/>
        <v/>
      </c>
      <c r="V17" s="665"/>
      <c r="W17" s="523" t="b">
        <f>AND(NOT(OR($AC17,$AD17)),$X17=1,$Y17=1)</f>
        <v>0</v>
      </c>
      <c r="X17" s="523">
        <f>IF($AC17,0,($L17&gt;$N17)+IF($AD17,0,$O17&gt;$Q17))</f>
        <v>0</v>
      </c>
      <c r="Y17" s="523">
        <f>IF($AC17,0,($L17&lt;$N17)+IF($AD17,0,$O17&lt;$Q17))</f>
        <v>0</v>
      </c>
      <c r="Z17" s="523">
        <f>($O17&lt;&gt;"")*($Q17&lt;&gt;"")*($R17&lt;&gt;"")*($T17&lt;&gt;"")*(X17=1)*(Y17=1)*($R17&gt;$T17)</f>
        <v>0</v>
      </c>
      <c r="AA17" s="523">
        <f>($O17&lt;&gt;"")*($Q17&lt;&gt;"")*($R17&lt;&gt;"")*($T17&lt;&gt;"")*(X17=1)*(Y17=1)*($R17&lt;$T17)</f>
        <v>0</v>
      </c>
      <c r="AB17" s="686"/>
      <c r="AC17" s="523" t="b">
        <f>OR($I17="",$K17="",$L17="",$N17="",AND($L17&lt;&gt;"",$L17=$N17))</f>
        <v>1</v>
      </c>
      <c r="AD17" s="523" t="b">
        <f>OR(AC17,$O17="",$Q17="",AND($O17&lt;&gt;"",$O17=$Q17))</f>
        <v>1</v>
      </c>
      <c r="AE17" s="523" t="b">
        <f>OR($R17="",$T17="",$R17=$T17)</f>
        <v>1</v>
      </c>
    </row>
    <row r="18" spans="2:31" ht="24" customHeight="1" thickTop="1" x14ac:dyDescent="0.25">
      <c r="B18" s="325"/>
      <c r="C18" s="476"/>
      <c r="D18" s="477"/>
      <c r="E18" s="478"/>
      <c r="F18" s="479"/>
      <c r="G18" s="480"/>
      <c r="H18" s="481"/>
      <c r="I18" s="524" t="s">
        <v>250</v>
      </c>
      <c r="J18" s="482"/>
      <c r="K18" s="524" t="s">
        <v>250</v>
      </c>
      <c r="L18" s="483"/>
      <c r="M18" s="360"/>
      <c r="N18" s="484"/>
      <c r="O18" s="485"/>
      <c r="P18" s="485"/>
      <c r="Q18" s="485"/>
      <c r="R18" s="485"/>
      <c r="S18" s="485"/>
      <c r="T18" s="485"/>
      <c r="U18" s="665"/>
      <c r="V18" s="665"/>
    </row>
    <row r="19" spans="2:31" ht="39" customHeight="1" x14ac:dyDescent="0.2"/>
    <row r="20" spans="2:31" ht="24" customHeight="1" x14ac:dyDescent="0.2">
      <c r="H20" s="889" t="str">
        <f>Sprache!$E$77</f>
        <v>Tie Break Endrunde 4</v>
      </c>
      <c r="I20" s="889"/>
      <c r="J20" s="889"/>
      <c r="K20" s="889"/>
      <c r="L20" s="889"/>
      <c r="M20" s="889"/>
      <c r="N20" s="889"/>
      <c r="O20" s="889"/>
      <c r="P20" s="889"/>
      <c r="Q20" s="889"/>
      <c r="R20" s="889"/>
      <c r="S20" s="889"/>
      <c r="T20" s="889"/>
    </row>
    <row r="21" spans="2:31" ht="24" customHeight="1" x14ac:dyDescent="0.2">
      <c r="H21" s="889"/>
      <c r="I21" s="889"/>
      <c r="J21" s="889"/>
      <c r="K21" s="889"/>
      <c r="L21" s="889"/>
      <c r="M21" s="889"/>
      <c r="N21" s="889"/>
      <c r="O21" s="889"/>
      <c r="P21" s="889"/>
      <c r="Q21" s="889"/>
      <c r="R21" s="889"/>
      <c r="S21" s="889"/>
      <c r="T21" s="889"/>
    </row>
    <row r="22" spans="2:31" ht="12.75" customHeight="1" x14ac:dyDescent="0.2"/>
    <row r="23" spans="2:31" ht="24" customHeight="1" thickBot="1" x14ac:dyDescent="0.3">
      <c r="C23" s="816"/>
      <c r="D23" s="816"/>
      <c r="E23" s="324"/>
      <c r="F23" s="324"/>
      <c r="G23" s="324"/>
      <c r="H23" s="324"/>
      <c r="I23" s="324"/>
      <c r="J23" s="324"/>
      <c r="K23" s="324"/>
      <c r="L23" s="418"/>
      <c r="M23" s="418"/>
      <c r="N23" s="418"/>
      <c r="O23" s="511"/>
      <c r="P23" s="510"/>
      <c r="Q23" s="728"/>
      <c r="R23" s="728"/>
      <c r="S23" s="728"/>
      <c r="T23" s="728"/>
      <c r="U23" s="290"/>
    </row>
    <row r="24" spans="2:31" ht="24" customHeight="1" thickTop="1" x14ac:dyDescent="0.2">
      <c r="C24" s="419" t="str">
        <f>Sprache!$E$33</f>
        <v>Spiel-Nr.</v>
      </c>
      <c r="D24" s="727" t="str">
        <f>Sprache!$E$39</f>
        <v>Beginn:</v>
      </c>
      <c r="E24" s="727" t="str">
        <f>Sprache!$E$48</f>
        <v>Feld</v>
      </c>
      <c r="F24" s="894" t="str">
        <f>Sprache!$E$114</f>
        <v>Team-Kürzel</v>
      </c>
      <c r="G24" s="895"/>
      <c r="H24" s="896"/>
      <c r="I24" s="894" t="str">
        <f>Sprache!$E$14</f>
        <v>Spielpaarung</v>
      </c>
      <c r="J24" s="895"/>
      <c r="K24" s="896"/>
      <c r="L24" s="890" t="str">
        <f>Sprache!$E$72</f>
        <v>1. Satz</v>
      </c>
      <c r="M24" s="891"/>
      <c r="N24" s="892"/>
      <c r="O24" s="890" t="str">
        <f>Sprache!$E$73</f>
        <v>2. Satz</v>
      </c>
      <c r="P24" s="891"/>
      <c r="Q24" s="892"/>
      <c r="R24" s="890" t="str">
        <f>Sprache!$E$75</f>
        <v>3. Satz</v>
      </c>
      <c r="S24" s="891"/>
      <c r="T24" s="893"/>
      <c r="U24" s="682" t="str">
        <f>Sprache!$E$76</f>
        <v>Sieger</v>
      </c>
      <c r="W24" s="680" t="str">
        <f>Sprache!$E$75&amp;"?"</f>
        <v>3. Satz?</v>
      </c>
      <c r="AC24" s="680" t="s">
        <v>385</v>
      </c>
      <c r="AD24" s="680" t="s">
        <v>386</v>
      </c>
      <c r="AE24" s="680" t="s">
        <v>387</v>
      </c>
    </row>
    <row r="25" spans="2:31" ht="24" customHeight="1" x14ac:dyDescent="0.2">
      <c r="C25" s="527" t="s">
        <v>6</v>
      </c>
      <c r="D25" s="693"/>
      <c r="E25" s="681"/>
      <c r="F25" s="431"/>
      <c r="G25" s="694" t="s">
        <v>4</v>
      </c>
      <c r="H25" s="513"/>
      <c r="I25" s="444" t="str">
        <f>IF($F25="","",IFERROR(VLOOKUP($F25,Planung!$B$7:$C$69,2,0),""))</f>
        <v/>
      </c>
      <c r="J25" s="445" t="s">
        <v>4</v>
      </c>
      <c r="K25" s="515" t="str">
        <f>IF($H25="","",IFERROR(VLOOKUP($H25,Planung!$B$7:$C$69,2,0),""))</f>
        <v/>
      </c>
      <c r="L25" s="430"/>
      <c r="M25" s="379" t="str">
        <f>Sprache!$E$90</f>
        <v>:</v>
      </c>
      <c r="N25" s="512"/>
      <c r="O25" s="430"/>
      <c r="P25" s="379" t="str">
        <f>Sprache!$E$90</f>
        <v>:</v>
      </c>
      <c r="Q25" s="512"/>
      <c r="R25" s="668"/>
      <c r="S25" s="379" t="str">
        <f>Sprache!$E$90</f>
        <v>:</v>
      </c>
      <c r="T25" s="669"/>
      <c r="U25" s="683" t="str">
        <f>IF(OR($AC25,AND($AD25,OR($O25&lt;&gt;"",$Q25&lt;&gt;""))),"",IF($X25+$Z25&gt;$Y25+$AA25,$I25,IF($X25+$Z25&lt;$Y25+$AA25,$K25,"")))</f>
        <v/>
      </c>
      <c r="W25" s="523" t="b">
        <f t="shared" ref="W25:W29" si="9">AND(NOT(OR($AC25,$AD25)),$X25=1,$Y25=1)</f>
        <v>0</v>
      </c>
      <c r="X25" s="523">
        <f t="shared" ref="X25:X29" si="10">IF($AC25,0,($L25&gt;$N25)+IF($AD25,0,$O25&gt;$Q25))</f>
        <v>0</v>
      </c>
      <c r="Y25" s="523">
        <f t="shared" ref="Y25:Y29" si="11">IF($AC25,0,($L25&lt;$N25)+IF($AD25,0,$O25&lt;$Q25))</f>
        <v>0</v>
      </c>
      <c r="Z25" s="523">
        <f t="shared" ref="Z25:Z29" si="12">($O25&lt;&gt;"")*($Q25&lt;&gt;"")*($R25&lt;&gt;"")*($T25&lt;&gt;"")*(X25=1)*(Y25=1)*($R25&gt;$T25)</f>
        <v>0</v>
      </c>
      <c r="AA25" s="523">
        <f t="shared" ref="AA25:AA29" si="13">($O25&lt;&gt;"")*($Q25&lt;&gt;"")*($R25&lt;&gt;"")*($T25&lt;&gt;"")*(X25=1)*(Y25=1)*($R25&lt;$T25)</f>
        <v>0</v>
      </c>
      <c r="AB25" s="686"/>
      <c r="AC25" s="523" t="b">
        <f t="shared" ref="AC25:AC29" si="14">OR($I25="",$K25="",$L25="",$N25="",AND($L25&lt;&gt;"",$L25=$N25))</f>
        <v>1</v>
      </c>
      <c r="AD25" s="523" t="b">
        <f t="shared" ref="AD25:AD29" si="15">OR(AC25,$O25="",$Q25="",AND($O25&lt;&gt;"",$O25=$Q25))</f>
        <v>1</v>
      </c>
      <c r="AE25" s="523" t="b">
        <f t="shared" ref="AE25:AE29" si="16">OR($R25="",$T25="",$R25=$T25)</f>
        <v>1</v>
      </c>
    </row>
    <row r="26" spans="2:31" ht="24" customHeight="1" x14ac:dyDescent="0.2">
      <c r="C26" s="528" t="s">
        <v>7</v>
      </c>
      <c r="D26" s="344"/>
      <c r="E26" s="344"/>
      <c r="F26" s="431"/>
      <c r="G26" s="694" t="s">
        <v>4</v>
      </c>
      <c r="H26" s="513"/>
      <c r="I26" s="516" t="str">
        <f>IF($F26="","",IFERROR(VLOOKUP($F26,Planung!$B$7:$C$69,2,0),""))</f>
        <v/>
      </c>
      <c r="J26" s="517" t="s">
        <v>4</v>
      </c>
      <c r="K26" s="518" t="str">
        <f>IF($H26="","",IFERROR(VLOOKUP($H26,Planung!$B$7:$C$69,2,0),""))</f>
        <v/>
      </c>
      <c r="L26" s="431"/>
      <c r="M26" s="432" t="str">
        <f>Sprache!$E$90</f>
        <v>:</v>
      </c>
      <c r="N26" s="513"/>
      <c r="O26" s="431"/>
      <c r="P26" s="432" t="str">
        <f>Sprache!$E$90</f>
        <v>:</v>
      </c>
      <c r="Q26" s="513"/>
      <c r="R26" s="431"/>
      <c r="S26" s="432" t="str">
        <f>Sprache!$E$90</f>
        <v>:</v>
      </c>
      <c r="T26" s="670"/>
      <c r="U26" s="684" t="str">
        <f t="shared" ref="U26:U30" si="17">IF(OR($AC26,AND($AD26,OR($O26&lt;&gt;"",$Q26&lt;&gt;""))),"",IF($X26+$Z26&gt;$Y26+$AA26,$I26,IF($X26+$Z26&lt;$Y26+$AA26,$K26,"")))</f>
        <v/>
      </c>
      <c r="W26" s="523" t="b">
        <f t="shared" si="9"/>
        <v>0</v>
      </c>
      <c r="X26" s="523">
        <f t="shared" si="10"/>
        <v>0</v>
      </c>
      <c r="Y26" s="523">
        <f t="shared" si="11"/>
        <v>0</v>
      </c>
      <c r="Z26" s="523">
        <f t="shared" si="12"/>
        <v>0</v>
      </c>
      <c r="AA26" s="523">
        <f t="shared" si="13"/>
        <v>0</v>
      </c>
      <c r="AB26" s="686"/>
      <c r="AC26" s="523" t="b">
        <f t="shared" si="14"/>
        <v>1</v>
      </c>
      <c r="AD26" s="523" t="b">
        <f t="shared" si="15"/>
        <v>1</v>
      </c>
      <c r="AE26" s="523" t="b">
        <f t="shared" si="16"/>
        <v>1</v>
      </c>
    </row>
    <row r="27" spans="2:31" ht="24" customHeight="1" x14ac:dyDescent="0.2">
      <c r="C27" s="528" t="s">
        <v>8</v>
      </c>
      <c r="D27" s="344"/>
      <c r="E27" s="344"/>
      <c r="F27" s="431"/>
      <c r="G27" s="694" t="s">
        <v>4</v>
      </c>
      <c r="H27" s="513"/>
      <c r="I27" s="516" t="str">
        <f>IF($F27="","",IFERROR(VLOOKUP($F27,Planung!$B$7:$C$69,2,0),""))</f>
        <v/>
      </c>
      <c r="J27" s="517" t="s">
        <v>4</v>
      </c>
      <c r="K27" s="518" t="str">
        <f>IF($H27="","",IFERROR(VLOOKUP($H27,Planung!$B$7:$C$69,2,0),""))</f>
        <v/>
      </c>
      <c r="L27" s="431"/>
      <c r="M27" s="432" t="str">
        <f>Sprache!$E$90</f>
        <v>:</v>
      </c>
      <c r="N27" s="513"/>
      <c r="O27" s="431"/>
      <c r="P27" s="432" t="str">
        <f>Sprache!$E$90</f>
        <v>:</v>
      </c>
      <c r="Q27" s="513"/>
      <c r="R27" s="431"/>
      <c r="S27" s="432" t="str">
        <f>Sprache!$E$90</f>
        <v>:</v>
      </c>
      <c r="T27" s="670"/>
      <c r="U27" s="684" t="str">
        <f t="shared" si="17"/>
        <v/>
      </c>
      <c r="W27" s="523" t="b">
        <f t="shared" si="9"/>
        <v>0</v>
      </c>
      <c r="X27" s="523">
        <f t="shared" si="10"/>
        <v>0</v>
      </c>
      <c r="Y27" s="523">
        <f t="shared" si="11"/>
        <v>0</v>
      </c>
      <c r="Z27" s="523">
        <f t="shared" si="12"/>
        <v>0</v>
      </c>
      <c r="AA27" s="523">
        <f t="shared" si="13"/>
        <v>0</v>
      </c>
      <c r="AB27" s="686"/>
      <c r="AC27" s="523" t="b">
        <f t="shared" si="14"/>
        <v>1</v>
      </c>
      <c r="AD27" s="523" t="b">
        <f t="shared" si="15"/>
        <v>1</v>
      </c>
      <c r="AE27" s="523" t="b">
        <f t="shared" si="16"/>
        <v>1</v>
      </c>
    </row>
    <row r="28" spans="2:31" ht="24" customHeight="1" x14ac:dyDescent="0.2">
      <c r="C28" s="528" t="s">
        <v>9</v>
      </c>
      <c r="D28" s="344"/>
      <c r="E28" s="344"/>
      <c r="F28" s="431"/>
      <c r="G28" s="694" t="s">
        <v>4</v>
      </c>
      <c r="H28" s="513"/>
      <c r="I28" s="516" t="str">
        <f>IF($F28="","",IFERROR(VLOOKUP($F28,Planung!$B$7:$C$69,2,0),""))</f>
        <v/>
      </c>
      <c r="J28" s="517" t="s">
        <v>4</v>
      </c>
      <c r="K28" s="518" t="str">
        <f>IF($H28="","",IFERROR(VLOOKUP($H28,Planung!$B$7:$C$69,2,0),""))</f>
        <v/>
      </c>
      <c r="L28" s="431"/>
      <c r="M28" s="432" t="str">
        <f>Sprache!$E$90</f>
        <v>:</v>
      </c>
      <c r="N28" s="513"/>
      <c r="O28" s="431"/>
      <c r="P28" s="432" t="str">
        <f>Sprache!$E$90</f>
        <v>:</v>
      </c>
      <c r="Q28" s="513"/>
      <c r="R28" s="431"/>
      <c r="S28" s="432" t="str">
        <f>Sprache!$E$90</f>
        <v>:</v>
      </c>
      <c r="T28" s="670"/>
      <c r="U28" s="684" t="str">
        <f t="shared" si="17"/>
        <v/>
      </c>
      <c r="W28" s="523" t="b">
        <f t="shared" si="9"/>
        <v>0</v>
      </c>
      <c r="X28" s="523">
        <f t="shared" si="10"/>
        <v>0</v>
      </c>
      <c r="Y28" s="523">
        <f t="shared" si="11"/>
        <v>0</v>
      </c>
      <c r="Z28" s="523">
        <f t="shared" si="12"/>
        <v>0</v>
      </c>
      <c r="AA28" s="523">
        <f t="shared" si="13"/>
        <v>0</v>
      </c>
      <c r="AB28" s="686"/>
      <c r="AC28" s="523" t="b">
        <f t="shared" si="14"/>
        <v>1</v>
      </c>
      <c r="AD28" s="523" t="b">
        <f t="shared" si="15"/>
        <v>1</v>
      </c>
      <c r="AE28" s="523" t="b">
        <f t="shared" si="16"/>
        <v>1</v>
      </c>
    </row>
    <row r="29" spans="2:31" ht="24" customHeight="1" x14ac:dyDescent="0.2">
      <c r="C29" s="528" t="s">
        <v>10</v>
      </c>
      <c r="D29" s="344"/>
      <c r="E29" s="344"/>
      <c r="F29" s="431"/>
      <c r="G29" s="694" t="s">
        <v>4</v>
      </c>
      <c r="H29" s="513"/>
      <c r="I29" s="516" t="str">
        <f>IF($F29="","",IFERROR(VLOOKUP($F29,Planung!$B$7:$C$69,2,0),""))</f>
        <v/>
      </c>
      <c r="J29" s="517" t="s">
        <v>4</v>
      </c>
      <c r="K29" s="518" t="str">
        <f>IF($H29="","",IFERROR(VLOOKUP($H29,Planung!$B$7:$C$69,2,0),""))</f>
        <v/>
      </c>
      <c r="L29" s="431"/>
      <c r="M29" s="432" t="str">
        <f>Sprache!$E$90</f>
        <v>:</v>
      </c>
      <c r="N29" s="513"/>
      <c r="O29" s="431"/>
      <c r="P29" s="432" t="str">
        <f>Sprache!$E$90</f>
        <v>:</v>
      </c>
      <c r="Q29" s="513"/>
      <c r="R29" s="431"/>
      <c r="S29" s="432" t="str">
        <f>Sprache!$E$90</f>
        <v>:</v>
      </c>
      <c r="T29" s="670"/>
      <c r="U29" s="684" t="str">
        <f t="shared" si="17"/>
        <v/>
      </c>
      <c r="W29" s="523" t="b">
        <f t="shared" si="9"/>
        <v>0</v>
      </c>
      <c r="X29" s="523">
        <f t="shared" si="10"/>
        <v>0</v>
      </c>
      <c r="Y29" s="523">
        <f t="shared" si="11"/>
        <v>0</v>
      </c>
      <c r="Z29" s="523">
        <f t="shared" si="12"/>
        <v>0</v>
      </c>
      <c r="AA29" s="523">
        <f t="shared" si="13"/>
        <v>0</v>
      </c>
      <c r="AB29" s="686"/>
      <c r="AC29" s="523" t="b">
        <f t="shared" si="14"/>
        <v>1</v>
      </c>
      <c r="AD29" s="523" t="b">
        <f t="shared" si="15"/>
        <v>1</v>
      </c>
      <c r="AE29" s="523" t="b">
        <f t="shared" si="16"/>
        <v>1</v>
      </c>
    </row>
    <row r="30" spans="2:31" ht="24" customHeight="1" thickBot="1" x14ac:dyDescent="0.25">
      <c r="C30" s="529" t="s">
        <v>11</v>
      </c>
      <c r="D30" s="345"/>
      <c r="E30" s="345"/>
      <c r="F30" s="433"/>
      <c r="G30" s="695" t="s">
        <v>4</v>
      </c>
      <c r="H30" s="514"/>
      <c r="I30" s="507" t="str">
        <f>IF($F30="","",IFERROR(VLOOKUP($F30,Planung!$B$7:$C$69,2,0),""))</f>
        <v/>
      </c>
      <c r="J30" s="508" t="s">
        <v>4</v>
      </c>
      <c r="K30" s="519" t="str">
        <f>IF($H30="","",IFERROR(VLOOKUP($H30,Planung!$B$7:$C$69,2,0),""))</f>
        <v/>
      </c>
      <c r="L30" s="433"/>
      <c r="M30" s="373" t="str">
        <f>Sprache!$E$90</f>
        <v>:</v>
      </c>
      <c r="N30" s="514"/>
      <c r="O30" s="433"/>
      <c r="P30" s="373" t="str">
        <f>Sprache!$E$90</f>
        <v>:</v>
      </c>
      <c r="Q30" s="514"/>
      <c r="R30" s="433"/>
      <c r="S30" s="373" t="str">
        <f>Sprache!$E$90</f>
        <v>:</v>
      </c>
      <c r="T30" s="671"/>
      <c r="U30" s="685" t="str">
        <f t="shared" si="17"/>
        <v/>
      </c>
      <c r="W30" s="523" t="b">
        <f>AND(NOT(OR($AC30,$AD30)),$X30=1,$Y30=1)</f>
        <v>0</v>
      </c>
      <c r="X30" s="523">
        <f>IF($AC30,0,($L30&gt;$N30)+IF($AD30,0,$O30&gt;$Q30))</f>
        <v>0</v>
      </c>
      <c r="Y30" s="523">
        <f>IF($AC30,0,($L30&lt;$N30)+IF($AD30,0,$O30&lt;$Q30))</f>
        <v>0</v>
      </c>
      <c r="Z30" s="523">
        <f>($O30&lt;&gt;"")*($Q30&lt;&gt;"")*($R30&lt;&gt;"")*($T30&lt;&gt;"")*(X30=1)*(Y30=1)*($R30&gt;$T30)</f>
        <v>0</v>
      </c>
      <c r="AA30" s="523">
        <f>($O30&lt;&gt;"")*($Q30&lt;&gt;"")*($R30&lt;&gt;"")*($T30&lt;&gt;"")*(X30=1)*(Y30=1)*($R30&lt;$T30)</f>
        <v>0</v>
      </c>
      <c r="AB30" s="686"/>
      <c r="AC30" s="523" t="b">
        <f>OR($I30="",$K30="",$L30="",$N30="",AND($L30&lt;&gt;"",$L30=$N30))</f>
        <v>1</v>
      </c>
      <c r="AD30" s="523" t="b">
        <f>OR(AC30,$O30="",$Q30="",AND($O30&lt;&gt;"",$O30=$Q30))</f>
        <v>1</v>
      </c>
      <c r="AE30" s="523" t="b">
        <f>OR($R30="",$T30="",$R30=$T30)</f>
        <v>1</v>
      </c>
    </row>
    <row r="31" spans="2:31" ht="24" customHeight="1" thickTop="1" x14ac:dyDescent="0.2"/>
    <row r="32" spans="2:31" ht="12.75" customHeight="1" x14ac:dyDescent="0.2"/>
    <row r="33" ht="12.75" customHeight="1" x14ac:dyDescent="0.2"/>
    <row r="34" ht="12.75"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sheetData>
  <sheetProtection sheet="1" selectLockedCells="1"/>
  <mergeCells count="19">
    <mergeCell ref="H20:T21"/>
    <mergeCell ref="C23:D23"/>
    <mergeCell ref="F24:H24"/>
    <mergeCell ref="I24:K24"/>
    <mergeCell ref="L24:N24"/>
    <mergeCell ref="O24:Q24"/>
    <mergeCell ref="R24:T24"/>
    <mergeCell ref="O11:Q11"/>
    <mergeCell ref="R11:T11"/>
    <mergeCell ref="C10:D10"/>
    <mergeCell ref="F11:H11"/>
    <mergeCell ref="I11:K11"/>
    <mergeCell ref="L11:N11"/>
    <mergeCell ref="F10:H10"/>
    <mergeCell ref="F2:U2"/>
    <mergeCell ref="F3:U3"/>
    <mergeCell ref="F4:U4"/>
    <mergeCell ref="F5:U5"/>
    <mergeCell ref="H7:T8"/>
  </mergeCells>
  <conditionalFormatting sqref="R12:T17">
    <cfRule type="expression" dxfId="29" priority="3">
      <formula>NOT($W12)</formula>
    </cfRule>
  </conditionalFormatting>
  <conditionalFormatting sqref="R25:T30">
    <cfRule type="expression" dxfId="28" priority="2">
      <formula>NOT($W25)</formula>
    </cfRule>
  </conditionalFormatting>
  <conditionalFormatting sqref="R12:T17 R25:T30">
    <cfRule type="expression" dxfId="27" priority="1">
      <formula>AND($R12&lt;&gt;"",$T12&lt;&gt;"",$R12=$T12,$W12)</formula>
    </cfRule>
  </conditionalFormatting>
  <dataValidations count="1">
    <dataValidation allowBlank="1" showInputMessage="1" showErrorMessage="1" errorTitle="Unzulässige Teilnehmernummer" error="Es müssen Zahlen von 1 bis 9 eingetragen werden!" sqref="F12:F18 H12:H18 F25:F30 H25:H30" xr:uid="{8C9980BF-7D80-469C-ACDC-953A553F8C3A}"/>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J81"/>
  <sheetViews>
    <sheetView showGridLines="0" showRowColHeaders="0" zoomScaleNormal="100" workbookViewId="0">
      <selection activeCell="L12" sqref="L12"/>
    </sheetView>
  </sheetViews>
  <sheetFormatPr baseColWidth="10" defaultColWidth="0" defaultRowHeight="12.75" zeroHeight="1" x14ac:dyDescent="0.2"/>
  <cols>
    <col min="1" max="1" width="7.570312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68" customWidth="1"/>
    <col min="17" max="18" width="4.7109375" style="47" customWidth="1"/>
    <col min="19" max="19" width="2.7109375" style="47" customWidth="1"/>
    <col min="20" max="20" width="4.7109375" style="47" customWidth="1"/>
    <col min="21" max="21" width="15.7109375" style="47" customWidth="1"/>
    <col min="22" max="22" width="8.140625" style="47" customWidth="1"/>
    <col min="23" max="23" width="8.7109375" style="47" customWidth="1"/>
    <col min="24" max="24" width="7" style="47" customWidth="1"/>
    <col min="25" max="25" width="36.7109375" style="47" customWidth="1"/>
    <col min="26" max="26" width="6.7109375" style="47" customWidth="1"/>
    <col min="27" max="27" width="19.85546875" style="47" hidden="1" customWidth="1"/>
    <col min="28" max="28" width="18" style="47" hidden="1" customWidth="1"/>
    <col min="29" max="29" width="8.42578125" style="47" hidden="1" customWidth="1"/>
    <col min="30" max="30" width="17.42578125" style="47" hidden="1" customWidth="1"/>
    <col min="31" max="31" width="18" style="47" hidden="1" customWidth="1"/>
    <col min="32" max="33" width="9.140625" style="47" hidden="1" customWidth="1"/>
    <col min="34" max="34" width="8.85546875" style="47" hidden="1" customWidth="1"/>
    <col min="35" max="35" width="5.140625" style="47" hidden="1" customWidth="1"/>
    <col min="36" max="36" width="5.42578125" style="47" hidden="1" customWidth="1"/>
    <col min="37" max="16384" width="11.42578125" style="47" hidden="1"/>
  </cols>
  <sheetData>
    <row r="1" spans="2:36" ht="13.5" thickBot="1" x14ac:dyDescent="0.25"/>
    <row r="2" spans="2:36" ht="36" customHeight="1" thickTop="1" x14ac:dyDescent="0.2">
      <c r="F2" s="877" t="str">
        <f>Vorrunde!$G$2</f>
        <v>Internationales U10-Turnier am 13.04.2025</v>
      </c>
      <c r="G2" s="878"/>
      <c r="H2" s="878"/>
      <c r="I2" s="878"/>
      <c r="J2" s="878"/>
      <c r="K2" s="878"/>
      <c r="L2" s="878"/>
      <c r="M2" s="878"/>
      <c r="N2" s="878"/>
      <c r="O2" s="878"/>
      <c r="P2" s="878"/>
      <c r="Q2" s="878"/>
      <c r="R2" s="878"/>
      <c r="S2" s="878"/>
      <c r="T2" s="878"/>
      <c r="U2" s="878"/>
      <c r="V2" s="878"/>
      <c r="W2" s="879"/>
      <c r="X2" s="791"/>
      <c r="Y2" s="546"/>
      <c r="Z2" s="546"/>
      <c r="AA2" s="546"/>
    </row>
    <row r="3" spans="2:36" ht="30" customHeight="1" x14ac:dyDescent="0.2">
      <c r="F3" s="880" t="str">
        <f>Vorrunde!$G$3</f>
        <v>Veranstalter:  1. FC Riedwald</v>
      </c>
      <c r="G3" s="881"/>
      <c r="H3" s="881"/>
      <c r="I3" s="881"/>
      <c r="J3" s="881"/>
      <c r="K3" s="881"/>
      <c r="L3" s="881"/>
      <c r="M3" s="881"/>
      <c r="N3" s="881"/>
      <c r="O3" s="881"/>
      <c r="P3" s="881"/>
      <c r="Q3" s="881"/>
      <c r="R3" s="881"/>
      <c r="S3" s="881"/>
      <c r="T3" s="881"/>
      <c r="U3" s="881"/>
      <c r="V3" s="881"/>
      <c r="W3" s="882"/>
      <c r="X3" s="792"/>
      <c r="Y3" s="547"/>
      <c r="Z3" s="547"/>
      <c r="AA3" s="547"/>
    </row>
    <row r="4" spans="2:36" ht="30" customHeight="1" x14ac:dyDescent="0.2">
      <c r="F4" s="883" t="str">
        <f>Vorrunde!$G$4</f>
        <v>Sporthalle Wiesengrund, Wendiger Str. 51, 65432 Riedwald</v>
      </c>
      <c r="G4" s="884"/>
      <c r="H4" s="884"/>
      <c r="I4" s="884"/>
      <c r="J4" s="884"/>
      <c r="K4" s="884"/>
      <c r="L4" s="884"/>
      <c r="M4" s="884"/>
      <c r="N4" s="884"/>
      <c r="O4" s="884"/>
      <c r="P4" s="884"/>
      <c r="Q4" s="884"/>
      <c r="R4" s="884"/>
      <c r="S4" s="884"/>
      <c r="T4" s="884"/>
      <c r="U4" s="884"/>
      <c r="V4" s="884"/>
      <c r="W4" s="885"/>
      <c r="X4" s="793"/>
      <c r="Y4" s="548"/>
      <c r="Z4" s="548"/>
      <c r="AA4" s="548"/>
    </row>
    <row r="5" spans="2:36" ht="30" customHeight="1" thickBot="1" x14ac:dyDescent="0.25">
      <c r="F5" s="886" t="str">
        <f>Vorrunde!$G$5</f>
        <v>Beginn:  9:00 Uhr</v>
      </c>
      <c r="G5" s="887"/>
      <c r="H5" s="887"/>
      <c r="I5" s="887"/>
      <c r="J5" s="887"/>
      <c r="K5" s="887"/>
      <c r="L5" s="887"/>
      <c r="M5" s="887"/>
      <c r="N5" s="887"/>
      <c r="O5" s="887"/>
      <c r="P5" s="887"/>
      <c r="Q5" s="887"/>
      <c r="R5" s="887"/>
      <c r="S5" s="887"/>
      <c r="T5" s="887"/>
      <c r="U5" s="887"/>
      <c r="V5" s="887"/>
      <c r="W5" s="888"/>
      <c r="X5" s="793"/>
      <c r="Y5" s="548"/>
      <c r="Z5" s="548"/>
      <c r="AA5" s="548"/>
    </row>
    <row r="6" spans="2:36" ht="18" customHeight="1" thickTop="1" thickBot="1" x14ac:dyDescent="0.25"/>
    <row r="7" spans="2:36" ht="30" customHeight="1" thickTop="1" x14ac:dyDescent="0.2">
      <c r="J7" s="931" t="str">
        <f>Sprache!$E$19</f>
        <v>Endrunde</v>
      </c>
      <c r="K7" s="932"/>
      <c r="L7" s="932"/>
      <c r="M7" s="932"/>
      <c r="N7" s="932"/>
      <c r="O7" s="932"/>
      <c r="P7" s="932"/>
      <c r="Q7" s="932"/>
      <c r="R7" s="932"/>
      <c r="S7" s="932"/>
      <c r="T7" s="933"/>
      <c r="U7" s="589"/>
      <c r="V7" s="549"/>
      <c r="W7" s="549"/>
      <c r="X7" s="549"/>
      <c r="Y7" s="549"/>
    </row>
    <row r="8" spans="2:36" ht="30" customHeight="1" thickBot="1" x14ac:dyDescent="0.25">
      <c r="J8" s="934"/>
      <c r="K8" s="935"/>
      <c r="L8" s="935"/>
      <c r="M8" s="935"/>
      <c r="N8" s="935"/>
      <c r="O8" s="935"/>
      <c r="P8" s="935"/>
      <c r="Q8" s="935"/>
      <c r="R8" s="935"/>
      <c r="S8" s="935"/>
      <c r="T8" s="936"/>
      <c r="U8" s="589"/>
      <c r="V8" s="549"/>
      <c r="W8" s="549"/>
      <c r="X8" s="549"/>
      <c r="Y8" s="549"/>
    </row>
    <row r="9" spans="2:36" ht="15.95" customHeight="1" thickTop="1" x14ac:dyDescent="0.2"/>
    <row r="10" spans="2:36" ht="24" customHeight="1" thickBot="1" x14ac:dyDescent="0.45">
      <c r="C10" s="816" t="str">
        <f>Sprache!$E$69</f>
        <v>Halbfinalspiele</v>
      </c>
      <c r="D10" s="816"/>
      <c r="E10" s="324"/>
      <c r="F10" s="324"/>
      <c r="G10" s="324"/>
      <c r="H10" s="324"/>
      <c r="I10" s="324"/>
      <c r="J10" s="324"/>
      <c r="K10" s="324"/>
      <c r="L10" s="418"/>
      <c r="M10" s="418"/>
      <c r="N10" s="418"/>
      <c r="O10" s="511"/>
      <c r="P10" s="510"/>
      <c r="Q10" s="463"/>
      <c r="R10" s="653"/>
      <c r="S10" s="653"/>
      <c r="T10" s="653"/>
      <c r="U10" s="745"/>
      <c r="V10" s="929" t="str">
        <f>Sprache!$E$20</f>
        <v>Zusätzl. Pause (min)</v>
      </c>
      <c r="X10" s="471"/>
      <c r="Y10" s="471"/>
      <c r="Z10" s="290"/>
      <c r="AA10" s="290"/>
    </row>
    <row r="11" spans="2:36" ht="24" customHeight="1" thickTop="1" thickBot="1" x14ac:dyDescent="0.45">
      <c r="C11" s="419" t="str">
        <f>Sprache!$E$33</f>
        <v>Spiel-Nr.</v>
      </c>
      <c r="D11" s="420" t="str">
        <f>Sprache!$E$39</f>
        <v>Beginn:</v>
      </c>
      <c r="E11" s="420" t="str">
        <f>Sprache!$E$48</f>
        <v>Feld</v>
      </c>
      <c r="F11" s="894"/>
      <c r="G11" s="895"/>
      <c r="H11" s="896"/>
      <c r="I11" s="894" t="str">
        <f>Sprache!$E$14</f>
        <v>Spielpaarung</v>
      </c>
      <c r="J11" s="895"/>
      <c r="K11" s="896"/>
      <c r="L11" s="890" t="str">
        <f>Sprache!$E$72</f>
        <v>1. Satz</v>
      </c>
      <c r="M11" s="891"/>
      <c r="N11" s="892"/>
      <c r="O11" s="890" t="str">
        <f>Sprache!$E$73</f>
        <v>2. Satz</v>
      </c>
      <c r="P11" s="891"/>
      <c r="Q11" s="892"/>
      <c r="R11" s="890" t="str">
        <f>Sprache!$E$75</f>
        <v>3. Satz</v>
      </c>
      <c r="S11" s="891"/>
      <c r="T11" s="893"/>
      <c r="U11" s="753" t="str">
        <f>Sprache!$E$78</f>
        <v>Schiedsrichter</v>
      </c>
      <c r="V11" s="930"/>
      <c r="X11" s="843" t="str">
        <f>Sprache!$E$64</f>
        <v>Gruppensechste</v>
      </c>
      <c r="Y11" s="843"/>
      <c r="Z11" s="469"/>
      <c r="AA11" s="740" t="s">
        <v>418</v>
      </c>
      <c r="AB11" s="740" t="s">
        <v>419</v>
      </c>
      <c r="AC11" s="741" t="s">
        <v>420</v>
      </c>
      <c r="AD11" s="741" t="s">
        <v>421</v>
      </c>
      <c r="AE11" s="741" t="s">
        <v>422</v>
      </c>
      <c r="AF11" s="898" t="s">
        <v>380</v>
      </c>
      <c r="AG11" s="898"/>
      <c r="AH11" s="741"/>
      <c r="AI11" s="898"/>
      <c r="AJ11" s="898"/>
    </row>
    <row r="12" spans="2:36" ht="24" customHeight="1" thickTop="1" x14ac:dyDescent="0.25">
      <c r="B12" s="550" t="str">
        <f>Sprache!$E$71&amp;1</f>
        <v>HF 1</v>
      </c>
      <c r="C12" s="527">
        <f t="array" aca="1" ref="C12" ca="1">61-SUM(((Planung!$L$6:$L$65="")+(Planung!$N$6:$N$65="")&gt;0)*1)</f>
        <v>41</v>
      </c>
      <c r="D12" s="183">
        <f ca="1">IF(Planung!$V$15,"",Planung!$S$13+(Planung!$S$9+Planung!$Q$65)/1440)</f>
        <v>0.61805555555555558</v>
      </c>
      <c r="E12" s="174" t="str">
        <f>IF(Planung!$V$15,"","1")</f>
        <v>1</v>
      </c>
      <c r="F12" s="421" t="s">
        <v>287</v>
      </c>
      <c r="G12" s="422" t="s">
        <v>4</v>
      </c>
      <c r="H12" s="423" t="s">
        <v>289</v>
      </c>
      <c r="I12" s="444" t="str">
        <f t="shared" ref="I12:I23" ca="1" si="0">IF($F12="","",IF(VLOOKUP($F12,$X$13:$Y$72,2,0)="","",VLOOKUP($F12,$X$13:$Y$72,2,0)))</f>
        <v/>
      </c>
      <c r="J12" s="445" t="s">
        <v>4</v>
      </c>
      <c r="K12" s="515" t="str">
        <f t="shared" ref="K12:K23" ca="1" si="1">IF($H12="","",IF(VLOOKUP($H12,$X$13:$Y$72,2,0)="","",VLOOKUP($H12,$X$13:$Y$72,2,0)))</f>
        <v/>
      </c>
      <c r="L12" s="430"/>
      <c r="M12" s="379" t="str">
        <f>Sprache!$E$90</f>
        <v>:</v>
      </c>
      <c r="N12" s="512"/>
      <c r="O12" s="430"/>
      <c r="P12" s="379" t="str">
        <f>Sprache!$E$90</f>
        <v>:</v>
      </c>
      <c r="Q12" s="512"/>
      <c r="R12" s="668"/>
      <c r="S12" s="379" t="str">
        <f>Sprache!$E$90</f>
        <v>:</v>
      </c>
      <c r="T12" s="669"/>
      <c r="U12" s="754"/>
      <c r="V12" s="748"/>
      <c r="X12" s="443"/>
      <c r="Y12" s="472" t="str">
        <f>Sprache!$E$10</f>
        <v>Teilnehmer bzw. Mannschaft</v>
      </c>
      <c r="Z12" s="292"/>
      <c r="AA12" s="336" t="str">
        <f ca="1">IF(AF12&gt;AG12,$I12,IF(AF12&lt;AG12,$K12,""))</f>
        <v/>
      </c>
      <c r="AB12" s="336" t="str">
        <f ca="1">IF(AF12&lt;AG12,$I12,IF(AF12&gt;AG12,$K12,""))</f>
        <v/>
      </c>
      <c r="AC12" s="336" t="b">
        <f>AND($L12&lt;&gt;"",$N12&lt;&gt;"",$O12&lt;&gt;"",$Q12&lt;&gt;"",$L12&lt;&gt;$N12,$O12&lt;&gt;$Q12,($L12&gt;$N12)+($O12&gt;$Q12)=1)</f>
        <v>0</v>
      </c>
      <c r="AD12" s="523" t="b">
        <f ca="1">AND($L12&lt;&gt;"",$N12&lt;&gt;"",$L12&lt;&gt;$N12,OR(AND($O12="",$Q12=""),AND($O12&lt;&gt;"",$Q12&lt;&gt;"",$O12&lt;&gt;$Q12)),$I12&lt;&gt;"",$K12&lt;&gt;"",$I12&lt;&gt;$K12)</f>
        <v>0</v>
      </c>
      <c r="AE12" s="336" t="b">
        <f>AND(AC12,$R12&lt;&gt;"",$T12&lt;&gt;"",$R12&lt;&gt;$T12)</f>
        <v>0</v>
      </c>
      <c r="AF12" s="523">
        <f ca="1">(($L12&gt;$N12)+($O12&gt;$Q12)+($R12&gt;$T12)*AE12)*AD12</f>
        <v>0</v>
      </c>
      <c r="AG12" s="523">
        <f ca="1">(($L12&lt;$N12)+($O12&lt;$Q12)+($R12&lt;$T12)*AE12)*AD12</f>
        <v>0</v>
      </c>
      <c r="AH12" s="336"/>
      <c r="AI12" s="523"/>
      <c r="AJ12" s="523"/>
    </row>
    <row r="13" spans="2:36" ht="24" customHeight="1" x14ac:dyDescent="0.25">
      <c r="B13" s="551" t="str">
        <f>Sprache!$E$71&amp;2</f>
        <v>HF 2</v>
      </c>
      <c r="C13" s="528">
        <f t="array" aca="1" ref="C13" ca="1">ROW(62:62)-SUM(((Planung!$L$6:$L$65="")+(Planung!$N$6:$N$65="")&gt;0)*1)-SUM((($I$12:$I12="")+($K$12:$K12="")&gt;0)*1)</f>
        <v>41</v>
      </c>
      <c r="D13" s="173">
        <f t="array" aca="1" ref="D13" ca="1">IF(Planung!$V$15,"",$D$12+QUOTIENT(($C13-$C$12),Planung!$V$11)*(Planung!$S$7+Planung!$S$9)/1440+SUM($V$12:$V12)/1440)</f>
        <v>0.61805555555555558</v>
      </c>
      <c r="E13" s="175">
        <f ca="1">IF(Planung!$V$15,"",MOD($C13-$C$12,Planung!$V$11)+1)</f>
        <v>1</v>
      </c>
      <c r="F13" s="424" t="s">
        <v>288</v>
      </c>
      <c r="G13" s="425" t="s">
        <v>4</v>
      </c>
      <c r="H13" s="426" t="s">
        <v>333</v>
      </c>
      <c r="I13" s="516" t="str">
        <f t="shared" ca="1" si="0"/>
        <v/>
      </c>
      <c r="J13" s="517" t="s">
        <v>4</v>
      </c>
      <c r="K13" s="518" t="str">
        <f t="shared" ca="1" si="1"/>
        <v/>
      </c>
      <c r="L13" s="431"/>
      <c r="M13" s="432" t="str">
        <f>Sprache!$E$90</f>
        <v>:</v>
      </c>
      <c r="N13" s="513"/>
      <c r="O13" s="431"/>
      <c r="P13" s="432" t="str">
        <f>Sprache!$E$90</f>
        <v>:</v>
      </c>
      <c r="Q13" s="513"/>
      <c r="R13" s="431"/>
      <c r="S13" s="432" t="str">
        <f>Sprache!$E$90</f>
        <v>:</v>
      </c>
      <c r="T13" s="670"/>
      <c r="U13" s="349"/>
      <c r="V13" s="749"/>
      <c r="X13" s="462" t="s">
        <v>287</v>
      </c>
      <c r="Y13" s="473" t="str">
        <f ca="1">IF(Vorrunde!$R$17="","",Vorrunde!$R$17)</f>
        <v/>
      </c>
      <c r="Z13" s="292"/>
      <c r="AA13" s="336" t="str">
        <f t="shared" ref="AA13:AA23" ca="1" si="2">IF(AF13&gt;AG13,$I13,IF(AF13&lt;AG13,$K13,""))</f>
        <v/>
      </c>
      <c r="AB13" s="336" t="str">
        <f t="shared" ref="AB13:AB23" ca="1" si="3">IF(AF13&lt;AG13,$I13,IF(AF13&gt;AG13,$K13,""))</f>
        <v/>
      </c>
      <c r="AC13" s="336" t="b">
        <f t="shared" ref="AC13:AC23" si="4">AND($L13&lt;&gt;"",$N13&lt;&gt;"",$O13&lt;&gt;"",$Q13&lt;&gt;"",$L13&lt;&gt;$N13,$O13&lt;&gt;$Q13,($L13&gt;$N13)+($O13&gt;$Q13)=1)</f>
        <v>0</v>
      </c>
      <c r="AD13" s="523" t="b">
        <f t="shared" ref="AD13:AD23" ca="1" si="5">AND($L13&lt;&gt;"",$N13&lt;&gt;"",$L13&lt;&gt;$N13,OR(AND($O13="",$Q13=""),AND($O13&lt;&gt;"",$Q13&lt;&gt;"",$O13&lt;&gt;$Q13)),$I13&lt;&gt;"",$K13&lt;&gt;"",$I13&lt;&gt;$K13)</f>
        <v>0</v>
      </c>
      <c r="AE13" s="336" t="b">
        <f t="shared" ref="AE13:AE23" si="6">AND(AC13,$R13&lt;&gt;"",$T13&lt;&gt;"",$R13&lt;&gt;$T13)</f>
        <v>0</v>
      </c>
      <c r="AF13" s="523">
        <f t="shared" ref="AF13:AF23" ca="1" si="7">(($L13&gt;$N13)+($O13&gt;$Q13)+($R13&gt;$T13)*AE13)*AD13</f>
        <v>0</v>
      </c>
      <c r="AG13" s="523">
        <f t="shared" ref="AG13:AG23" ca="1" si="8">(($L13&lt;$N13)+($O13&lt;$Q13)+($R13&lt;$T13)*AE13)*AD13</f>
        <v>0</v>
      </c>
      <c r="AH13" s="336"/>
      <c r="AI13" s="523"/>
      <c r="AJ13" s="523"/>
    </row>
    <row r="14" spans="2:36" ht="24" customHeight="1" x14ac:dyDescent="0.25">
      <c r="B14" s="551" t="str">
        <f>Sprache!$E$71&amp;3</f>
        <v>HF 3</v>
      </c>
      <c r="C14" s="528">
        <f t="array" aca="1" ref="C14" ca="1">ROW(63:63)-SUM(((Planung!$L$6:$L$65="")+(Planung!$N$6:$N$65="")&gt;0)*1)-SUM((($I$12:$I13="")+($K$12:$K13="")&gt;0)*1)</f>
        <v>41</v>
      </c>
      <c r="D14" s="173">
        <f t="array" aca="1" ref="D14" ca="1">IF(Planung!$V$15,"",$D$12+QUOTIENT(($C14-$C$12),Planung!$V$11)*(Planung!$S$7+Planung!$S$9)/1440+SUM($V$12:$V13)/1440)</f>
        <v>0.61805555555555558</v>
      </c>
      <c r="E14" s="175">
        <f ca="1">IF(Planung!$V$15,"",MOD($C14-$C$12,Planung!$V$11)+1)</f>
        <v>1</v>
      </c>
      <c r="F14" s="424" t="s">
        <v>284</v>
      </c>
      <c r="G14" s="425"/>
      <c r="H14" s="426" t="s">
        <v>286</v>
      </c>
      <c r="I14" s="516" t="str">
        <f t="shared" ca="1" si="0"/>
        <v>FC Barcelona</v>
      </c>
      <c r="J14" s="517" t="s">
        <v>4</v>
      </c>
      <c r="K14" s="518" t="str">
        <f t="shared" ca="1" si="1"/>
        <v>Real Madrid</v>
      </c>
      <c r="L14" s="431">
        <v>17</v>
      </c>
      <c r="M14" s="432" t="str">
        <f>Sprache!$E$90</f>
        <v>:</v>
      </c>
      <c r="N14" s="513">
        <v>25</v>
      </c>
      <c r="O14" s="431">
        <v>21</v>
      </c>
      <c r="P14" s="432" t="str">
        <f>Sprache!$E$90</f>
        <v>:</v>
      </c>
      <c r="Q14" s="513">
        <v>25</v>
      </c>
      <c r="R14" s="431"/>
      <c r="S14" s="432" t="str">
        <f>Sprache!$E$90</f>
        <v>:</v>
      </c>
      <c r="T14" s="670"/>
      <c r="U14" s="349"/>
      <c r="V14" s="749"/>
      <c r="X14" s="442" t="s">
        <v>288</v>
      </c>
      <c r="Y14" s="474" t="str">
        <f ca="1">IF(Vorrunde!$R$27="","",Vorrunde!$R$27)</f>
        <v/>
      </c>
      <c r="Z14" s="292"/>
      <c r="AA14" s="336" t="str">
        <f t="shared" ca="1" si="2"/>
        <v>Real Madrid</v>
      </c>
      <c r="AB14" s="336" t="str">
        <f t="shared" ca="1" si="3"/>
        <v>FC Barcelona</v>
      </c>
      <c r="AC14" s="336" t="b">
        <f t="shared" si="4"/>
        <v>0</v>
      </c>
      <c r="AD14" s="523" t="b">
        <f t="shared" ca="1" si="5"/>
        <v>1</v>
      </c>
      <c r="AE14" s="336" t="b">
        <f t="shared" si="6"/>
        <v>0</v>
      </c>
      <c r="AF14" s="523">
        <f t="shared" ca="1" si="7"/>
        <v>0</v>
      </c>
      <c r="AG14" s="523">
        <f t="shared" ca="1" si="8"/>
        <v>2</v>
      </c>
      <c r="AH14" s="336"/>
      <c r="AI14" s="523"/>
      <c r="AJ14" s="523"/>
    </row>
    <row r="15" spans="2:36" ht="24" customHeight="1" x14ac:dyDescent="0.25">
      <c r="B15" s="551" t="str">
        <f>Sprache!$E$71&amp;4</f>
        <v>HF 4</v>
      </c>
      <c r="C15" s="528">
        <f t="array" aca="1" ref="C15" ca="1">ROW(64:64)-SUM(((Planung!$L$6:$L$65="")+(Planung!$N$6:$N$65="")&gt;0)*1)-SUM((($I$12:$I14="")+($K$12:$K14="")&gt;0)*1)</f>
        <v>42</v>
      </c>
      <c r="D15" s="173">
        <f t="array" aca="1" ref="D15" ca="1">IF(Planung!$V$15,"",$D$12+QUOTIENT(($C15-$C$12),Planung!$V$11)*(Planung!$S$7+Planung!$S$9)/1440+SUM($V$12:$V14)/1440)</f>
        <v>0.61805555555555558</v>
      </c>
      <c r="E15" s="175">
        <f ca="1">IF(Planung!$V$15,"",MOD($C15-$C$12,Planung!$V$11)+1)</f>
        <v>2</v>
      </c>
      <c r="F15" s="424" t="s">
        <v>285</v>
      </c>
      <c r="G15" s="425" t="s">
        <v>4</v>
      </c>
      <c r="H15" s="426" t="s">
        <v>332</v>
      </c>
      <c r="I15" s="516" t="str">
        <f t="shared" ca="1" si="0"/>
        <v>Manchester City</v>
      </c>
      <c r="J15" s="517" t="s">
        <v>4</v>
      </c>
      <c r="K15" s="518" t="str">
        <f t="shared" ca="1" si="1"/>
        <v>HSV</v>
      </c>
      <c r="L15" s="431">
        <v>25</v>
      </c>
      <c r="M15" s="432" t="str">
        <f>Sprache!$E$90</f>
        <v>:</v>
      </c>
      <c r="N15" s="513">
        <v>19</v>
      </c>
      <c r="O15" s="431">
        <v>14</v>
      </c>
      <c r="P15" s="432" t="str">
        <f>Sprache!$E$90</f>
        <v>:</v>
      </c>
      <c r="Q15" s="513">
        <v>25</v>
      </c>
      <c r="R15" s="431">
        <v>15</v>
      </c>
      <c r="S15" s="432" t="str">
        <f>Sprache!$E$90</f>
        <v>:</v>
      </c>
      <c r="T15" s="670">
        <v>12</v>
      </c>
      <c r="U15" s="349"/>
      <c r="V15" s="749"/>
      <c r="X15" s="461" t="s">
        <v>289</v>
      </c>
      <c r="Y15" s="474" t="str">
        <f ca="1">IF(Vorrunde!$R$37="","",Vorrunde!$R$37)</f>
        <v/>
      </c>
      <c r="Z15" s="292"/>
      <c r="AA15" s="336" t="str">
        <f t="shared" ca="1" si="2"/>
        <v>Manchester City</v>
      </c>
      <c r="AB15" s="336" t="str">
        <f t="shared" ca="1" si="3"/>
        <v>HSV</v>
      </c>
      <c r="AC15" s="336" t="b">
        <f t="shared" si="4"/>
        <v>1</v>
      </c>
      <c r="AD15" s="523" t="b">
        <f t="shared" ca="1" si="5"/>
        <v>1</v>
      </c>
      <c r="AE15" s="336" t="b">
        <f t="shared" si="6"/>
        <v>1</v>
      </c>
      <c r="AF15" s="523">
        <f t="shared" ca="1" si="7"/>
        <v>2</v>
      </c>
      <c r="AG15" s="523">
        <f t="shared" ca="1" si="8"/>
        <v>1</v>
      </c>
      <c r="AH15" s="336"/>
      <c r="AI15" s="523"/>
      <c r="AJ15" s="523"/>
    </row>
    <row r="16" spans="2:36" ht="24" customHeight="1" thickBot="1" x14ac:dyDescent="0.3">
      <c r="B16" s="551" t="str">
        <f>Sprache!$E$71&amp;5</f>
        <v>HF 5</v>
      </c>
      <c r="C16" s="528">
        <f t="array" aca="1" ref="C16" ca="1">ROW(65:65)-SUM(((Planung!$L$6:$L$65="")+(Planung!$N$6:$N$65="")&gt;0)*1)-SUM((($I$12:$I15="")+($K$12:$K15="")&gt;0)*1)</f>
        <v>43</v>
      </c>
      <c r="D16" s="173">
        <f t="array" aca="1" ref="D16" ca="1">IF(Planung!$V$15,"",$D$12+QUOTIENT(($C16-$C$12),Planung!$V$11)*(Planung!$S$7+Planung!$S$9)/1440+SUM($V$12:$V15)/1440)</f>
        <v>0.61805555555555558</v>
      </c>
      <c r="E16" s="175">
        <f ca="1">IF(Planung!$V$15,"",MOD($C16-$C$12,Planung!$V$11)+1)</f>
        <v>3</v>
      </c>
      <c r="F16" s="424" t="s">
        <v>281</v>
      </c>
      <c r="G16" s="425" t="s">
        <v>4</v>
      </c>
      <c r="H16" s="426" t="s">
        <v>283</v>
      </c>
      <c r="I16" s="516" t="str">
        <f t="shared" ca="1" si="0"/>
        <v>Maibach 1822 eV</v>
      </c>
      <c r="J16" s="517" t="s">
        <v>4</v>
      </c>
      <c r="K16" s="518" t="str">
        <f t="shared" ca="1" si="1"/>
        <v>1. FC Nürnberg</v>
      </c>
      <c r="L16" s="431">
        <v>25</v>
      </c>
      <c r="M16" s="432" t="str">
        <f>Sprache!$E$90</f>
        <v>:</v>
      </c>
      <c r="N16" s="513">
        <v>13</v>
      </c>
      <c r="O16" s="431">
        <v>25</v>
      </c>
      <c r="P16" s="432" t="str">
        <f>Sprache!$E$90</f>
        <v>:</v>
      </c>
      <c r="Q16" s="513">
        <v>18</v>
      </c>
      <c r="R16" s="431"/>
      <c r="S16" s="432" t="str">
        <f>Sprache!$E$90</f>
        <v>:</v>
      </c>
      <c r="T16" s="670"/>
      <c r="U16" s="349"/>
      <c r="V16" s="749"/>
      <c r="X16" s="414" t="s">
        <v>333</v>
      </c>
      <c r="Y16" s="475" t="str">
        <f ca="1">IF(Vorrunde!$R$47="","",Vorrunde!$R$47)</f>
        <v/>
      </c>
      <c r="Z16" s="292"/>
      <c r="AA16" s="336" t="str">
        <f t="shared" ca="1" si="2"/>
        <v>Maibach 1822 eV</v>
      </c>
      <c r="AB16" s="336" t="str">
        <f t="shared" ca="1" si="3"/>
        <v>1. FC Nürnberg</v>
      </c>
      <c r="AC16" s="336" t="b">
        <f t="shared" si="4"/>
        <v>0</v>
      </c>
      <c r="AD16" s="523" t="b">
        <f t="shared" ca="1" si="5"/>
        <v>1</v>
      </c>
      <c r="AE16" s="336" t="b">
        <f t="shared" si="6"/>
        <v>0</v>
      </c>
      <c r="AF16" s="523">
        <f t="shared" ca="1" si="7"/>
        <v>2</v>
      </c>
      <c r="AG16" s="523">
        <f t="shared" ca="1" si="8"/>
        <v>0</v>
      </c>
      <c r="AH16" s="336"/>
      <c r="AI16" s="523"/>
      <c r="AJ16" s="523"/>
    </row>
    <row r="17" spans="2:36" ht="24" customHeight="1" thickTop="1" x14ac:dyDescent="0.25">
      <c r="B17" s="551" t="str">
        <f>Sprache!$E$71&amp;6</f>
        <v>HF 6</v>
      </c>
      <c r="C17" s="528">
        <f t="array" aca="1" ref="C17" ca="1">ROW(66:66)-SUM(((Planung!$L$6:$L$65="")+(Planung!$N$6:$N$65="")&gt;0)*1)-SUM((($I$12:$I16="")+($K$12:$K16="")&gt;0)*1)</f>
        <v>44</v>
      </c>
      <c r="D17" s="173">
        <f t="array" aca="1" ref="D17" ca="1">IF(Planung!$V$15,"",$D$12+QUOTIENT(($C17-$C$12),Planung!$V$11)*(Planung!$S$7+Planung!$S$9)/1440+SUM($V$12:$V16)/1440)</f>
        <v>0.61805555555555558</v>
      </c>
      <c r="E17" s="175">
        <f ca="1">IF(Planung!$V$15,"",MOD($C17-$C$12,Planung!$V$11)+1)</f>
        <v>4</v>
      </c>
      <c r="F17" s="424" t="s">
        <v>282</v>
      </c>
      <c r="G17" s="425" t="s">
        <v>4</v>
      </c>
      <c r="H17" s="426" t="s">
        <v>331</v>
      </c>
      <c r="I17" s="516" t="str">
        <f t="shared" ca="1" si="0"/>
        <v>Inter Mailand</v>
      </c>
      <c r="J17" s="517" t="s">
        <v>4</v>
      </c>
      <c r="K17" s="518" t="str">
        <f t="shared" ca="1" si="1"/>
        <v>RB Leipzig</v>
      </c>
      <c r="L17" s="431">
        <v>21</v>
      </c>
      <c r="M17" s="432" t="str">
        <f>Sprache!$E$90</f>
        <v>:</v>
      </c>
      <c r="N17" s="513">
        <v>25</v>
      </c>
      <c r="O17" s="431">
        <v>19</v>
      </c>
      <c r="P17" s="432" t="str">
        <f>Sprache!$E$90</f>
        <v>:</v>
      </c>
      <c r="Q17" s="513">
        <v>25</v>
      </c>
      <c r="R17" s="431"/>
      <c r="S17" s="432" t="str">
        <f>Sprache!$E$90</f>
        <v>:</v>
      </c>
      <c r="T17" s="670"/>
      <c r="U17" s="349"/>
      <c r="V17" s="749"/>
      <c r="X17" s="416"/>
      <c r="Y17" s="627">
        <f t="array" aca="1" ref="Y17" ca="1">SUM((Y13:Y16&lt;&gt;"")*1)</f>
        <v>0</v>
      </c>
      <c r="Z17" s="292"/>
      <c r="AA17" s="336" t="str">
        <f t="shared" ca="1" si="2"/>
        <v>RB Leipzig</v>
      </c>
      <c r="AB17" s="336" t="str">
        <f t="shared" ca="1" si="3"/>
        <v>Inter Mailand</v>
      </c>
      <c r="AC17" s="336" t="b">
        <f t="shared" si="4"/>
        <v>0</v>
      </c>
      <c r="AD17" s="523" t="b">
        <f t="shared" ca="1" si="5"/>
        <v>1</v>
      </c>
      <c r="AE17" s="336" t="b">
        <f t="shared" si="6"/>
        <v>0</v>
      </c>
      <c r="AF17" s="523">
        <f t="shared" ca="1" si="7"/>
        <v>0</v>
      </c>
      <c r="AG17" s="523">
        <f t="shared" ca="1" si="8"/>
        <v>2</v>
      </c>
      <c r="AH17" s="336"/>
      <c r="AI17" s="523"/>
      <c r="AJ17" s="523"/>
    </row>
    <row r="18" spans="2:36" ht="24" customHeight="1" thickBot="1" x14ac:dyDescent="0.45">
      <c r="B18" s="551" t="str">
        <f>Sprache!$E$71&amp;7</f>
        <v>HF 7</v>
      </c>
      <c r="C18" s="528">
        <f t="array" aca="1" ref="C18" ca="1">ROW(67:67)-SUM(((Planung!$L$6:$L$65="")+(Planung!$N$6:$N$65="")&gt;0)*1)-SUM((($I$12:$I17="")+($K$12:$K17="")&gt;0)*1)</f>
        <v>45</v>
      </c>
      <c r="D18" s="173">
        <f t="array" aca="1" ref="D18" ca="1">IF(Planung!$V$15,"",$D$12+QUOTIENT(($C18-$C$12),Planung!$V$11)*(Planung!$S$7+Planung!$S$9)/1440+SUM($V$12:$V17)/1440)</f>
        <v>0.64236111111111116</v>
      </c>
      <c r="E18" s="175">
        <f ca="1">IF(Planung!$V$15,"",MOD($C18-$C$12,Planung!$V$11)+1)</f>
        <v>1</v>
      </c>
      <c r="F18" s="424" t="s">
        <v>278</v>
      </c>
      <c r="G18" s="425" t="s">
        <v>4</v>
      </c>
      <c r="H18" s="426" t="s">
        <v>280</v>
      </c>
      <c r="I18" s="516" t="str">
        <f t="shared" ca="1" si="0"/>
        <v>Eintracht Frankfurt</v>
      </c>
      <c r="J18" s="517" t="s">
        <v>4</v>
      </c>
      <c r="K18" s="518" t="str">
        <f t="shared" ca="1" si="1"/>
        <v>Borussia Dortmund</v>
      </c>
      <c r="L18" s="431">
        <v>20</v>
      </c>
      <c r="M18" s="432" t="str">
        <f>Sprache!$E$90</f>
        <v>:</v>
      </c>
      <c r="N18" s="513">
        <v>25</v>
      </c>
      <c r="O18" s="431">
        <v>16</v>
      </c>
      <c r="P18" s="432" t="str">
        <f>Sprache!$E$90</f>
        <v>:</v>
      </c>
      <c r="Q18" s="513">
        <v>25</v>
      </c>
      <c r="R18" s="431"/>
      <c r="S18" s="432" t="str">
        <f>Sprache!$E$90</f>
        <v>:</v>
      </c>
      <c r="T18" s="670"/>
      <c r="U18" s="349"/>
      <c r="V18" s="749"/>
      <c r="X18" s="843" t="str">
        <f>Sprache!$E$63</f>
        <v>Gruppenfünfte</v>
      </c>
      <c r="Y18" s="843"/>
      <c r="Z18" s="290"/>
      <c r="AA18" s="336" t="str">
        <f t="shared" ca="1" si="2"/>
        <v>Borussia Dortmund</v>
      </c>
      <c r="AB18" s="336" t="str">
        <f t="shared" ca="1" si="3"/>
        <v>Eintracht Frankfurt</v>
      </c>
      <c r="AC18" s="336" t="b">
        <f t="shared" si="4"/>
        <v>0</v>
      </c>
      <c r="AD18" s="523" t="b">
        <f t="shared" ca="1" si="5"/>
        <v>1</v>
      </c>
      <c r="AE18" s="336" t="b">
        <f t="shared" si="6"/>
        <v>0</v>
      </c>
      <c r="AF18" s="523">
        <f t="shared" ca="1" si="7"/>
        <v>0</v>
      </c>
      <c r="AG18" s="523">
        <f t="shared" ca="1" si="8"/>
        <v>2</v>
      </c>
      <c r="AH18" s="336"/>
      <c r="AI18" s="523"/>
      <c r="AJ18" s="523"/>
    </row>
    <row r="19" spans="2:36" ht="24" customHeight="1" thickTop="1" x14ac:dyDescent="0.25">
      <c r="B19" s="551" t="str">
        <f>Sprache!$E$71&amp;8</f>
        <v>HF 8</v>
      </c>
      <c r="C19" s="528">
        <f t="array" aca="1" ref="C19" ca="1">ROW(68:68)-SUM(((Planung!$L$6:$L$65="")+(Planung!$N$6:$N$65="")&gt;0)*1)-SUM((($I$12:$I18="")+($K$12:$K18="")&gt;0)*1)</f>
        <v>46</v>
      </c>
      <c r="D19" s="173">
        <f t="array" aca="1" ref="D19" ca="1">IF(Planung!$V$15,"",$D$12+QUOTIENT(($C19-$C$12),Planung!$V$11)*(Planung!$S$7+Planung!$S$9)/1440+SUM($V$12:$V18)/1440)</f>
        <v>0.64236111111111116</v>
      </c>
      <c r="E19" s="175">
        <f ca="1">IF(Planung!$V$15,"",MOD($C19-$C$12,Planung!$V$11)+1)</f>
        <v>2</v>
      </c>
      <c r="F19" s="424" t="s">
        <v>279</v>
      </c>
      <c r="G19" s="425" t="s">
        <v>4</v>
      </c>
      <c r="H19" s="426" t="s">
        <v>330</v>
      </c>
      <c r="I19" s="516" t="str">
        <f t="shared" ca="1" si="0"/>
        <v>FC Grönlingen</v>
      </c>
      <c r="J19" s="517" t="s">
        <v>4</v>
      </c>
      <c r="K19" s="518" t="str">
        <f t="shared" ca="1" si="1"/>
        <v>SV Oberredenburg</v>
      </c>
      <c r="L19" s="431">
        <v>25</v>
      </c>
      <c r="M19" s="432" t="str">
        <f>Sprache!$E$90</f>
        <v>:</v>
      </c>
      <c r="N19" s="513">
        <v>21</v>
      </c>
      <c r="O19" s="431">
        <v>23</v>
      </c>
      <c r="P19" s="432" t="str">
        <f>Sprache!$E$90</f>
        <v>:</v>
      </c>
      <c r="Q19" s="513">
        <v>25</v>
      </c>
      <c r="R19" s="431">
        <v>11</v>
      </c>
      <c r="S19" s="432" t="str">
        <f>Sprache!$E$90</f>
        <v>:</v>
      </c>
      <c r="T19" s="670">
        <v>15</v>
      </c>
      <c r="U19" s="349"/>
      <c r="V19" s="749"/>
      <c r="X19" s="443"/>
      <c r="Y19" s="472" t="str">
        <f>Sprache!$E$10</f>
        <v>Teilnehmer bzw. Mannschaft</v>
      </c>
      <c r="Z19" s="469"/>
      <c r="AA19" s="336" t="str">
        <f t="shared" ca="1" si="2"/>
        <v>SV Oberredenburg</v>
      </c>
      <c r="AB19" s="336" t="str">
        <f t="shared" ca="1" si="3"/>
        <v>FC Grönlingen</v>
      </c>
      <c r="AC19" s="336" t="b">
        <f t="shared" si="4"/>
        <v>1</v>
      </c>
      <c r="AD19" s="523" t="b">
        <f t="shared" ca="1" si="5"/>
        <v>1</v>
      </c>
      <c r="AE19" s="336" t="b">
        <f t="shared" si="6"/>
        <v>1</v>
      </c>
      <c r="AF19" s="523">
        <f t="shared" ca="1" si="7"/>
        <v>1</v>
      </c>
      <c r="AG19" s="523">
        <f t="shared" ca="1" si="8"/>
        <v>2</v>
      </c>
      <c r="AH19" s="336"/>
      <c r="AI19" s="523"/>
      <c r="AJ19" s="523"/>
    </row>
    <row r="20" spans="2:36" ht="24" customHeight="1" x14ac:dyDescent="0.25">
      <c r="B20" s="551" t="str">
        <f>Sprache!$E$71&amp;9</f>
        <v>HF 9</v>
      </c>
      <c r="C20" s="528">
        <f t="array" aca="1" ref="C20" ca="1">ROW(69:69)-SUM(((Planung!$L$6:$L$65="")+(Planung!$N$6:$N$65="")&gt;0)*1)-SUM((($I$12:$I19="")+($K$12:$K19="")&gt;0)*1)</f>
        <v>47</v>
      </c>
      <c r="D20" s="173">
        <f t="array" aca="1" ref="D20" ca="1">IF(Planung!$V$15,"",$D$12+QUOTIENT(($C20-$C$12),Planung!$V$11)*(Planung!$S$7+Planung!$S$9)/1440+SUM($V$12:$V19)/1440)</f>
        <v>0.64236111111111116</v>
      </c>
      <c r="E20" s="175">
        <f ca="1">IF(Planung!$V$15,"",MOD($C20-$C$12,Planung!$V$11)+1)</f>
        <v>3</v>
      </c>
      <c r="F20" s="424" t="s">
        <v>275</v>
      </c>
      <c r="G20" s="425" t="s">
        <v>4</v>
      </c>
      <c r="H20" s="426" t="s">
        <v>277</v>
      </c>
      <c r="I20" s="516" t="str">
        <f t="shared" ca="1" si="0"/>
        <v>VFB Essenheim</v>
      </c>
      <c r="J20" s="517" t="s">
        <v>4</v>
      </c>
      <c r="K20" s="518" t="str">
        <f t="shared" ca="1" si="1"/>
        <v>FSV Rauen</v>
      </c>
      <c r="L20" s="431">
        <v>25</v>
      </c>
      <c r="M20" s="432" t="str">
        <f>Sprache!$E$90</f>
        <v>:</v>
      </c>
      <c r="N20" s="513">
        <v>11</v>
      </c>
      <c r="O20" s="431">
        <v>25</v>
      </c>
      <c r="P20" s="432" t="str">
        <f>Sprache!$E$90</f>
        <v>:</v>
      </c>
      <c r="Q20" s="513">
        <v>16</v>
      </c>
      <c r="R20" s="431"/>
      <c r="S20" s="432" t="str">
        <f>Sprache!$E$90</f>
        <v>:</v>
      </c>
      <c r="T20" s="670"/>
      <c r="U20" s="349"/>
      <c r="V20" s="749"/>
      <c r="X20" s="462" t="s">
        <v>284</v>
      </c>
      <c r="Y20" s="473" t="str">
        <f ca="1">IF(Vorrunde!$R$16="","",Vorrunde!$R$16)</f>
        <v>FC Barcelona</v>
      </c>
      <c r="Z20" s="292"/>
      <c r="AA20" s="336" t="str">
        <f t="shared" ca="1" si="2"/>
        <v>VFB Essenheim</v>
      </c>
      <c r="AB20" s="336" t="str">
        <f t="shared" ca="1" si="3"/>
        <v>FSV Rauen</v>
      </c>
      <c r="AC20" s="336" t="b">
        <f t="shared" si="4"/>
        <v>0</v>
      </c>
      <c r="AD20" s="523" t="b">
        <f t="shared" ca="1" si="5"/>
        <v>1</v>
      </c>
      <c r="AE20" s="336" t="b">
        <f t="shared" si="6"/>
        <v>0</v>
      </c>
      <c r="AF20" s="523">
        <f t="shared" ca="1" si="7"/>
        <v>2</v>
      </c>
      <c r="AG20" s="523">
        <f t="shared" ca="1" si="8"/>
        <v>0</v>
      </c>
      <c r="AH20" s="336"/>
      <c r="AI20" s="523"/>
      <c r="AJ20" s="523"/>
    </row>
    <row r="21" spans="2:36" ht="24" customHeight="1" x14ac:dyDescent="0.25">
      <c r="B21" s="551" t="str">
        <f>Sprache!$E$71&amp;10</f>
        <v>HF 10</v>
      </c>
      <c r="C21" s="528">
        <f t="array" aca="1" ref="C21" ca="1">ROW(70:70)-SUM(((Planung!$L$6:$L$65="")+(Planung!$N$6:$N$65="")&gt;0)*1)-SUM((($I$12:$I20="")+($K$12:$K20="")&gt;0)*1)</f>
        <v>48</v>
      </c>
      <c r="D21" s="173">
        <f t="array" aca="1" ref="D21" ca="1">IF(Planung!$V$15,"",$D$12+QUOTIENT(($C21-$C$12),Planung!$V$11)*(Planung!$S$7+Planung!$S$9)/1440+SUM($V$12:$V20)/1440)</f>
        <v>0.64236111111111116</v>
      </c>
      <c r="E21" s="175">
        <f ca="1">IF(Planung!$V$15,"",MOD($C21-$C$12,Planung!$V$11)+1)</f>
        <v>4</v>
      </c>
      <c r="F21" s="424" t="s">
        <v>276</v>
      </c>
      <c r="G21" s="425" t="s">
        <v>4</v>
      </c>
      <c r="H21" s="426" t="s">
        <v>329</v>
      </c>
      <c r="I21" s="516" t="str">
        <f t="shared" ca="1" si="0"/>
        <v>SSV Wildbach</v>
      </c>
      <c r="J21" s="517" t="s">
        <v>4</v>
      </c>
      <c r="K21" s="518" t="str">
        <f t="shared" ca="1" si="1"/>
        <v>Paris St. Germain</v>
      </c>
      <c r="L21" s="431">
        <v>25</v>
      </c>
      <c r="M21" s="432" t="str">
        <f>Sprache!$E$90</f>
        <v>:</v>
      </c>
      <c r="N21" s="513">
        <v>21</v>
      </c>
      <c r="O21" s="431">
        <v>25</v>
      </c>
      <c r="P21" s="432" t="str">
        <f>Sprache!$E$90</f>
        <v>:</v>
      </c>
      <c r="Q21" s="513">
        <v>19</v>
      </c>
      <c r="R21" s="431"/>
      <c r="S21" s="432" t="str">
        <f>Sprache!$E$90</f>
        <v>:</v>
      </c>
      <c r="T21" s="670"/>
      <c r="U21" s="349"/>
      <c r="V21" s="749"/>
      <c r="X21" s="442" t="s">
        <v>285</v>
      </c>
      <c r="Y21" s="474" t="str">
        <f ca="1">IF(Vorrunde!$R$26="","",Vorrunde!$R$26)</f>
        <v>Manchester City</v>
      </c>
      <c r="Z21" s="292"/>
      <c r="AA21" s="336" t="str">
        <f t="shared" ca="1" si="2"/>
        <v>SSV Wildbach</v>
      </c>
      <c r="AB21" s="336" t="str">
        <f t="shared" ca="1" si="3"/>
        <v>Paris St. Germain</v>
      </c>
      <c r="AC21" s="336" t="b">
        <f t="shared" si="4"/>
        <v>0</v>
      </c>
      <c r="AD21" s="523" t="b">
        <f t="shared" ca="1" si="5"/>
        <v>1</v>
      </c>
      <c r="AE21" s="336" t="b">
        <f t="shared" si="6"/>
        <v>0</v>
      </c>
      <c r="AF21" s="523">
        <f t="shared" ca="1" si="7"/>
        <v>2</v>
      </c>
      <c r="AG21" s="523">
        <f t="shared" ca="1" si="8"/>
        <v>0</v>
      </c>
      <c r="AH21" s="336"/>
      <c r="AI21" s="523"/>
      <c r="AJ21" s="523"/>
    </row>
    <row r="22" spans="2:36" ht="24" customHeight="1" x14ac:dyDescent="0.25">
      <c r="B22" s="551" t="str">
        <f>Sprache!$E$71&amp;11</f>
        <v>HF 11</v>
      </c>
      <c r="C22" s="528">
        <f t="array" aca="1" ref="C22" ca="1">ROW(71:71)-SUM(((Planung!$L$6:$L$65="")+(Planung!$N$6:$N$65="")&gt;0)*1)-SUM((($I$12:$I21="")+($K$12:$K21="")&gt;0)*1)</f>
        <v>49</v>
      </c>
      <c r="D22" s="173">
        <f t="array" aca="1" ref="D22" ca="1">IF(Planung!$V$15,"",$D$12+QUOTIENT(($C22-$C$12),Planung!$V$11)*(Planung!$S$7+Planung!$S$9)/1440+SUM($V$12:$V21)/1440)</f>
        <v>0.66666666666666674</v>
      </c>
      <c r="E22" s="175">
        <f ca="1">IF(Planung!$V$15,"",MOD($C22-$C$12,Planung!$V$11)+1)</f>
        <v>1</v>
      </c>
      <c r="F22" s="424" t="s">
        <v>272</v>
      </c>
      <c r="G22" s="425"/>
      <c r="H22" s="426" t="s">
        <v>274</v>
      </c>
      <c r="I22" s="516" t="str">
        <f t="shared" ca="1" si="0"/>
        <v>1. FC Riedwald</v>
      </c>
      <c r="J22" s="517"/>
      <c r="K22" s="518" t="str">
        <f t="shared" ca="1" si="1"/>
        <v>Kickers Rodendorf</v>
      </c>
      <c r="L22" s="431">
        <v>25</v>
      </c>
      <c r="M22" s="432" t="str">
        <f>Sprache!$E$90</f>
        <v>:</v>
      </c>
      <c r="N22" s="513">
        <v>22</v>
      </c>
      <c r="O22" s="431">
        <v>25</v>
      </c>
      <c r="P22" s="432" t="str">
        <f>Sprache!$E$90</f>
        <v>:</v>
      </c>
      <c r="Q22" s="513">
        <v>23</v>
      </c>
      <c r="R22" s="431"/>
      <c r="S22" s="432" t="str">
        <f>Sprache!$E$90</f>
        <v>:</v>
      </c>
      <c r="T22" s="670"/>
      <c r="U22" s="349"/>
      <c r="V22" s="749"/>
      <c r="X22" s="461" t="s">
        <v>286</v>
      </c>
      <c r="Y22" s="474" t="str">
        <f ca="1">IF(Vorrunde!$R$36="","",Vorrunde!$R$36)</f>
        <v>Real Madrid</v>
      </c>
      <c r="Z22" s="292"/>
      <c r="AA22" s="336" t="str">
        <f t="shared" ca="1" si="2"/>
        <v>1. FC Riedwald</v>
      </c>
      <c r="AB22" s="336" t="str">
        <f t="shared" ca="1" si="3"/>
        <v>Kickers Rodendorf</v>
      </c>
      <c r="AC22" s="336" t="b">
        <f t="shared" si="4"/>
        <v>0</v>
      </c>
      <c r="AD22" s="523" t="b">
        <f t="shared" ca="1" si="5"/>
        <v>1</v>
      </c>
      <c r="AE22" s="336" t="b">
        <f t="shared" si="6"/>
        <v>0</v>
      </c>
      <c r="AF22" s="523">
        <f t="shared" ca="1" si="7"/>
        <v>2</v>
      </c>
      <c r="AG22" s="523">
        <f t="shared" ca="1" si="8"/>
        <v>0</v>
      </c>
      <c r="AH22" s="336"/>
      <c r="AI22" s="523"/>
      <c r="AJ22" s="523"/>
    </row>
    <row r="23" spans="2:36" ht="24" customHeight="1" thickBot="1" x14ac:dyDescent="0.3">
      <c r="B23" s="552" t="str">
        <f>Sprache!$E$71&amp;12</f>
        <v>HF 12</v>
      </c>
      <c r="C23" s="529">
        <f t="array" aca="1" ref="C23" ca="1">ROW(72:72)-SUM(((Planung!$L$6:$L$65="")+(Planung!$N$6:$N$65="")&gt;0)*1)-SUM((($I$12:$I22="")+($K$12:$K22="")&gt;0)*1)</f>
        <v>50</v>
      </c>
      <c r="D23" s="176">
        <f t="array" aca="1" ref="D23" ca="1">IF(Planung!$V$15,"",$D$12+QUOTIENT(($C23-$C$12),Planung!$V$11)*(Planung!$S$7+Planung!$S$9)/1440+SUM($V$12:$V22)/1440)</f>
        <v>0.66666666666666674</v>
      </c>
      <c r="E23" s="177">
        <f ca="1">IF(Planung!$V$15,"",MOD($C23-$C$12,Planung!$V$11)+1)</f>
        <v>2</v>
      </c>
      <c r="F23" s="427" t="s">
        <v>273</v>
      </c>
      <c r="G23" s="428" t="s">
        <v>4</v>
      </c>
      <c r="H23" s="429" t="s">
        <v>328</v>
      </c>
      <c r="I23" s="507" t="str">
        <f t="shared" ca="1" si="0"/>
        <v>Mainz 05</v>
      </c>
      <c r="J23" s="508" t="s">
        <v>4</v>
      </c>
      <c r="K23" s="519" t="str">
        <f t="shared" ca="1" si="1"/>
        <v>TSG Saalberg eV</v>
      </c>
      <c r="L23" s="433">
        <v>15</v>
      </c>
      <c r="M23" s="373" t="str">
        <f>Sprache!$E$90</f>
        <v>:</v>
      </c>
      <c r="N23" s="514">
        <v>25</v>
      </c>
      <c r="O23" s="433">
        <v>19</v>
      </c>
      <c r="P23" s="373" t="str">
        <f>Sprache!$E$90</f>
        <v>:</v>
      </c>
      <c r="Q23" s="514">
        <v>25</v>
      </c>
      <c r="R23" s="433"/>
      <c r="S23" s="373" t="str">
        <f>Sprache!$E$90</f>
        <v>:</v>
      </c>
      <c r="T23" s="671"/>
      <c r="U23" s="374"/>
      <c r="V23" s="767"/>
      <c r="X23" s="414" t="s">
        <v>332</v>
      </c>
      <c r="Y23" s="475" t="str">
        <f ca="1">IF(Vorrunde!$R$46="","",Vorrunde!$R$46)</f>
        <v>HSV</v>
      </c>
      <c r="Z23" s="292"/>
      <c r="AA23" s="336" t="str">
        <f t="shared" ca="1" si="2"/>
        <v>TSG Saalberg eV</v>
      </c>
      <c r="AB23" s="336" t="str">
        <f t="shared" ca="1" si="3"/>
        <v>Mainz 05</v>
      </c>
      <c r="AC23" s="336" t="b">
        <f t="shared" si="4"/>
        <v>0</v>
      </c>
      <c r="AD23" s="523" t="b">
        <f t="shared" ca="1" si="5"/>
        <v>1</v>
      </c>
      <c r="AE23" s="336" t="b">
        <f t="shared" si="6"/>
        <v>0</v>
      </c>
      <c r="AF23" s="523">
        <f t="shared" ca="1" si="7"/>
        <v>0</v>
      </c>
      <c r="AG23" s="523">
        <f t="shared" ca="1" si="8"/>
        <v>2</v>
      </c>
      <c r="AH23" s="336"/>
      <c r="AI23" s="523"/>
      <c r="AJ23" s="523"/>
    </row>
    <row r="24" spans="2:36" ht="24" customHeight="1" thickTop="1" x14ac:dyDescent="0.25">
      <c r="B24" s="325"/>
      <c r="C24" s="476"/>
      <c r="D24" s="477"/>
      <c r="E24" s="478"/>
      <c r="F24" s="479"/>
      <c r="G24" s="480"/>
      <c r="H24" s="481"/>
      <c r="I24" s="524" t="s">
        <v>250</v>
      </c>
      <c r="J24" s="482"/>
      <c r="K24" s="524" t="s">
        <v>250</v>
      </c>
      <c r="L24" s="483"/>
      <c r="M24" s="360"/>
      <c r="N24" s="484"/>
      <c r="O24" s="485"/>
      <c r="P24" s="485"/>
      <c r="Q24" s="485"/>
      <c r="R24" s="485"/>
      <c r="S24" s="485"/>
      <c r="T24" s="485"/>
      <c r="U24" s="485"/>
      <c r="V24" s="485"/>
      <c r="Y24" s="627">
        <f t="array" aca="1" ref="Y24" ca="1">SUM((Y20:Y23&lt;&gt;"")*1)</f>
        <v>4</v>
      </c>
      <c r="Z24" s="470"/>
      <c r="AA24" s="665"/>
      <c r="AB24" s="665"/>
    </row>
    <row r="25" spans="2:36" ht="24" customHeight="1" thickBot="1" x14ac:dyDescent="0.45">
      <c r="B25" s="325"/>
      <c r="C25" s="505"/>
      <c r="D25" s="505"/>
      <c r="E25" s="505"/>
      <c r="F25" s="505"/>
      <c r="G25" s="505"/>
      <c r="H25" s="505"/>
      <c r="I25" s="524" t="s">
        <v>250</v>
      </c>
      <c r="J25" s="482"/>
      <c r="K25" s="524" t="s">
        <v>250</v>
      </c>
      <c r="L25" s="483"/>
      <c r="M25" s="360"/>
      <c r="N25" s="484"/>
      <c r="O25" s="485"/>
      <c r="P25" s="485"/>
      <c r="Q25" s="485"/>
      <c r="R25" s="485"/>
      <c r="S25" s="485"/>
      <c r="T25" s="485"/>
      <c r="U25" s="485"/>
      <c r="V25" s="485"/>
      <c r="X25" s="843" t="str">
        <f>Sprache!$E$62</f>
        <v>Gruppenvierte</v>
      </c>
      <c r="Y25" s="843"/>
      <c r="Z25" s="470"/>
      <c r="AA25" s="665"/>
      <c r="AB25" s="665"/>
    </row>
    <row r="26" spans="2:36" ht="24" customHeight="1" thickTop="1" thickBot="1" x14ac:dyDescent="0.3">
      <c r="B26" s="325"/>
      <c r="C26" s="816" t="str">
        <f>Sprache!$E$67&amp;"21"&amp;Sprache!$E$68&amp;"24"</f>
        <v>Finalspiele um die Plätze 21 bis 24</v>
      </c>
      <c r="D26" s="816"/>
      <c r="E26" s="816"/>
      <c r="F26" s="816"/>
      <c r="G26" s="816"/>
      <c r="H26" s="816"/>
      <c r="I26" s="526" t="s">
        <v>250</v>
      </c>
      <c r="J26" s="525"/>
      <c r="K26" s="526" t="s">
        <v>250</v>
      </c>
      <c r="L26" s="927" t="str">
        <f>Sprache!$E$72</f>
        <v>1. Satz</v>
      </c>
      <c r="M26" s="928"/>
      <c r="N26" s="928"/>
      <c r="O26" s="928" t="str">
        <f>Sprache!$E$73</f>
        <v>2. Satz</v>
      </c>
      <c r="P26" s="928"/>
      <c r="Q26" s="928"/>
      <c r="R26" s="925" t="str">
        <f>Sprache!$E$75</f>
        <v>3. Satz</v>
      </c>
      <c r="S26" s="926"/>
      <c r="T26" s="926"/>
      <c r="U26" s="773"/>
      <c r="V26" s="485"/>
      <c r="X26" s="443"/>
      <c r="Y26" s="472" t="str">
        <f>Sprache!$E$10</f>
        <v>Teilnehmer bzw. Mannschaft</v>
      </c>
      <c r="Z26" s="290"/>
      <c r="AA26" s="665"/>
      <c r="AB26" s="665"/>
    </row>
    <row r="27" spans="2:36" ht="24" customHeight="1" thickTop="1" x14ac:dyDescent="0.25">
      <c r="B27" s="523"/>
      <c r="C27" s="531">
        <f t="array" aca="1" ref="C27" ca="1">ROW(73:73)-SUM(((Planung!$L$6:$L$65="")+(Planung!$N$6:$N$65="")&gt;0)*1)-SUM((($I$12:$I26="")+($K$12:$K26="")&gt;0)*1)</f>
        <v>51</v>
      </c>
      <c r="D27" s="486">
        <f t="array" aca="1" ref="D27" ca="1">IF(Planung!$V$15,"",$D$12+QUOTIENT(($C27-$C$12),Planung!$V$11)*(Planung!$S$7+Planung!$S$9)/1440+SUM($V$12:$V26)/1440)</f>
        <v>0.66666666666666674</v>
      </c>
      <c r="E27" s="487">
        <f ca="1">IF(Planung!$V$15,"",MOD($C27-$C$12,Planung!$V$11)+1)</f>
        <v>3</v>
      </c>
      <c r="F27" s="488" t="str">
        <f>"2. "&amp;B12</f>
        <v>2. HF 1</v>
      </c>
      <c r="G27" s="489" t="s">
        <v>4</v>
      </c>
      <c r="H27" s="490" t="str">
        <f>"2. "&amp;B13</f>
        <v>2. HF 2</v>
      </c>
      <c r="I27" s="491" t="str">
        <f ca="1">VLOOKUP(Sprache!$E$71&amp;MID($F27,7,2),$B$12:$AB$23,MID($F27,1,1)+24,0)</f>
        <v/>
      </c>
      <c r="J27" s="492" t="s">
        <v>4</v>
      </c>
      <c r="K27" s="493" t="str">
        <f ca="1">IF(OR($I13="",$K13="",$L13="",$N13=""),"",IF($L13&lt;$N13,$I13,IF($L13&gt;$N13,$K13,IF($O13&lt;$Q13,$I13,IF($O13&gt;$Q13,$K13,"")))))</f>
        <v/>
      </c>
      <c r="L27" s="494"/>
      <c r="M27" s="368" t="str">
        <f>Sprache!$E$90</f>
        <v>:</v>
      </c>
      <c r="N27" s="520"/>
      <c r="O27" s="367"/>
      <c r="P27" s="368" t="str">
        <f>Sprache!$E$90</f>
        <v>:</v>
      </c>
      <c r="Q27" s="672"/>
      <c r="R27" s="675"/>
      <c r="S27" s="698" t="str">
        <f>Sprache!$E$90</f>
        <v>:</v>
      </c>
      <c r="T27" s="678"/>
      <c r="U27" s="772"/>
      <c r="V27" s="748"/>
      <c r="X27" s="462" t="s">
        <v>281</v>
      </c>
      <c r="Y27" s="473" t="str">
        <f ca="1">IF(Vorrunde!$R$15="","",Vorrunde!$R$15)</f>
        <v>Maibach 1822 eV</v>
      </c>
      <c r="Z27" s="290"/>
      <c r="AA27" s="336" t="str">
        <f t="shared" ref="AA27:AA28" ca="1" si="9">IF(AF27&gt;AG27,$I27,IF(AF27&lt;AG27,$K27,""))</f>
        <v/>
      </c>
      <c r="AB27" s="336" t="str">
        <f t="shared" ref="AB27:AB28" ca="1" si="10">IF(AF27&lt;AG27,$I27,IF(AF27&gt;AG27,$K27,""))</f>
        <v/>
      </c>
      <c r="AC27" s="336" t="b">
        <f t="shared" ref="AC27:AC28" si="11">AND($L27&lt;&gt;"",$N27&lt;&gt;"",$O27&lt;&gt;"",$Q27&lt;&gt;"",$L27&lt;&gt;$N27,$O27&lt;&gt;$Q27,($L27&gt;$N27)+($O27&gt;$Q27)=1)</f>
        <v>0</v>
      </c>
      <c r="AD27" s="523" t="b">
        <f t="shared" ref="AD27:AD28" ca="1" si="12">AND($L27&lt;&gt;"",$N27&lt;&gt;"",$L27&lt;&gt;$N27,OR(AND($O27="",$Q27=""),AND($O27&lt;&gt;"",$Q27&lt;&gt;"",$O27&lt;&gt;$Q27)),$I27&lt;&gt;"",$K27&lt;&gt;"",$I27&lt;&gt;$K27)</f>
        <v>0</v>
      </c>
      <c r="AE27" s="336" t="b">
        <f t="shared" ref="AE27:AE28" si="13">AND(AC27,$R27&lt;&gt;"",$T27&lt;&gt;"",$R27&lt;&gt;$T27)</f>
        <v>0</v>
      </c>
      <c r="AF27" s="523">
        <f t="shared" ref="AF27:AF28" ca="1" si="14">(($L27&gt;$N27)+($O27&gt;$Q27)+($R27&gt;$T27)*AE27)*AD27</f>
        <v>0</v>
      </c>
      <c r="AG27" s="523">
        <f t="shared" ref="AG27:AG28" ca="1" si="15">(($L27&lt;$N27)+($O27&lt;$Q27)+($R27&lt;$T27)*AE27)*AD27</f>
        <v>0</v>
      </c>
      <c r="AH27" s="336"/>
      <c r="AI27" s="523"/>
      <c r="AJ27" s="523"/>
    </row>
    <row r="28" spans="2:36" ht="24" customHeight="1" thickBot="1" x14ac:dyDescent="0.3">
      <c r="B28" s="523"/>
      <c r="C28" s="529">
        <f t="array" aca="1" ref="C28" ca="1">ROW(74:74)-SUM(((Planung!$L$6:$L$65="")+(Planung!$N$6:$N$65="")&gt;0)*1)-SUM((($I$12:$I27="")+($K$12:$K27="")&gt;0)*1)</f>
        <v>51</v>
      </c>
      <c r="D28" s="176">
        <f t="array" aca="1" ref="D28" ca="1">IF(Planung!$V$15,"",$D$12+QUOTIENT(($C28-$C$12),Planung!$V$11)*(Planung!$S$7+Planung!$S$9)/1440+SUM($V$12:$V27)/1440)</f>
        <v>0.66666666666666674</v>
      </c>
      <c r="E28" s="177">
        <f ca="1">IF(Planung!$V$15,"",MOD($C28-$C$12,Planung!$V$11)+1)</f>
        <v>3</v>
      </c>
      <c r="F28" s="427" t="str">
        <f>"1. "&amp;B12</f>
        <v>1. HF 1</v>
      </c>
      <c r="G28" s="428" t="s">
        <v>4</v>
      </c>
      <c r="H28" s="429" t="str">
        <f>"1. "&amp;B13</f>
        <v>1. HF 2</v>
      </c>
      <c r="I28" s="507">
        <f>VLOOKUP(Sprache!$E$71&amp;MID($F28,7,2),$B$12:$AB$23,MID($F28,1,1)+24,0)</f>
        <v>0</v>
      </c>
      <c r="J28" s="508" t="s">
        <v>4</v>
      </c>
      <c r="K28" s="509" t="str">
        <f ca="1">IF(OR($I13="",$K13="",$L13="",$N13=""),"",IF($L13&gt;$N13,$I13,IF($L13&lt;$N13,$K13,IF($O13&gt;$Q13,$I13,IF($O13&lt;$Q13,$K13,"")))))</f>
        <v/>
      </c>
      <c r="L28" s="433"/>
      <c r="M28" s="373" t="str">
        <f>Sprache!$E$90</f>
        <v>:</v>
      </c>
      <c r="N28" s="514"/>
      <c r="O28" s="345"/>
      <c r="P28" s="373" t="str">
        <f>Sprache!$E$90</f>
        <v>:</v>
      </c>
      <c r="Q28" s="673"/>
      <c r="R28" s="676"/>
      <c r="S28" s="695" t="str">
        <f>Sprache!$E$90</f>
        <v>:</v>
      </c>
      <c r="T28" s="671"/>
      <c r="U28" s="769"/>
      <c r="V28" s="767"/>
      <c r="X28" s="442" t="s">
        <v>282</v>
      </c>
      <c r="Y28" s="474" t="str">
        <f ca="1">IF(Vorrunde!$R$25="","",Vorrunde!$R$25)</f>
        <v>Inter Mailand</v>
      </c>
      <c r="Z28" s="290"/>
      <c r="AA28" s="336" t="str">
        <f t="shared" ca="1" si="9"/>
        <v/>
      </c>
      <c r="AB28" s="336" t="str">
        <f t="shared" ca="1" si="10"/>
        <v/>
      </c>
      <c r="AC28" s="336" t="b">
        <f t="shared" si="11"/>
        <v>0</v>
      </c>
      <c r="AD28" s="523" t="b">
        <f t="shared" ca="1" si="12"/>
        <v>0</v>
      </c>
      <c r="AE28" s="336" t="b">
        <f t="shared" si="13"/>
        <v>0</v>
      </c>
      <c r="AF28" s="523">
        <f t="shared" ca="1" si="14"/>
        <v>0</v>
      </c>
      <c r="AG28" s="523">
        <f t="shared" ca="1" si="15"/>
        <v>0</v>
      </c>
      <c r="AH28" s="336"/>
      <c r="AI28" s="523"/>
      <c r="AJ28" s="523"/>
    </row>
    <row r="29" spans="2:36" ht="24" customHeight="1" thickTop="1" thickBot="1" x14ac:dyDescent="0.25">
      <c r="B29" s="325"/>
      <c r="I29" s="524" t="s">
        <v>250</v>
      </c>
      <c r="J29" s="482"/>
      <c r="K29" s="524" t="s">
        <v>250</v>
      </c>
      <c r="X29" s="461" t="s">
        <v>283</v>
      </c>
      <c r="Y29" s="474" t="str">
        <f ca="1">IF(Vorrunde!$R$35="","",Vorrunde!$R$35)</f>
        <v>1. FC Nürnberg</v>
      </c>
      <c r="Z29" s="469"/>
    </row>
    <row r="30" spans="2:36" ht="24" customHeight="1" thickBot="1" x14ac:dyDescent="0.3">
      <c r="B30" s="325"/>
      <c r="C30" s="816" t="str">
        <f>Sprache!$E$67&amp;"17"&amp;Sprache!$E$68&amp;"20"</f>
        <v>Finalspiele um die Plätze 17 bis 20</v>
      </c>
      <c r="D30" s="816"/>
      <c r="E30" s="816"/>
      <c r="F30" s="816"/>
      <c r="G30" s="816"/>
      <c r="H30" s="816"/>
      <c r="I30" s="526" t="s">
        <v>250</v>
      </c>
      <c r="J30" s="525"/>
      <c r="K30" s="526" t="s">
        <v>250</v>
      </c>
      <c r="L30" s="927" t="str">
        <f>Sprache!$E$72</f>
        <v>1. Satz</v>
      </c>
      <c r="M30" s="928"/>
      <c r="N30" s="928"/>
      <c r="O30" s="928" t="str">
        <f>Sprache!$E$73</f>
        <v>2. Satz</v>
      </c>
      <c r="P30" s="928"/>
      <c r="Q30" s="928"/>
      <c r="R30" s="925" t="str">
        <f>Sprache!$E$75</f>
        <v>3. Satz</v>
      </c>
      <c r="S30" s="926"/>
      <c r="T30" s="926"/>
      <c r="U30" s="773"/>
      <c r="V30" s="485"/>
      <c r="X30" s="414" t="s">
        <v>331</v>
      </c>
      <c r="Y30" s="475" t="str">
        <f ca="1">IF(Vorrunde!$R$45="","",Vorrunde!$R$45)</f>
        <v>RB Leipzig</v>
      </c>
      <c r="Z30" s="469"/>
    </row>
    <row r="31" spans="2:36" ht="24" customHeight="1" thickTop="1" x14ac:dyDescent="0.25">
      <c r="B31" s="523"/>
      <c r="C31" s="531">
        <f t="array" aca="1" ref="C31" ca="1">ROW(75:75)-SUM(((Planung!$L$6:$L$65="")+(Planung!$N$6:$N$65="")&gt;0)*1)-SUM((($I$12:$I30="")+($K$12:$K30="")&gt;0)*1)</f>
        <v>51</v>
      </c>
      <c r="D31" s="486">
        <f t="array" aca="1" ref="D31" ca="1">IF(Planung!$V$15,"",$D$12+QUOTIENT(($C31-$C$12),Planung!$V$11)*(Planung!$S$7+Planung!$S$9)/1440+SUM($V$12:$V30)/1440)</f>
        <v>0.66666666666666674</v>
      </c>
      <c r="E31" s="487">
        <f ca="1">IF(Planung!$V$15,"",MOD($C31-$C$12,Planung!$V$11)+1)</f>
        <v>3</v>
      </c>
      <c r="F31" s="488" t="str">
        <f>"2. "&amp;B14</f>
        <v>2. HF 3</v>
      </c>
      <c r="G31" s="489" t="s">
        <v>4</v>
      </c>
      <c r="H31" s="490" t="str">
        <f>"2. "&amp;B15</f>
        <v>2. HF 4</v>
      </c>
      <c r="I31" s="491" t="str">
        <f ca="1">VLOOKUP(Sprache!$E$71&amp;MID($F31,7,2),$B$12:$AB$23,MID($F31,1,1)+24,0)</f>
        <v>Real Madrid</v>
      </c>
      <c r="J31" s="492" t="s">
        <v>4</v>
      </c>
      <c r="K31" s="493" t="str">
        <f ca="1">VLOOKUP(Sprache!$E$71&amp;MID($H31,7,2),$B$12:$AB$23,MID($H31,1,1)+24,0)</f>
        <v>Manchester City</v>
      </c>
      <c r="L31" s="494">
        <v>25</v>
      </c>
      <c r="M31" s="368" t="str">
        <f>Sprache!$E$90</f>
        <v>:</v>
      </c>
      <c r="N31" s="520">
        <v>15</v>
      </c>
      <c r="O31" s="367">
        <v>25</v>
      </c>
      <c r="P31" s="368" t="str">
        <f>Sprache!$E$90</f>
        <v>:</v>
      </c>
      <c r="Q31" s="672">
        <v>12</v>
      </c>
      <c r="R31" s="675"/>
      <c r="S31" s="698" t="str">
        <f>Sprache!$E$90</f>
        <v>:</v>
      </c>
      <c r="T31" s="678"/>
      <c r="U31" s="768"/>
      <c r="V31" s="748"/>
      <c r="Y31" s="627">
        <f t="array" aca="1" ref="Y31" ca="1">SUM((Y27:Y30&lt;&gt;"")*1)</f>
        <v>4</v>
      </c>
      <c r="Z31" s="469"/>
      <c r="AA31" s="336" t="str">
        <f t="shared" ref="AA31:AA32" ca="1" si="16">IF(AF31&gt;AG31,$I31,IF(AF31&lt;AG31,$K31,""))</f>
        <v>Real Madrid</v>
      </c>
      <c r="AB31" s="336" t="str">
        <f t="shared" ref="AB31:AB32" ca="1" si="17">IF(AF31&lt;AG31,$I31,IF(AF31&gt;AG31,$K31,""))</f>
        <v>Manchester City</v>
      </c>
      <c r="AC31" s="336" t="b">
        <f t="shared" ref="AC31:AC32" si="18">AND($L31&lt;&gt;"",$N31&lt;&gt;"",$O31&lt;&gt;"",$Q31&lt;&gt;"",$L31&lt;&gt;$N31,$O31&lt;&gt;$Q31,($L31&gt;$N31)+($O31&gt;$Q31)=1)</f>
        <v>0</v>
      </c>
      <c r="AD31" s="523" t="b">
        <f t="shared" ref="AD31:AD32" ca="1" si="19">AND($L31&lt;&gt;"",$N31&lt;&gt;"",$L31&lt;&gt;$N31,OR(AND($O31="",$Q31=""),AND($O31&lt;&gt;"",$Q31&lt;&gt;"",$O31&lt;&gt;$Q31)),$I31&lt;&gt;"",$K31&lt;&gt;"",$I31&lt;&gt;$K31)</f>
        <v>1</v>
      </c>
      <c r="AE31" s="336" t="b">
        <f t="shared" ref="AE31:AE32" si="20">AND(AC31,$R31&lt;&gt;"",$T31&lt;&gt;"",$R31&lt;&gt;$T31)</f>
        <v>0</v>
      </c>
      <c r="AF31" s="523">
        <f t="shared" ref="AF31:AF32" ca="1" si="21">(($L31&gt;$N31)+($O31&gt;$Q31)+($R31&gt;$T31)*AE31)*AD31</f>
        <v>2</v>
      </c>
      <c r="AG31" s="523">
        <f t="shared" ref="AG31:AG32" ca="1" si="22">(($L31&lt;$N31)+($O31&lt;$Q31)+($R31&lt;$T31)*AE31)*AD31</f>
        <v>0</v>
      </c>
      <c r="AH31" s="336"/>
      <c r="AI31" s="523"/>
      <c r="AJ31" s="523"/>
    </row>
    <row r="32" spans="2:36" ht="24" customHeight="1" thickBot="1" x14ac:dyDescent="0.45">
      <c r="B32" s="523"/>
      <c r="C32" s="529">
        <f t="array" aca="1" ref="C32" ca="1">ROW(76:76)-SUM(((Planung!$L$6:$L$65="")+(Planung!$N$6:$N$65="")&gt;0)*1)-SUM((($I$12:$I31="")+($K$12:$K31="")&gt;0)*1)</f>
        <v>52</v>
      </c>
      <c r="D32" s="176">
        <f t="array" aca="1" ref="D32" ca="1">IF(Planung!$V$15,"",$D$12+QUOTIENT(($C32-$C$12),Planung!$V$11)*(Planung!$S$7+Planung!$S$9)/1440+SUM($V$12:$V31)/1440)</f>
        <v>0.66666666666666674</v>
      </c>
      <c r="E32" s="177">
        <f ca="1">IF(Planung!$V$15,"",MOD($C32-$C$12,Planung!$V$11)+1)</f>
        <v>4</v>
      </c>
      <c r="F32" s="427" t="str">
        <f>"1. "&amp;B14</f>
        <v>1. HF 3</v>
      </c>
      <c r="G32" s="428" t="s">
        <v>4</v>
      </c>
      <c r="H32" s="429" t="str">
        <f>"1. "&amp;B15</f>
        <v>1. HF 4</v>
      </c>
      <c r="I32" s="507">
        <f>VLOOKUP(Sprache!$E$71&amp;MID($F32,7,2),$B$12:$AB$23,MID($F32,1,1)+24,0)</f>
        <v>0</v>
      </c>
      <c r="J32" s="508" t="s">
        <v>4</v>
      </c>
      <c r="K32" s="509">
        <f>VLOOKUP(Sprache!$E$71&amp;MID($H32,7,2),$B$12:$AB$23,MID($H32,1,1)+24,0)</f>
        <v>0</v>
      </c>
      <c r="L32" s="433">
        <v>25</v>
      </c>
      <c r="M32" s="373" t="str">
        <f>Sprache!$E$90</f>
        <v>:</v>
      </c>
      <c r="N32" s="514">
        <v>20</v>
      </c>
      <c r="O32" s="345">
        <v>25</v>
      </c>
      <c r="P32" s="373" t="str">
        <f>Sprache!$E$90</f>
        <v>:</v>
      </c>
      <c r="Q32" s="673">
        <v>18</v>
      </c>
      <c r="R32" s="676"/>
      <c r="S32" s="695" t="str">
        <f>Sprache!$E$90</f>
        <v>:</v>
      </c>
      <c r="T32" s="671"/>
      <c r="U32" s="769"/>
      <c r="V32" s="767"/>
      <c r="X32" s="843" t="str">
        <f>Sprache!$E$61</f>
        <v>Gruppendritte</v>
      </c>
      <c r="Y32" s="843"/>
      <c r="Z32" s="292"/>
      <c r="AA32" s="336" t="str">
        <f t="shared" si="16"/>
        <v/>
      </c>
      <c r="AB32" s="336" t="str">
        <f t="shared" si="17"/>
        <v/>
      </c>
      <c r="AC32" s="336" t="b">
        <f t="shared" si="18"/>
        <v>0</v>
      </c>
      <c r="AD32" s="523" t="b">
        <f t="shared" si="19"/>
        <v>0</v>
      </c>
      <c r="AE32" s="336" t="b">
        <f t="shared" si="20"/>
        <v>0</v>
      </c>
      <c r="AF32" s="523">
        <f t="shared" si="21"/>
        <v>0</v>
      </c>
      <c r="AG32" s="523">
        <f t="shared" si="22"/>
        <v>0</v>
      </c>
      <c r="AH32" s="336"/>
      <c r="AI32" s="523"/>
      <c r="AJ32" s="523"/>
    </row>
    <row r="33" spans="2:36" ht="24" customHeight="1" thickTop="1" thickBot="1" x14ac:dyDescent="0.25">
      <c r="B33" s="325"/>
      <c r="I33" s="524" t="s">
        <v>250</v>
      </c>
      <c r="J33" s="482"/>
      <c r="K33" s="524" t="s">
        <v>250</v>
      </c>
      <c r="X33" s="443"/>
      <c r="Y33" s="472" t="str">
        <f>Sprache!$E$10</f>
        <v>Teilnehmer bzw. Mannschaft</v>
      </c>
      <c r="Z33" s="292"/>
    </row>
    <row r="34" spans="2:36" ht="24" customHeight="1" thickBot="1" x14ac:dyDescent="0.3">
      <c r="B34" s="325"/>
      <c r="C34" s="816" t="str">
        <f>Sprache!$E$67&amp;"13"&amp;Sprache!$E$68&amp;"16"</f>
        <v>Finalspiele um die Plätze 13 bis 16</v>
      </c>
      <c r="D34" s="816"/>
      <c r="E34" s="816"/>
      <c r="F34" s="816"/>
      <c r="G34" s="816"/>
      <c r="H34" s="816"/>
      <c r="I34" s="526" t="s">
        <v>250</v>
      </c>
      <c r="J34" s="525"/>
      <c r="K34" s="526" t="s">
        <v>250</v>
      </c>
      <c r="L34" s="927" t="str">
        <f>Sprache!$E$72</f>
        <v>1. Satz</v>
      </c>
      <c r="M34" s="928"/>
      <c r="N34" s="928"/>
      <c r="O34" s="928" t="str">
        <f>Sprache!$E$73</f>
        <v>2. Satz</v>
      </c>
      <c r="P34" s="928"/>
      <c r="Q34" s="928"/>
      <c r="R34" s="925" t="str">
        <f>Sprache!$E$75</f>
        <v>3. Satz</v>
      </c>
      <c r="S34" s="926"/>
      <c r="T34" s="926"/>
      <c r="U34" s="773"/>
      <c r="V34" s="485"/>
      <c r="X34" s="462" t="s">
        <v>278</v>
      </c>
      <c r="Y34" s="473" t="str">
        <f ca="1">IF(Vorrunde!$R$14="","",Vorrunde!$R$14)</f>
        <v>Eintracht Frankfurt</v>
      </c>
      <c r="Z34" s="292"/>
    </row>
    <row r="35" spans="2:36" ht="24" customHeight="1" thickTop="1" x14ac:dyDescent="0.25">
      <c r="B35" s="523"/>
      <c r="C35" s="531">
        <f t="array" aca="1" ref="C35" ca="1">ROW(77:77)-SUM(((Planung!$L$6:$L$65="")+(Planung!$N$6:$N$65="")&gt;0)*1)-SUM((($I$12:$I34="")+($K$12:$K34="")&gt;0)*1)</f>
        <v>53</v>
      </c>
      <c r="D35" s="486">
        <f t="array" aca="1" ref="D35" ca="1">IF(Planung!$V$15,"",$D$12+QUOTIENT(($C35-$C$12),Planung!$V$11)*(Planung!$S$7+Planung!$S$9)/1440+SUM($V$12:$V34)/1440)</f>
        <v>0.69097222222222221</v>
      </c>
      <c r="E35" s="487">
        <f ca="1">IF(Planung!$V$15,"",MOD($C35-$C$12,Planung!$V$11)+1)</f>
        <v>1</v>
      </c>
      <c r="F35" s="488" t="str">
        <f>"2. "&amp;B16</f>
        <v>2. HF 5</v>
      </c>
      <c r="G35" s="489" t="s">
        <v>4</v>
      </c>
      <c r="H35" s="490" t="str">
        <f>"2. "&amp;B17</f>
        <v>2. HF 6</v>
      </c>
      <c r="I35" s="491" t="str">
        <f ca="1">VLOOKUP(Sprache!$E$71&amp;MID($F35,7,2),$B$12:$AB$23,MID($F35,1,1)+24,0)</f>
        <v>Maibach 1822 eV</v>
      </c>
      <c r="J35" s="492" t="s">
        <v>4</v>
      </c>
      <c r="K35" s="493" t="str">
        <f ca="1">VLOOKUP(Sprache!$E$71&amp;MID($H35,7,2),$B$12:$AB$23,MID($H35,1,1)+24,0)</f>
        <v>RB Leipzig</v>
      </c>
      <c r="L35" s="494">
        <v>25</v>
      </c>
      <c r="M35" s="368" t="str">
        <f>Sprache!$E$90</f>
        <v>:</v>
      </c>
      <c r="N35" s="520">
        <v>21</v>
      </c>
      <c r="O35" s="367">
        <v>25</v>
      </c>
      <c r="P35" s="368" t="str">
        <f>Sprache!$E$90</f>
        <v>:</v>
      </c>
      <c r="Q35" s="672">
        <v>19</v>
      </c>
      <c r="R35" s="675"/>
      <c r="S35" s="698" t="str">
        <f>Sprache!$E$90</f>
        <v>:</v>
      </c>
      <c r="T35" s="678"/>
      <c r="U35" s="768"/>
      <c r="V35" s="748"/>
      <c r="X35" s="442" t="s">
        <v>279</v>
      </c>
      <c r="Y35" s="474" t="str">
        <f ca="1">IF(Vorrunde!$R$24="","",Vorrunde!$R$24)</f>
        <v>FC Grönlingen</v>
      </c>
      <c r="Z35" s="292"/>
      <c r="AA35" s="336" t="str">
        <f t="shared" ref="AA35:AA36" ca="1" si="23">IF(AF35&gt;AG35,$I35,IF(AF35&lt;AG35,$K35,""))</f>
        <v>Maibach 1822 eV</v>
      </c>
      <c r="AB35" s="336" t="str">
        <f t="shared" ref="AB35:AB36" ca="1" si="24">IF(AF35&lt;AG35,$I35,IF(AF35&gt;AG35,$K35,""))</f>
        <v>RB Leipzig</v>
      </c>
      <c r="AC35" s="336" t="b">
        <f t="shared" ref="AC35:AC36" si="25">AND($L35&lt;&gt;"",$N35&lt;&gt;"",$O35&lt;&gt;"",$Q35&lt;&gt;"",$L35&lt;&gt;$N35,$O35&lt;&gt;$Q35,($L35&gt;$N35)+($O35&gt;$Q35)=1)</f>
        <v>0</v>
      </c>
      <c r="AD35" s="523" t="b">
        <f t="shared" ref="AD35:AD36" ca="1" si="26">AND($L35&lt;&gt;"",$N35&lt;&gt;"",$L35&lt;&gt;$N35,OR(AND($O35="",$Q35=""),AND($O35&lt;&gt;"",$Q35&lt;&gt;"",$O35&lt;&gt;$Q35)),$I35&lt;&gt;"",$K35&lt;&gt;"",$I35&lt;&gt;$K35)</f>
        <v>1</v>
      </c>
      <c r="AE35" s="336" t="b">
        <f t="shared" ref="AE35:AE36" si="27">AND(AC35,$R35&lt;&gt;"",$T35&lt;&gt;"",$R35&lt;&gt;$T35)</f>
        <v>0</v>
      </c>
      <c r="AF35" s="523">
        <f t="shared" ref="AF35:AF36" ca="1" si="28">(($L35&gt;$N35)+($O35&gt;$Q35)+($R35&gt;$T35)*AE35)*AD35</f>
        <v>2</v>
      </c>
      <c r="AG35" s="523">
        <f t="shared" ref="AG35:AG36" ca="1" si="29">(($L35&lt;$N35)+($O35&lt;$Q35)+($R35&lt;$T35)*AE35)*AD35</f>
        <v>0</v>
      </c>
      <c r="AH35" s="336"/>
      <c r="AI35" s="523"/>
      <c r="AJ35" s="523"/>
    </row>
    <row r="36" spans="2:36" ht="24" customHeight="1" thickBot="1" x14ac:dyDescent="0.3">
      <c r="B36" s="523"/>
      <c r="C36" s="529">
        <f t="array" aca="1" ref="C36" ca="1">ROW(78:78)-SUM(((Planung!$L$6:$L$65="")+(Planung!$N$6:$N$65="")&gt;0)*1)-SUM((($I$12:$I35="")+($K$12:$K35="")&gt;0)*1)</f>
        <v>54</v>
      </c>
      <c r="D36" s="176">
        <f t="array" aca="1" ref="D36" ca="1">IF(Planung!$V$15,"",$D$12+QUOTIENT(($C36-$C$12),Planung!$V$11)*(Planung!$S$7+Planung!$S$9)/1440+SUM($V$12:$V35)/1440)</f>
        <v>0.69097222222222221</v>
      </c>
      <c r="E36" s="177">
        <f ca="1">IF(Planung!$V$15,"",MOD($C36-$C$12,Planung!$V$11)+1)</f>
        <v>2</v>
      </c>
      <c r="F36" s="427" t="str">
        <f>"1. "&amp;B16</f>
        <v>1. HF 5</v>
      </c>
      <c r="G36" s="428" t="s">
        <v>4</v>
      </c>
      <c r="H36" s="429" t="str">
        <f>"1. "&amp;B17</f>
        <v>1. HF 6</v>
      </c>
      <c r="I36" s="507">
        <f>VLOOKUP(Sprache!$E$71&amp;MID($F36,7,2),$B$12:$AB$23,MID($F36,1,1)+24,0)</f>
        <v>0</v>
      </c>
      <c r="J36" s="508" t="s">
        <v>4</v>
      </c>
      <c r="K36" s="509">
        <f>VLOOKUP(Sprache!$E$71&amp;MID($H36,7,2),$B$12:$AB$23,MID($H36,1,1)+24,0)</f>
        <v>0</v>
      </c>
      <c r="L36" s="433">
        <v>25</v>
      </c>
      <c r="M36" s="373" t="str">
        <f>Sprache!$E$90</f>
        <v>:</v>
      </c>
      <c r="N36" s="514">
        <v>22</v>
      </c>
      <c r="O36" s="345">
        <v>25</v>
      </c>
      <c r="P36" s="373" t="str">
        <f>Sprache!$E$90</f>
        <v>:</v>
      </c>
      <c r="Q36" s="673">
        <v>17</v>
      </c>
      <c r="R36" s="676"/>
      <c r="S36" s="695" t="str">
        <f>Sprache!$E$90</f>
        <v>:</v>
      </c>
      <c r="T36" s="671"/>
      <c r="U36" s="769"/>
      <c r="V36" s="767"/>
      <c r="X36" s="461" t="s">
        <v>280</v>
      </c>
      <c r="Y36" s="474" t="str">
        <f ca="1">IF(Vorrunde!$R$34="","",Vorrunde!$R$34)</f>
        <v>Borussia Dortmund</v>
      </c>
      <c r="Z36" s="292"/>
      <c r="AA36" s="336" t="str">
        <f t="shared" si="23"/>
        <v/>
      </c>
      <c r="AB36" s="336" t="str">
        <f t="shared" si="24"/>
        <v/>
      </c>
      <c r="AC36" s="336" t="b">
        <f t="shared" si="25"/>
        <v>0</v>
      </c>
      <c r="AD36" s="523" t="b">
        <f t="shared" si="26"/>
        <v>0</v>
      </c>
      <c r="AE36" s="336" t="b">
        <f t="shared" si="27"/>
        <v>0</v>
      </c>
      <c r="AF36" s="523">
        <f t="shared" si="28"/>
        <v>0</v>
      </c>
      <c r="AG36" s="523">
        <f t="shared" si="29"/>
        <v>0</v>
      </c>
      <c r="AH36" s="336"/>
      <c r="AI36" s="523"/>
      <c r="AJ36" s="523"/>
    </row>
    <row r="37" spans="2:36" ht="24" customHeight="1" thickTop="1" thickBot="1" x14ac:dyDescent="0.25">
      <c r="B37" s="325"/>
      <c r="I37" s="524" t="s">
        <v>250</v>
      </c>
      <c r="J37" s="482"/>
      <c r="K37" s="524" t="s">
        <v>250</v>
      </c>
      <c r="X37" s="414" t="s">
        <v>330</v>
      </c>
      <c r="Y37" s="475" t="str">
        <f ca="1">IF(Vorrunde!$R$44="","",Vorrunde!$R$44)</f>
        <v>SV Oberredenburg</v>
      </c>
      <c r="Z37" s="292"/>
    </row>
    <row r="38" spans="2:36" ht="24" customHeight="1" thickTop="1" thickBot="1" x14ac:dyDescent="0.3">
      <c r="B38" s="325"/>
      <c r="C38" s="816" t="str">
        <f>Sprache!$E$67&amp;"9"&amp;Sprache!$E$68&amp;"12"</f>
        <v>Finalspiele um die Plätze 9 bis 12</v>
      </c>
      <c r="D38" s="816"/>
      <c r="E38" s="816"/>
      <c r="F38" s="816"/>
      <c r="G38" s="816"/>
      <c r="H38" s="816"/>
      <c r="I38" s="526" t="s">
        <v>250</v>
      </c>
      <c r="J38" s="525"/>
      <c r="K38" s="526" t="s">
        <v>250</v>
      </c>
      <c r="L38" s="927" t="str">
        <f>Sprache!$E$72</f>
        <v>1. Satz</v>
      </c>
      <c r="M38" s="928"/>
      <c r="N38" s="928"/>
      <c r="O38" s="928" t="str">
        <f>Sprache!$E$73</f>
        <v>2. Satz</v>
      </c>
      <c r="P38" s="928"/>
      <c r="Q38" s="928"/>
      <c r="R38" s="925" t="str">
        <f>Sprache!$E$75</f>
        <v>3. Satz</v>
      </c>
      <c r="S38" s="926"/>
      <c r="T38" s="926"/>
      <c r="U38" s="773"/>
      <c r="V38" s="485"/>
      <c r="Y38" s="627">
        <f t="array" aca="1" ref="Y38" ca="1">SUM((Y34:Y37&lt;&gt;"")*1)</f>
        <v>4</v>
      </c>
      <c r="Z38" s="292"/>
    </row>
    <row r="39" spans="2:36" ht="24" customHeight="1" thickTop="1" thickBot="1" x14ac:dyDescent="0.45">
      <c r="B39" s="523"/>
      <c r="C39" s="531">
        <f t="array" aca="1" ref="C39" ca="1">ROW(79:79)-SUM(((Planung!$L$6:$L$65="")+(Planung!$N$6:$N$65="")&gt;0)*1)-SUM((($I$12:$I38="")+($K$12:$K38="")&gt;0)*1)</f>
        <v>55</v>
      </c>
      <c r="D39" s="486">
        <f t="array" aca="1" ref="D39" ca="1">IF(Planung!$V$15,"",$D$12+QUOTIENT(($C39-$C$12),Planung!$V$11)*(Planung!$S$7+Planung!$S$9)/1440+SUM($V$12:$V38)/1440)</f>
        <v>0.69097222222222221</v>
      </c>
      <c r="E39" s="487">
        <f ca="1">IF(Planung!$V$15,"",MOD($C39-$C$12,Planung!$V$11)+1)</f>
        <v>3</v>
      </c>
      <c r="F39" s="488" t="str">
        <f>"2. "&amp;B18</f>
        <v>2. HF 7</v>
      </c>
      <c r="G39" s="489" t="s">
        <v>4</v>
      </c>
      <c r="H39" s="490" t="str">
        <f>"2. "&amp;B19</f>
        <v>2. HF 8</v>
      </c>
      <c r="I39" s="491" t="str">
        <f ca="1">VLOOKUP(Sprache!$E$71&amp;MID($F39,7,2),$B$12:$AB$23,MID($F39,1,1)+24,0)</f>
        <v>Borussia Dortmund</v>
      </c>
      <c r="J39" s="492" t="s">
        <v>4</v>
      </c>
      <c r="K39" s="493" t="str">
        <f ca="1">VLOOKUP(Sprache!$E$71&amp;MID($H39,7,2),$B$12:$AB$23,MID($H39,1,1)+24,0)</f>
        <v>SV Oberredenburg</v>
      </c>
      <c r="L39" s="494">
        <v>25</v>
      </c>
      <c r="M39" s="368" t="str">
        <f>Sprache!$E$90</f>
        <v>:</v>
      </c>
      <c r="N39" s="520">
        <v>17</v>
      </c>
      <c r="O39" s="367">
        <v>25</v>
      </c>
      <c r="P39" s="368" t="str">
        <f>Sprache!$E$90</f>
        <v>:</v>
      </c>
      <c r="Q39" s="672">
        <v>14</v>
      </c>
      <c r="R39" s="675"/>
      <c r="S39" s="698" t="str">
        <f>Sprache!$E$90</f>
        <v>:</v>
      </c>
      <c r="T39" s="678"/>
      <c r="U39" s="768"/>
      <c r="V39" s="748"/>
      <c r="X39" s="843" t="str">
        <f>Sprache!$E$60</f>
        <v>Gruppenzweite</v>
      </c>
      <c r="Y39" s="843"/>
      <c r="Z39" s="292"/>
      <c r="AA39" s="336" t="str">
        <f t="shared" ref="AA39:AA40" ca="1" si="30">IF(AF39&gt;AG39,$I39,IF(AF39&lt;AG39,$K39,""))</f>
        <v>Borussia Dortmund</v>
      </c>
      <c r="AB39" s="336" t="str">
        <f t="shared" ref="AB39:AB40" ca="1" si="31">IF(AF39&lt;AG39,$I39,IF(AF39&gt;AG39,$K39,""))</f>
        <v>SV Oberredenburg</v>
      </c>
      <c r="AC39" s="336" t="b">
        <f t="shared" ref="AC39:AC40" si="32">AND($L39&lt;&gt;"",$N39&lt;&gt;"",$O39&lt;&gt;"",$Q39&lt;&gt;"",$L39&lt;&gt;$N39,$O39&lt;&gt;$Q39,($L39&gt;$N39)+($O39&gt;$Q39)=1)</f>
        <v>0</v>
      </c>
      <c r="AD39" s="523" t="b">
        <f t="shared" ref="AD39:AD40" ca="1" si="33">AND($L39&lt;&gt;"",$N39&lt;&gt;"",$L39&lt;&gt;$N39,OR(AND($O39="",$Q39=""),AND($O39&lt;&gt;"",$Q39&lt;&gt;"",$O39&lt;&gt;$Q39)),$I39&lt;&gt;"",$K39&lt;&gt;"",$I39&lt;&gt;$K39)</f>
        <v>1</v>
      </c>
      <c r="AE39" s="336" t="b">
        <f t="shared" ref="AE39:AE40" si="34">AND(AC39,$R39&lt;&gt;"",$T39&lt;&gt;"",$R39&lt;&gt;$T39)</f>
        <v>0</v>
      </c>
      <c r="AF39" s="523">
        <f t="shared" ref="AF39:AF40" ca="1" si="35">(($L39&gt;$N39)+($O39&gt;$Q39)+($R39&gt;$T39)*AE39)*AD39</f>
        <v>2</v>
      </c>
      <c r="AG39" s="523">
        <f t="shared" ref="AG39:AG40" ca="1" si="36">(($L39&lt;$N39)+($O39&lt;$Q39)+($R39&lt;$T39)*AE39)*AD39</f>
        <v>0</v>
      </c>
      <c r="AH39" s="336"/>
      <c r="AI39" s="523"/>
      <c r="AJ39" s="523"/>
    </row>
    <row r="40" spans="2:36" ht="24" customHeight="1" thickTop="1" thickBot="1" x14ac:dyDescent="0.3">
      <c r="B40" s="523"/>
      <c r="C40" s="529">
        <f t="array" aca="1" ref="C40" ca="1">ROW(80:80)-SUM(((Planung!$L$6:$L$65="")+(Planung!$N$6:$N$65="")&gt;0)*1)-SUM((($I$12:$I39="")+($K$12:$K39="")&gt;0)*1)</f>
        <v>56</v>
      </c>
      <c r="D40" s="176">
        <f t="array" aca="1" ref="D40" ca="1">IF(Planung!$V$15,"",$D$12+QUOTIENT(($C40-$C$12),Planung!$V$11)*(Planung!$S$7+Planung!$S$9)/1440+SUM($V$12:$V39)/1440)</f>
        <v>0.69097222222222221</v>
      </c>
      <c r="E40" s="177">
        <f ca="1">IF(Planung!$V$15,"",MOD($C40-$C$12,Planung!$V$11)+1)</f>
        <v>4</v>
      </c>
      <c r="F40" s="427" t="str">
        <f>"1. "&amp;B18</f>
        <v>1. HF 7</v>
      </c>
      <c r="G40" s="428" t="s">
        <v>4</v>
      </c>
      <c r="H40" s="429" t="str">
        <f>"1. "&amp;B19</f>
        <v>1. HF 8</v>
      </c>
      <c r="I40" s="507">
        <f>VLOOKUP(Sprache!$E$71&amp;MID($F40,7,2),$B$12:$AB$23,MID($F40,1,1)+24,0)</f>
        <v>0</v>
      </c>
      <c r="J40" s="508" t="s">
        <v>4</v>
      </c>
      <c r="K40" s="509">
        <f>VLOOKUP(Sprache!$E$71&amp;MID($H40,7,2),$B$12:$AB$23,MID($H40,1,1)+24,0)</f>
        <v>0</v>
      </c>
      <c r="L40" s="433">
        <v>25</v>
      </c>
      <c r="M40" s="373" t="str">
        <f>Sprache!$E$90</f>
        <v>:</v>
      </c>
      <c r="N40" s="514">
        <v>15</v>
      </c>
      <c r="O40" s="345">
        <v>25</v>
      </c>
      <c r="P40" s="373" t="str">
        <f>Sprache!$E$90</f>
        <v>:</v>
      </c>
      <c r="Q40" s="673">
        <v>20</v>
      </c>
      <c r="R40" s="676"/>
      <c r="S40" s="695" t="str">
        <f>Sprache!$E$90</f>
        <v>:</v>
      </c>
      <c r="T40" s="671"/>
      <c r="U40" s="769"/>
      <c r="V40" s="767"/>
      <c r="X40" s="443"/>
      <c r="Y40" s="472" t="str">
        <f>Sprache!$E$10</f>
        <v>Teilnehmer bzw. Mannschaft</v>
      </c>
      <c r="Z40" s="292"/>
      <c r="AA40" s="336" t="str">
        <f t="shared" si="30"/>
        <v/>
      </c>
      <c r="AB40" s="336" t="str">
        <f t="shared" si="31"/>
        <v/>
      </c>
      <c r="AC40" s="336" t="b">
        <f t="shared" si="32"/>
        <v>0</v>
      </c>
      <c r="AD40" s="523" t="b">
        <f t="shared" si="33"/>
        <v>0</v>
      </c>
      <c r="AE40" s="336" t="b">
        <f t="shared" si="34"/>
        <v>0</v>
      </c>
      <c r="AF40" s="523">
        <f t="shared" si="35"/>
        <v>0</v>
      </c>
      <c r="AG40" s="523">
        <f t="shared" si="36"/>
        <v>0</v>
      </c>
      <c r="AH40" s="336"/>
      <c r="AI40" s="523"/>
      <c r="AJ40" s="523"/>
    </row>
    <row r="41" spans="2:36" ht="24" customHeight="1" thickTop="1" thickBot="1" x14ac:dyDescent="0.25">
      <c r="B41" s="325"/>
      <c r="I41" s="524" t="s">
        <v>250</v>
      </c>
      <c r="J41" s="482"/>
      <c r="K41" s="524" t="s">
        <v>250</v>
      </c>
      <c r="X41" s="462" t="s">
        <v>275</v>
      </c>
      <c r="Y41" s="473" t="str">
        <f ca="1">IF(Vorrunde!$R$13="","",Vorrunde!$R$13)</f>
        <v>VFB Essenheim</v>
      </c>
      <c r="Z41" s="292"/>
    </row>
    <row r="42" spans="2:36" ht="24" customHeight="1" thickBot="1" x14ac:dyDescent="0.3">
      <c r="B42" s="325"/>
      <c r="C42" s="816" t="str">
        <f>Sprache!$E$67&amp;"5"&amp;Sprache!$E$68&amp;"8"</f>
        <v>Finalspiele um die Plätze 5 bis 8</v>
      </c>
      <c r="D42" s="816"/>
      <c r="E42" s="816"/>
      <c r="F42" s="816"/>
      <c r="G42" s="816"/>
      <c r="H42" s="816"/>
      <c r="I42" s="526" t="s">
        <v>250</v>
      </c>
      <c r="J42" s="525"/>
      <c r="K42" s="526" t="s">
        <v>250</v>
      </c>
      <c r="L42" s="927" t="str">
        <f>Sprache!$E$72</f>
        <v>1. Satz</v>
      </c>
      <c r="M42" s="928"/>
      <c r="N42" s="928"/>
      <c r="O42" s="928" t="str">
        <f>Sprache!$E$73</f>
        <v>2. Satz</v>
      </c>
      <c r="P42" s="928"/>
      <c r="Q42" s="928"/>
      <c r="R42" s="928" t="str">
        <f>Sprache!$E$75</f>
        <v>3. Satz</v>
      </c>
      <c r="S42" s="928"/>
      <c r="T42" s="925"/>
      <c r="U42" s="773"/>
      <c r="V42" s="485"/>
      <c r="X42" s="442" t="s">
        <v>276</v>
      </c>
      <c r="Y42" s="474" t="str">
        <f ca="1">IF(Vorrunde!$R$23="","",Vorrunde!$R$23)</f>
        <v>SSV Wildbach</v>
      </c>
      <c r="Z42" s="292"/>
    </row>
    <row r="43" spans="2:36" ht="24" customHeight="1" thickTop="1" x14ac:dyDescent="0.25">
      <c r="B43" s="523"/>
      <c r="C43" s="531">
        <f t="array" aca="1" ref="C43" ca="1">ROW(81:81)-SUM(((Planung!$L$6:$L$65="")+(Planung!$N$6:$N$65="")&gt;0)*1)-SUM((($I$12:$I42="")+($K$12:$K42="")&gt;0)*1)</f>
        <v>57</v>
      </c>
      <c r="D43" s="486">
        <f t="array" aca="1" ref="D43" ca="1">IF(Planung!$V$15,"",$D$12+QUOTIENT(($C43-$C$12),Planung!$V$11)*(Planung!$S$7+Planung!$S$9)/1440+SUM($V$12:$V42)/1440)</f>
        <v>0.71527777777777779</v>
      </c>
      <c r="E43" s="487">
        <f ca="1">IF(Planung!$V$15,"",MOD($C43-$C$12,Planung!$V$11)+1)</f>
        <v>1</v>
      </c>
      <c r="F43" s="488" t="str">
        <f>"2. "&amp;B20</f>
        <v>2. HF 9</v>
      </c>
      <c r="G43" s="489" t="s">
        <v>4</v>
      </c>
      <c r="H43" s="490" t="str">
        <f>"2. "&amp;B21</f>
        <v>2. HF 10</v>
      </c>
      <c r="I43" s="491" t="str">
        <f ca="1">VLOOKUP(Sprache!$E$71&amp;MID($F43,7,2),$B$12:$AB$23,MID($F43,1,1)+24,0)</f>
        <v>VFB Essenheim</v>
      </c>
      <c r="J43" s="492" t="s">
        <v>4</v>
      </c>
      <c r="K43" s="493" t="str">
        <f ca="1">VLOOKUP(Sprache!$E$71&amp;MID($H43,7,2),$B$12:$AB$23,MID($H43,1,1)+24,0)</f>
        <v>SSV Wildbach</v>
      </c>
      <c r="L43" s="494">
        <v>25</v>
      </c>
      <c r="M43" s="368" t="str">
        <f>Sprache!$E$90</f>
        <v>:</v>
      </c>
      <c r="N43" s="520">
        <v>19</v>
      </c>
      <c r="O43" s="367">
        <v>14</v>
      </c>
      <c r="P43" s="368" t="str">
        <f>Sprache!$E$90</f>
        <v>:</v>
      </c>
      <c r="Q43" s="672">
        <v>25</v>
      </c>
      <c r="R43" s="675">
        <v>11</v>
      </c>
      <c r="S43" s="698" t="str">
        <f>Sprache!$E$90</f>
        <v>:</v>
      </c>
      <c r="T43" s="678">
        <v>15</v>
      </c>
      <c r="U43" s="768"/>
      <c r="V43" s="748"/>
      <c r="X43" s="461" t="s">
        <v>277</v>
      </c>
      <c r="Y43" s="474" t="str">
        <f ca="1">IF(Vorrunde!$R$33="","",Vorrunde!$R$33)</f>
        <v>FSV Rauen</v>
      </c>
      <c r="Z43" s="292"/>
      <c r="AA43" s="336" t="str">
        <f t="shared" ref="AA43:AA44" ca="1" si="37">IF(AF43&gt;AG43,$I43,IF(AF43&lt;AG43,$K43,""))</f>
        <v>SSV Wildbach</v>
      </c>
      <c r="AB43" s="336" t="str">
        <f t="shared" ref="AB43:AB44" ca="1" si="38">IF(AF43&lt;AG43,$I43,IF(AF43&gt;AG43,$K43,""))</f>
        <v>VFB Essenheim</v>
      </c>
      <c r="AC43" s="336" t="b">
        <f t="shared" ref="AC43:AC44" si="39">AND($L43&lt;&gt;"",$N43&lt;&gt;"",$O43&lt;&gt;"",$Q43&lt;&gt;"",$L43&lt;&gt;$N43,$O43&lt;&gt;$Q43,($L43&gt;$N43)+($O43&gt;$Q43)=1)</f>
        <v>1</v>
      </c>
      <c r="AD43" s="523" t="b">
        <f t="shared" ref="AD43:AD44" ca="1" si="40">AND($L43&lt;&gt;"",$N43&lt;&gt;"",$L43&lt;&gt;$N43,OR(AND($O43="",$Q43=""),AND($O43&lt;&gt;"",$Q43&lt;&gt;"",$O43&lt;&gt;$Q43)),$I43&lt;&gt;"",$K43&lt;&gt;"",$I43&lt;&gt;$K43)</f>
        <v>1</v>
      </c>
      <c r="AE43" s="336" t="b">
        <f t="shared" ref="AE43:AE44" si="41">AND(AC43,$R43&lt;&gt;"",$T43&lt;&gt;"",$R43&lt;&gt;$T43)</f>
        <v>1</v>
      </c>
      <c r="AF43" s="523">
        <f t="shared" ref="AF43:AF44" ca="1" si="42">(($L43&gt;$N43)+($O43&gt;$Q43)+($R43&gt;$T43)*AE43)*AD43</f>
        <v>1</v>
      </c>
      <c r="AG43" s="523">
        <f t="shared" ref="AG43:AG44" ca="1" si="43">(($L43&lt;$N43)+($O43&lt;$Q43)+($R43&lt;$T43)*AE43)*AD43</f>
        <v>2</v>
      </c>
      <c r="AH43" s="336"/>
      <c r="AI43" s="523"/>
      <c r="AJ43" s="523"/>
    </row>
    <row r="44" spans="2:36" ht="24" customHeight="1" thickBot="1" x14ac:dyDescent="0.3">
      <c r="B44" s="523"/>
      <c r="C44" s="529">
        <f t="array" aca="1" ref="C44" ca="1">ROW(82:82)-SUM(((Planung!$L$6:$L$65="")+(Planung!$N$6:$N$65="")&gt;0)*1)-SUM((($I$12:$I43="")+($K$12:$K43="")&gt;0)*1)</f>
        <v>58</v>
      </c>
      <c r="D44" s="176">
        <f t="array" aca="1" ref="D44" ca="1">IF(Planung!$V$15,"",$D$12+QUOTIENT(($C44-$C$12),Planung!$V$11)*(Planung!$S$7+Planung!$S$9)/1440+SUM($V$12:$V43)/1440)</f>
        <v>0.71527777777777779</v>
      </c>
      <c r="E44" s="177">
        <f ca="1">IF(Planung!$V$15,"",MOD($C44-$C$12,Planung!$V$11)+1)</f>
        <v>2</v>
      </c>
      <c r="F44" s="427" t="str">
        <f>"1. "&amp;B20</f>
        <v>1. HF 9</v>
      </c>
      <c r="G44" s="428" t="s">
        <v>4</v>
      </c>
      <c r="H44" s="429" t="str">
        <f>"1. "&amp;B21</f>
        <v>1. HF 10</v>
      </c>
      <c r="I44" s="507">
        <f>VLOOKUP(Sprache!$E$71&amp;MID($F44,7,2),$B$12:$AB$23,MID($F44,1,1)+24,0)</f>
        <v>0</v>
      </c>
      <c r="J44" s="508" t="s">
        <v>4</v>
      </c>
      <c r="K44" s="509">
        <f>VLOOKUP(Sprache!$E$71&amp;MID($H44,7,2),$B$12:$AB$23,MID($H44,1,1)+24,0)</f>
        <v>0</v>
      </c>
      <c r="L44" s="433">
        <v>25</v>
      </c>
      <c r="M44" s="373" t="str">
        <f>Sprache!$E$90</f>
        <v>:</v>
      </c>
      <c r="N44" s="514">
        <v>17</v>
      </c>
      <c r="O44" s="345">
        <v>25</v>
      </c>
      <c r="P44" s="373" t="str">
        <f>Sprache!$E$90</f>
        <v>:</v>
      </c>
      <c r="Q44" s="673">
        <v>12</v>
      </c>
      <c r="R44" s="676"/>
      <c r="S44" s="695" t="str">
        <f>Sprache!$E$90</f>
        <v>:</v>
      </c>
      <c r="T44" s="671"/>
      <c r="U44" s="769"/>
      <c r="V44" s="767"/>
      <c r="X44" s="414" t="s">
        <v>329</v>
      </c>
      <c r="Y44" s="475" t="str">
        <f ca="1">IF(Vorrunde!$R$43="","",Vorrunde!$R$43)</f>
        <v>Paris St. Germain</v>
      </c>
      <c r="Z44" s="470"/>
      <c r="AA44" s="336" t="str">
        <f t="shared" si="37"/>
        <v/>
      </c>
      <c r="AB44" s="336" t="str">
        <f t="shared" si="38"/>
        <v/>
      </c>
      <c r="AC44" s="336" t="b">
        <f t="shared" si="39"/>
        <v>0</v>
      </c>
      <c r="AD44" s="523" t="b">
        <f t="shared" si="40"/>
        <v>0</v>
      </c>
      <c r="AE44" s="336" t="b">
        <f t="shared" si="41"/>
        <v>0</v>
      </c>
      <c r="AF44" s="523">
        <f t="shared" si="42"/>
        <v>0</v>
      </c>
      <c r="AG44" s="523">
        <f t="shared" si="43"/>
        <v>0</v>
      </c>
      <c r="AH44" s="336"/>
      <c r="AI44" s="523"/>
      <c r="AJ44" s="523"/>
    </row>
    <row r="45" spans="2:36" ht="24" customHeight="1" thickTop="1" thickBot="1" x14ac:dyDescent="0.25">
      <c r="B45" s="325"/>
      <c r="I45" s="524" t="s">
        <v>250</v>
      </c>
      <c r="J45" s="482"/>
      <c r="K45" s="524" t="s">
        <v>250</v>
      </c>
      <c r="Y45" s="627">
        <f t="array" aca="1" ref="Y45" ca="1">SUM((Y41:Y44&lt;&gt;"")*1)</f>
        <v>4</v>
      </c>
      <c r="Z45" s="470"/>
    </row>
    <row r="46" spans="2:36" ht="24" customHeight="1" thickBot="1" x14ac:dyDescent="0.45">
      <c r="B46" s="325"/>
      <c r="C46" s="816" t="str">
        <f>Sprache!$E$66</f>
        <v>Spiel um den dritten Platz</v>
      </c>
      <c r="D46" s="816"/>
      <c r="E46" s="816"/>
      <c r="F46" s="816"/>
      <c r="G46" s="816"/>
      <c r="H46" s="816"/>
      <c r="I46" s="526" t="s">
        <v>250</v>
      </c>
      <c r="J46" s="525"/>
      <c r="K46" s="526" t="s">
        <v>250</v>
      </c>
      <c r="L46" s="927" t="str">
        <f>Sprache!$E$72</f>
        <v>1. Satz</v>
      </c>
      <c r="M46" s="928"/>
      <c r="N46" s="928"/>
      <c r="O46" s="928" t="str">
        <f>Sprache!$E$73</f>
        <v>2. Satz</v>
      </c>
      <c r="P46" s="928"/>
      <c r="Q46" s="928"/>
      <c r="R46" s="928" t="str">
        <f>Sprache!$E$75</f>
        <v>3. Satz</v>
      </c>
      <c r="S46" s="928"/>
      <c r="T46" s="925"/>
      <c r="U46" s="773"/>
      <c r="V46" s="485"/>
      <c r="X46" s="843" t="str">
        <f>Sprache!$E$59</f>
        <v>Gruppenerste</v>
      </c>
      <c r="Y46" s="843"/>
      <c r="Z46" s="470"/>
    </row>
    <row r="47" spans="2:36" ht="24" customHeight="1" thickTop="1" thickBot="1" x14ac:dyDescent="0.3">
      <c r="B47" s="523"/>
      <c r="C47" s="530">
        <f t="array" aca="1" ref="C47" ca="1">ROW(83:83)-SUM(((Planung!$L$6:$L$65="")+(Planung!$N$6:$N$65="")&gt;0)*1)-SUM((($I$12:$I46="")+($K$12:$K46="")&gt;0)*1)</f>
        <v>59</v>
      </c>
      <c r="D47" s="535">
        <f ca="1">IF(Planung!$V$15,"",$D$44+($V$44+Planung!$S$9+Planung!$S$7)/1440)</f>
        <v>0.73958333333333337</v>
      </c>
      <c r="E47" s="496">
        <f>IF(Planung!$V$15,"",1)</f>
        <v>1</v>
      </c>
      <c r="F47" s="497" t="str">
        <f>"2. "&amp;B22</f>
        <v>2. HF 11</v>
      </c>
      <c r="G47" s="498" t="s">
        <v>4</v>
      </c>
      <c r="H47" s="499" t="str">
        <f>"2. "&amp;B23</f>
        <v>2. HF 12</v>
      </c>
      <c r="I47" s="500" t="str">
        <f ca="1">VLOOKUP(Sprache!$E$71&amp;MID($F47,7,2),$B$12:$AB$23,MID($F47,1,1)+24,0)</f>
        <v>1. FC Riedwald</v>
      </c>
      <c r="J47" s="501" t="s">
        <v>4</v>
      </c>
      <c r="K47" s="502" t="str">
        <f ca="1">VLOOKUP(Sprache!$E$71&amp;MID($H47,7,2),$B$12:$AB$23,MID($H47,1,1)+24,0)</f>
        <v>TSG Saalberg eV</v>
      </c>
      <c r="L47" s="503">
        <v>22</v>
      </c>
      <c r="M47" s="504" t="str">
        <f>Sprache!$E$90</f>
        <v>:</v>
      </c>
      <c r="N47" s="521">
        <v>25</v>
      </c>
      <c r="O47" s="522">
        <v>21</v>
      </c>
      <c r="P47" s="504" t="str">
        <f>Sprache!$E$90</f>
        <v>:</v>
      </c>
      <c r="Q47" s="674">
        <v>25</v>
      </c>
      <c r="R47" s="677"/>
      <c r="S47" s="699" t="str">
        <f>Sprache!$E$90</f>
        <v>:</v>
      </c>
      <c r="T47" s="679"/>
      <c r="U47" s="771"/>
      <c r="V47" s="770"/>
      <c r="X47" s="443"/>
      <c r="Y47" s="472" t="str">
        <f>Sprache!$E$10</f>
        <v>Teilnehmer bzw. Mannschaft</v>
      </c>
      <c r="Z47" s="470"/>
      <c r="AA47" s="336" t="str">
        <f ca="1">IF(AF47&gt;AG47,$I47,IF(AF47&lt;AG47,$K47,""))</f>
        <v>TSG Saalberg eV</v>
      </c>
      <c r="AB47" s="336" t="str">
        <f ca="1">IF(AF47&lt;AG47,$I47,IF(AF47&gt;AG47,$K47,""))</f>
        <v>1. FC Riedwald</v>
      </c>
      <c r="AC47" s="336" t="b">
        <f>AND($L47&lt;&gt;"",$N47&lt;&gt;"",$O47&lt;&gt;"",$Q47&lt;&gt;"",$L47&lt;&gt;$N47,$O47&lt;&gt;$Q47,($L47&gt;$N47)+($O47&gt;$Q47)=1)</f>
        <v>0</v>
      </c>
      <c r="AD47" s="523" t="b">
        <f ca="1">AND($L47&lt;&gt;"",$N47&lt;&gt;"",$L47&lt;&gt;$N47,OR(AND($O47="",$Q47=""),AND($O47&lt;&gt;"",$Q47&lt;&gt;"",$O47&lt;&gt;$Q47)),$I47&lt;&gt;"",$K47&lt;&gt;"",$I47&lt;&gt;$K47)</f>
        <v>1</v>
      </c>
      <c r="AE47" s="336" t="b">
        <f>AND(AC47,$R47&lt;&gt;"",$T47&lt;&gt;"",$R47&lt;&gt;$T47)</f>
        <v>0</v>
      </c>
      <c r="AF47" s="523">
        <f ca="1">(($L47&gt;$N47)+($O47&gt;$Q47)+($R47&gt;$T47)*AE47)*AD47</f>
        <v>0</v>
      </c>
      <c r="AG47" s="523">
        <f ca="1">(($L47&lt;$N47)+($O47&lt;$Q47)+($R47&lt;$T47)*AE47)*AD47</f>
        <v>2</v>
      </c>
      <c r="AH47" s="336"/>
      <c r="AI47" s="523"/>
      <c r="AJ47" s="523"/>
    </row>
    <row r="48" spans="2:36" ht="24" customHeight="1" thickTop="1" thickBot="1" x14ac:dyDescent="0.25">
      <c r="B48" s="325"/>
      <c r="I48" s="524" t="s">
        <v>250</v>
      </c>
      <c r="J48" s="482"/>
      <c r="K48" s="524" t="s">
        <v>250</v>
      </c>
      <c r="X48" s="462" t="s">
        <v>272</v>
      </c>
      <c r="Y48" s="473" t="str">
        <f ca="1">IF(Vorrunde!$R$12="","",Vorrunde!$R$12)</f>
        <v>1. FC Riedwald</v>
      </c>
      <c r="Z48" s="470"/>
    </row>
    <row r="49" spans="2:36" ht="24" customHeight="1" thickBot="1" x14ac:dyDescent="0.3">
      <c r="B49" s="325"/>
      <c r="C49" s="816" t="str">
        <f>Sprache!$E$65</f>
        <v>Finale</v>
      </c>
      <c r="D49" s="816"/>
      <c r="E49" s="816"/>
      <c r="F49" s="816"/>
      <c r="G49" s="816"/>
      <c r="H49" s="816"/>
      <c r="I49" s="526" t="s">
        <v>250</v>
      </c>
      <c r="J49" s="525"/>
      <c r="K49" s="526" t="s">
        <v>250</v>
      </c>
      <c r="L49" s="927" t="str">
        <f>Sprache!$E$72</f>
        <v>1. Satz</v>
      </c>
      <c r="M49" s="928"/>
      <c r="N49" s="928"/>
      <c r="O49" s="928" t="str">
        <f>Sprache!$E$73</f>
        <v>2. Satz</v>
      </c>
      <c r="P49" s="928"/>
      <c r="Q49" s="928"/>
      <c r="R49" s="928" t="str">
        <f>Sprache!$E$75</f>
        <v>3. Satz</v>
      </c>
      <c r="S49" s="928"/>
      <c r="T49" s="925"/>
      <c r="U49" s="773"/>
      <c r="V49" s="485"/>
      <c r="X49" s="442" t="s">
        <v>273</v>
      </c>
      <c r="Y49" s="474" t="str">
        <f ca="1">IF(Vorrunde!$R$22="","",Vorrunde!$R$22)</f>
        <v>Mainz 05</v>
      </c>
      <c r="Z49" s="470"/>
    </row>
    <row r="50" spans="2:36" ht="24" customHeight="1" thickTop="1" thickBot="1" x14ac:dyDescent="0.3">
      <c r="B50" s="523"/>
      <c r="C50" s="528">
        <f ca="1">$C$47+1</f>
        <v>60</v>
      </c>
      <c r="D50" s="173">
        <f ca="1">IF(Planung!$V$15,"",$D$47+($V$47+Planung!$S$9+Planung!$S$7)/1440)</f>
        <v>0.76388888888888895</v>
      </c>
      <c r="E50" s="175">
        <f>IF(Planung!$V$15,"",1)</f>
        <v>1</v>
      </c>
      <c r="F50" s="497" t="str">
        <f>"1. "&amp;B22</f>
        <v>1. HF 11</v>
      </c>
      <c r="G50" s="498" t="s">
        <v>4</v>
      </c>
      <c r="H50" s="499" t="str">
        <f>"1. "&amp;B23</f>
        <v>1. HF 12</v>
      </c>
      <c r="I50" s="500">
        <f>VLOOKUP(Sprache!$E$71&amp;MID($F50,7,2),$B$12:$AB$23,MID($F50,1,1)+24,0)</f>
        <v>0</v>
      </c>
      <c r="J50" s="501" t="s">
        <v>4</v>
      </c>
      <c r="K50" s="502">
        <f>VLOOKUP(Sprache!$E$71&amp;MID($H50,7,2),$B$12:$AB$23,MID($H50,1,1)+24,0)</f>
        <v>0</v>
      </c>
      <c r="L50" s="503">
        <v>22</v>
      </c>
      <c r="M50" s="504" t="str">
        <f>Sprache!$E$90</f>
        <v>:</v>
      </c>
      <c r="N50" s="521">
        <v>25</v>
      </c>
      <c r="O50" s="522">
        <v>21</v>
      </c>
      <c r="P50" s="373" t="str">
        <f>Sprache!$E$90</f>
        <v>:</v>
      </c>
      <c r="Q50" s="674">
        <v>25</v>
      </c>
      <c r="R50" s="677"/>
      <c r="S50" s="699" t="str">
        <f>Sprache!$E$90</f>
        <v>:</v>
      </c>
      <c r="T50" s="679"/>
      <c r="U50" s="771"/>
      <c r="V50" s="485"/>
      <c r="X50" s="461" t="s">
        <v>274</v>
      </c>
      <c r="Y50" s="474" t="str">
        <f ca="1">IF(Vorrunde!$R$32="","",Vorrunde!$R$32)</f>
        <v>Kickers Rodendorf</v>
      </c>
      <c r="Z50" s="290"/>
      <c r="AA50" s="336" t="str">
        <f>IF(AF50&gt;AG50,$I50,IF(AF50&lt;AG50,$K50,""))</f>
        <v/>
      </c>
      <c r="AB50" s="336" t="str">
        <f>IF(AF50&lt;AG50,$I50,IF(AF50&gt;AG50,$K50,""))</f>
        <v/>
      </c>
      <c r="AC50" s="336" t="b">
        <f>AND($L50&lt;&gt;"",$N50&lt;&gt;"",$O50&lt;&gt;"",$Q50&lt;&gt;"",$L50&lt;&gt;$N50,$O50&lt;&gt;$Q50,($L50&gt;$N50)+($O50&gt;$Q50)=1)</f>
        <v>0</v>
      </c>
      <c r="AD50" s="523" t="b">
        <f>AND($L50&lt;&gt;"",$N50&lt;&gt;"",$L50&lt;&gt;$N50,OR(AND($O50="",$Q50=""),AND($O50&lt;&gt;"",$Q50&lt;&gt;"",$O50&lt;&gt;$Q50)),$I50&lt;&gt;"",$K50&lt;&gt;"",$I50&lt;&gt;$K50)</f>
        <v>0</v>
      </c>
      <c r="AE50" s="336" t="b">
        <f>AND(AC50,$R50&lt;&gt;"",$T50&lt;&gt;"",$R50&lt;&gt;$T50)</f>
        <v>0</v>
      </c>
      <c r="AF50" s="523">
        <f>(($L50&gt;$N50)+($O50&gt;$Q50)+($R50&gt;$T50)*AE50)*AD50</f>
        <v>0</v>
      </c>
      <c r="AG50" s="523">
        <f>(($L50&lt;$N50)+($O50&lt;$Q50)+($R50&lt;$T50)*AE50)*AD50</f>
        <v>0</v>
      </c>
      <c r="AH50" s="336"/>
      <c r="AI50" s="523"/>
      <c r="AJ50" s="523"/>
    </row>
    <row r="51" spans="2:36" ht="24" customHeight="1" thickTop="1" thickBot="1" x14ac:dyDescent="0.25">
      <c r="C51" s="543"/>
      <c r="D51" s="543"/>
      <c r="E51" s="543"/>
      <c r="F51" s="543"/>
      <c r="G51" s="543"/>
      <c r="H51" s="543"/>
      <c r="I51" s="543"/>
      <c r="J51" s="543"/>
      <c r="K51" s="543"/>
      <c r="L51" s="543"/>
      <c r="M51" s="543"/>
      <c r="N51" s="543"/>
      <c r="O51" s="543"/>
      <c r="P51" s="543"/>
      <c r="Q51" s="543"/>
      <c r="R51" s="664"/>
      <c r="S51" s="664"/>
      <c r="T51" s="664"/>
      <c r="U51" s="664"/>
      <c r="V51" s="542"/>
      <c r="X51" s="414" t="s">
        <v>328</v>
      </c>
      <c r="Y51" s="475" t="str">
        <f ca="1">IF(Vorrunde!$R$42="","",Vorrunde!$R$42)</f>
        <v>TSG Saalberg eV</v>
      </c>
      <c r="Z51" s="290"/>
      <c r="AA51" s="665"/>
      <c r="AB51" s="665"/>
    </row>
    <row r="52" spans="2:36" ht="24" customHeight="1" thickTop="1" x14ac:dyDescent="0.2">
      <c r="C52" s="903" t="str">
        <f>Sprache!$E$29</f>
        <v>Turnierende:</v>
      </c>
      <c r="D52" s="903"/>
      <c r="E52" s="903"/>
      <c r="F52" s="903"/>
      <c r="G52" s="903"/>
      <c r="H52" s="903"/>
      <c r="I52" s="903"/>
      <c r="J52" s="904">
        <f ca="1">IF(Planung!$S$13="","",$D$50+Planung!$S$7/1440)</f>
        <v>0.78472222222222232</v>
      </c>
      <c r="K52" s="904"/>
      <c r="L52" s="904"/>
      <c r="M52" s="904"/>
      <c r="N52" s="904"/>
      <c r="O52" s="904"/>
      <c r="P52" s="904"/>
      <c r="Q52" s="904"/>
      <c r="R52" s="904"/>
      <c r="S52" s="904"/>
      <c r="T52" s="904"/>
      <c r="U52" s="904"/>
      <c r="V52" s="904"/>
      <c r="Y52" s="627">
        <f t="array" aca="1" ref="Y52" ca="1">SUM((Y48:Y51&lt;&gt;"")*1)</f>
        <v>4</v>
      </c>
      <c r="Z52" s="290"/>
    </row>
    <row r="53" spans="2:36" ht="24" customHeight="1" thickBot="1" x14ac:dyDescent="0.25">
      <c r="L53" s="541"/>
      <c r="M53" s="541"/>
      <c r="Z53" s="469"/>
    </row>
    <row r="54" spans="2:36" ht="24" customHeight="1" thickBot="1" x14ac:dyDescent="0.25">
      <c r="F54" s="917" t="str">
        <f>Sprache!$E$98</f>
        <v>Rang</v>
      </c>
      <c r="G54" s="918"/>
      <c r="H54" s="918"/>
      <c r="I54" s="907" t="str">
        <f>Sprache!$E$10</f>
        <v>Teilnehmer bzw. Mannschaft</v>
      </c>
      <c r="J54" s="907"/>
      <c r="K54" s="908"/>
      <c r="L54" s="553"/>
      <c r="M54" s="553"/>
      <c r="N54" s="169"/>
      <c r="O54" s="169"/>
      <c r="P54" s="554"/>
      <c r="Q54" s="169"/>
      <c r="R54" s="169"/>
      <c r="S54" s="169"/>
      <c r="T54" s="169"/>
      <c r="U54" s="169"/>
      <c r="V54" s="169"/>
      <c r="Z54" s="469"/>
    </row>
    <row r="55" spans="2:36" ht="24" customHeight="1" thickTop="1" x14ac:dyDescent="0.2">
      <c r="F55" s="919">
        <v>1</v>
      </c>
      <c r="G55" s="920"/>
      <c r="H55" s="920"/>
      <c r="I55" s="909" t="str">
        <f>$AA$50</f>
        <v/>
      </c>
      <c r="J55" s="909"/>
      <c r="K55" s="910"/>
      <c r="L55" s="553"/>
      <c r="M55" s="553"/>
      <c r="N55" s="169"/>
      <c r="O55" s="169"/>
      <c r="P55" s="554"/>
      <c r="Q55" s="169"/>
      <c r="R55" s="169"/>
      <c r="S55" s="169"/>
      <c r="T55" s="169"/>
      <c r="U55" s="169"/>
      <c r="V55" s="169"/>
      <c r="Z55" s="469"/>
    </row>
    <row r="56" spans="2:36" ht="24" customHeight="1" x14ac:dyDescent="0.2">
      <c r="F56" s="921">
        <v>2</v>
      </c>
      <c r="G56" s="922"/>
      <c r="H56" s="922"/>
      <c r="I56" s="911" t="str">
        <f>$AB$50</f>
        <v/>
      </c>
      <c r="J56" s="911"/>
      <c r="K56" s="912"/>
      <c r="L56" s="553"/>
      <c r="M56" s="553"/>
      <c r="N56" s="169"/>
      <c r="O56" s="169"/>
      <c r="P56" s="554"/>
      <c r="Q56" s="169"/>
      <c r="R56" s="169"/>
      <c r="S56" s="169"/>
      <c r="T56" s="169"/>
      <c r="U56" s="169"/>
      <c r="V56" s="169"/>
      <c r="Z56" s="292"/>
    </row>
    <row r="57" spans="2:36" ht="24" customHeight="1" x14ac:dyDescent="0.2">
      <c r="F57" s="923">
        <v>3</v>
      </c>
      <c r="G57" s="924"/>
      <c r="H57" s="924"/>
      <c r="I57" s="913" t="str">
        <f ca="1">$AA$47</f>
        <v>TSG Saalberg eV</v>
      </c>
      <c r="J57" s="913"/>
      <c r="K57" s="914"/>
      <c r="L57" s="553"/>
      <c r="M57" s="553"/>
      <c r="N57" s="169"/>
      <c r="O57" s="169"/>
      <c r="P57" s="554"/>
      <c r="Q57" s="169"/>
      <c r="R57" s="169"/>
      <c r="S57" s="169"/>
      <c r="T57" s="169"/>
      <c r="U57" s="169"/>
      <c r="V57" s="169"/>
      <c r="Z57" s="292"/>
    </row>
    <row r="58" spans="2:36" ht="24" customHeight="1" x14ac:dyDescent="0.2">
      <c r="F58" s="905">
        <v>4</v>
      </c>
      <c r="G58" s="906"/>
      <c r="H58" s="906"/>
      <c r="I58" s="899" t="str">
        <f ca="1">$AB$47</f>
        <v>1. FC Riedwald</v>
      </c>
      <c r="J58" s="899"/>
      <c r="K58" s="900"/>
      <c r="L58" s="553"/>
      <c r="M58" s="553"/>
      <c r="N58" s="169"/>
      <c r="O58" s="169"/>
      <c r="P58" s="554"/>
      <c r="Q58" s="169"/>
      <c r="R58" s="169"/>
      <c r="S58" s="169"/>
      <c r="T58" s="169"/>
      <c r="U58" s="169"/>
      <c r="V58" s="169"/>
      <c r="Z58" s="292"/>
    </row>
    <row r="59" spans="2:36" ht="24" customHeight="1" x14ac:dyDescent="0.2">
      <c r="F59" s="905">
        <v>5</v>
      </c>
      <c r="G59" s="906"/>
      <c r="H59" s="906"/>
      <c r="I59" s="899" t="str">
        <f>$AA$44</f>
        <v/>
      </c>
      <c r="J59" s="899"/>
      <c r="K59" s="900"/>
      <c r="L59" s="553"/>
      <c r="M59" s="553"/>
      <c r="N59" s="169"/>
      <c r="O59" s="169"/>
      <c r="P59" s="554"/>
      <c r="Q59" s="169"/>
      <c r="R59" s="169"/>
      <c r="S59" s="169"/>
      <c r="T59" s="169"/>
      <c r="U59" s="169"/>
      <c r="V59" s="169"/>
      <c r="Z59" s="292"/>
    </row>
    <row r="60" spans="2:36" ht="24" customHeight="1" x14ac:dyDescent="0.25">
      <c r="C60" s="495"/>
      <c r="F60" s="905">
        <v>6</v>
      </c>
      <c r="G60" s="906"/>
      <c r="H60" s="906"/>
      <c r="I60" s="899" t="str">
        <f>$AB$44</f>
        <v/>
      </c>
      <c r="J60" s="899"/>
      <c r="K60" s="900"/>
      <c r="L60" s="553"/>
      <c r="M60" s="553"/>
      <c r="N60" s="484"/>
      <c r="O60" s="485"/>
      <c r="P60" s="485"/>
      <c r="Q60" s="485"/>
      <c r="R60" s="485"/>
      <c r="S60" s="485"/>
      <c r="T60" s="485"/>
      <c r="U60" s="485"/>
      <c r="V60" s="485"/>
      <c r="Y60" s="169"/>
      <c r="Z60" s="292"/>
    </row>
    <row r="61" spans="2:36" ht="24" customHeight="1" x14ac:dyDescent="0.25">
      <c r="C61" s="495"/>
      <c r="F61" s="905">
        <v>7</v>
      </c>
      <c r="G61" s="906"/>
      <c r="H61" s="906"/>
      <c r="I61" s="899" t="str">
        <f ca="1">$AA$43</f>
        <v>SSV Wildbach</v>
      </c>
      <c r="J61" s="899"/>
      <c r="K61" s="900"/>
      <c r="L61" s="553"/>
      <c r="M61" s="553"/>
      <c r="N61" s="484"/>
      <c r="O61" s="485"/>
      <c r="P61" s="485"/>
      <c r="Q61" s="485"/>
      <c r="R61" s="485"/>
      <c r="S61" s="485"/>
      <c r="T61" s="485"/>
      <c r="U61" s="485"/>
      <c r="V61" s="485"/>
      <c r="Y61" s="169"/>
      <c r="Z61" s="292"/>
    </row>
    <row r="62" spans="2:36" ht="24" customHeight="1" x14ac:dyDescent="0.25">
      <c r="C62" s="495"/>
      <c r="F62" s="905">
        <v>8</v>
      </c>
      <c r="G62" s="906"/>
      <c r="H62" s="906"/>
      <c r="I62" s="899" t="str">
        <f ca="1">$AB$43</f>
        <v>VFB Essenheim</v>
      </c>
      <c r="J62" s="899"/>
      <c r="K62" s="900"/>
      <c r="L62" s="553"/>
      <c r="M62" s="553"/>
      <c r="N62" s="484"/>
      <c r="O62" s="485"/>
      <c r="P62" s="485"/>
      <c r="Q62" s="485"/>
      <c r="R62" s="485"/>
      <c r="S62" s="485"/>
      <c r="T62" s="485"/>
      <c r="U62" s="485"/>
      <c r="V62" s="485"/>
      <c r="Y62" s="169"/>
      <c r="Z62" s="470"/>
    </row>
    <row r="63" spans="2:36" ht="24" customHeight="1" x14ac:dyDescent="0.25">
      <c r="C63" s="495"/>
      <c r="F63" s="905">
        <v>9</v>
      </c>
      <c r="G63" s="906"/>
      <c r="H63" s="906"/>
      <c r="I63" s="899" t="str">
        <f>$AA$40</f>
        <v/>
      </c>
      <c r="J63" s="899"/>
      <c r="K63" s="900"/>
      <c r="L63" s="553"/>
      <c r="M63" s="553"/>
      <c r="N63" s="484"/>
      <c r="O63" s="485"/>
      <c r="P63" s="485"/>
      <c r="Q63" s="485"/>
      <c r="R63" s="485"/>
      <c r="S63" s="485"/>
      <c r="T63" s="485"/>
      <c r="U63" s="485"/>
      <c r="V63" s="485"/>
      <c r="X63" s="416"/>
      <c r="Y63" s="446"/>
      <c r="Z63" s="470"/>
    </row>
    <row r="64" spans="2:36" ht="24" customHeight="1" x14ac:dyDescent="0.25">
      <c r="C64" s="495"/>
      <c r="F64" s="905">
        <v>10</v>
      </c>
      <c r="G64" s="906"/>
      <c r="H64" s="906"/>
      <c r="I64" s="899" t="str">
        <f>$AB$40</f>
        <v/>
      </c>
      <c r="J64" s="899"/>
      <c r="K64" s="900"/>
      <c r="L64" s="553"/>
      <c r="M64" s="553"/>
      <c r="N64" s="484"/>
      <c r="O64" s="485"/>
      <c r="P64" s="485"/>
      <c r="Q64" s="485"/>
      <c r="R64" s="485"/>
      <c r="S64" s="485"/>
      <c r="T64" s="485"/>
      <c r="U64" s="485"/>
      <c r="V64" s="485"/>
      <c r="X64" s="416"/>
      <c r="Y64" s="446"/>
      <c r="Z64" s="290"/>
    </row>
    <row r="65" spans="3:27" ht="24" customHeight="1" x14ac:dyDescent="0.25">
      <c r="C65" s="495"/>
      <c r="F65" s="905">
        <v>11</v>
      </c>
      <c r="G65" s="906"/>
      <c r="H65" s="906"/>
      <c r="I65" s="899" t="str">
        <f ca="1">$AA$39</f>
        <v>Borussia Dortmund</v>
      </c>
      <c r="J65" s="899"/>
      <c r="K65" s="900"/>
      <c r="L65" s="553"/>
      <c r="M65" s="553"/>
      <c r="N65" s="484"/>
      <c r="O65" s="485"/>
      <c r="P65" s="485"/>
      <c r="Q65" s="485"/>
      <c r="R65" s="485"/>
      <c r="S65" s="485"/>
      <c r="T65" s="485"/>
      <c r="U65" s="485"/>
      <c r="V65" s="485"/>
      <c r="Y65" s="169"/>
      <c r="Z65" s="469"/>
    </row>
    <row r="66" spans="3:27" ht="24" customHeight="1" x14ac:dyDescent="0.25">
      <c r="C66" s="495"/>
      <c r="F66" s="905">
        <v>12</v>
      </c>
      <c r="G66" s="906"/>
      <c r="H66" s="906"/>
      <c r="I66" s="899" t="str">
        <f ca="1">$AB$39</f>
        <v>SV Oberredenburg</v>
      </c>
      <c r="J66" s="899"/>
      <c r="K66" s="900"/>
      <c r="L66" s="553"/>
      <c r="M66" s="553"/>
      <c r="N66" s="484"/>
      <c r="O66" s="485"/>
      <c r="P66" s="485"/>
      <c r="Q66" s="485"/>
      <c r="R66" s="485"/>
      <c r="S66" s="485"/>
      <c r="T66" s="485"/>
      <c r="U66" s="485"/>
      <c r="V66" s="485"/>
      <c r="Y66" s="169"/>
      <c r="Z66" s="292"/>
    </row>
    <row r="67" spans="3:27" ht="24" customHeight="1" x14ac:dyDescent="0.2">
      <c r="F67" s="905">
        <v>13</v>
      </c>
      <c r="G67" s="906"/>
      <c r="H67" s="906"/>
      <c r="I67" s="899" t="str">
        <f>$AA$36</f>
        <v/>
      </c>
      <c r="J67" s="899"/>
      <c r="K67" s="900"/>
      <c r="L67" s="553"/>
      <c r="M67" s="553"/>
      <c r="N67" s="169"/>
      <c r="O67" s="169"/>
      <c r="P67" s="554"/>
      <c r="Q67" s="169"/>
      <c r="R67" s="169"/>
      <c r="S67" s="169"/>
      <c r="T67" s="169"/>
      <c r="U67" s="169"/>
      <c r="V67" s="169"/>
      <c r="Y67" s="169"/>
      <c r="Z67" s="292"/>
    </row>
    <row r="68" spans="3:27" ht="24" customHeight="1" x14ac:dyDescent="0.2">
      <c r="F68" s="905">
        <v>14</v>
      </c>
      <c r="G68" s="906"/>
      <c r="H68" s="906"/>
      <c r="I68" s="899" t="str">
        <f>$AB$36</f>
        <v/>
      </c>
      <c r="J68" s="899"/>
      <c r="K68" s="900"/>
      <c r="L68" s="553"/>
      <c r="M68" s="553"/>
      <c r="N68" s="169"/>
      <c r="O68" s="169"/>
      <c r="P68" s="554"/>
      <c r="Q68" s="169"/>
      <c r="R68" s="169"/>
      <c r="S68" s="169"/>
      <c r="T68" s="169"/>
      <c r="U68" s="169"/>
      <c r="V68" s="169"/>
      <c r="Z68" s="292"/>
    </row>
    <row r="69" spans="3:27" ht="24" customHeight="1" x14ac:dyDescent="0.2">
      <c r="F69" s="905">
        <v>15</v>
      </c>
      <c r="G69" s="906"/>
      <c r="H69" s="906"/>
      <c r="I69" s="899" t="str">
        <f ca="1">$AA$35</f>
        <v>Maibach 1822 eV</v>
      </c>
      <c r="J69" s="899"/>
      <c r="K69" s="900"/>
      <c r="L69" s="553"/>
      <c r="M69" s="553"/>
      <c r="N69" s="169"/>
      <c r="O69" s="169"/>
      <c r="P69" s="554"/>
      <c r="Q69" s="169"/>
      <c r="R69" s="169"/>
      <c r="S69" s="169"/>
      <c r="T69" s="169"/>
      <c r="U69" s="169"/>
      <c r="V69" s="169"/>
      <c r="Z69" s="292"/>
    </row>
    <row r="70" spans="3:27" ht="24" customHeight="1" x14ac:dyDescent="0.2">
      <c r="F70" s="905">
        <v>16</v>
      </c>
      <c r="G70" s="906"/>
      <c r="H70" s="906"/>
      <c r="I70" s="899" t="str">
        <f ca="1">$AB$35</f>
        <v>RB Leipzig</v>
      </c>
      <c r="J70" s="899"/>
      <c r="K70" s="900"/>
      <c r="L70" s="553"/>
      <c r="M70" s="553"/>
      <c r="N70" s="169"/>
      <c r="O70" s="169"/>
      <c r="P70" s="554"/>
      <c r="Q70" s="169"/>
      <c r="R70" s="169"/>
      <c r="S70" s="169"/>
      <c r="T70" s="169"/>
      <c r="U70" s="169"/>
      <c r="V70" s="169"/>
      <c r="Z70" s="470"/>
    </row>
    <row r="71" spans="3:27" ht="24" customHeight="1" x14ac:dyDescent="0.2">
      <c r="F71" s="905">
        <v>17</v>
      </c>
      <c r="G71" s="906"/>
      <c r="H71" s="906"/>
      <c r="I71" s="899" t="str">
        <f>$AA$32</f>
        <v/>
      </c>
      <c r="J71" s="899"/>
      <c r="K71" s="900"/>
      <c r="L71" s="553"/>
      <c r="M71" s="553"/>
      <c r="N71" s="169"/>
      <c r="O71" s="169"/>
      <c r="P71" s="554"/>
      <c r="Q71" s="169"/>
      <c r="R71" s="169"/>
      <c r="S71" s="169"/>
      <c r="T71" s="169"/>
      <c r="U71" s="169"/>
      <c r="V71" s="169"/>
      <c r="Z71" s="470"/>
    </row>
    <row r="72" spans="3:27" ht="24" customHeight="1" x14ac:dyDescent="0.2">
      <c r="F72" s="905">
        <v>18</v>
      </c>
      <c r="G72" s="906"/>
      <c r="H72" s="906"/>
      <c r="I72" s="899" t="str">
        <f>$AB$32</f>
        <v/>
      </c>
      <c r="J72" s="899"/>
      <c r="K72" s="900"/>
      <c r="L72" s="553"/>
      <c r="M72" s="553"/>
      <c r="N72" s="169"/>
      <c r="O72" s="169"/>
      <c r="P72" s="554"/>
      <c r="Q72" s="169"/>
      <c r="R72" s="169"/>
      <c r="S72" s="169"/>
      <c r="T72" s="169"/>
      <c r="U72" s="169"/>
      <c r="V72" s="169"/>
      <c r="Z72" s="290"/>
      <c r="AA72" s="290"/>
    </row>
    <row r="73" spans="3:27" ht="24" customHeight="1" x14ac:dyDescent="0.2">
      <c r="F73" s="905">
        <v>19</v>
      </c>
      <c r="G73" s="906"/>
      <c r="H73" s="906"/>
      <c r="I73" s="899" t="str">
        <f ca="1">$AA$31</f>
        <v>Real Madrid</v>
      </c>
      <c r="J73" s="899"/>
      <c r="K73" s="900"/>
      <c r="L73" s="553"/>
      <c r="M73" s="553"/>
      <c r="N73" s="169"/>
      <c r="O73" s="169"/>
      <c r="P73" s="554"/>
      <c r="Q73" s="169"/>
      <c r="R73" s="169"/>
      <c r="S73" s="169"/>
      <c r="T73" s="169"/>
      <c r="U73" s="169"/>
      <c r="V73" s="169"/>
    </row>
    <row r="74" spans="3:27" ht="24" customHeight="1" x14ac:dyDescent="0.2">
      <c r="F74" s="905">
        <v>20</v>
      </c>
      <c r="G74" s="906"/>
      <c r="H74" s="906"/>
      <c r="I74" s="899" t="str">
        <f ca="1">$AB$31</f>
        <v>Manchester City</v>
      </c>
      <c r="J74" s="899"/>
      <c r="K74" s="900"/>
      <c r="L74" s="553"/>
      <c r="M74" s="553"/>
      <c r="N74" s="169"/>
      <c r="O74" s="169"/>
      <c r="P74" s="554"/>
      <c r="Q74" s="169"/>
      <c r="R74" s="169"/>
      <c r="S74" s="169"/>
      <c r="T74" s="169"/>
      <c r="U74" s="169"/>
      <c r="V74" s="169"/>
    </row>
    <row r="75" spans="3:27" ht="24" customHeight="1" x14ac:dyDescent="0.2">
      <c r="F75" s="905">
        <v>21</v>
      </c>
      <c r="G75" s="906"/>
      <c r="H75" s="906"/>
      <c r="I75" s="899" t="str">
        <f ca="1">$AA$28</f>
        <v/>
      </c>
      <c r="J75" s="899"/>
      <c r="K75" s="900"/>
      <c r="L75" s="553"/>
      <c r="M75" s="553"/>
      <c r="N75" s="169"/>
      <c r="O75" s="169"/>
      <c r="P75" s="554"/>
      <c r="Q75" s="169"/>
      <c r="R75" s="169"/>
      <c r="S75" s="169"/>
      <c r="T75" s="169"/>
      <c r="U75" s="169"/>
      <c r="V75" s="169"/>
    </row>
    <row r="76" spans="3:27" ht="24" customHeight="1" x14ac:dyDescent="0.2">
      <c r="F76" s="905">
        <v>22</v>
      </c>
      <c r="G76" s="906"/>
      <c r="H76" s="906"/>
      <c r="I76" s="899" t="str">
        <f ca="1">$AB$28</f>
        <v/>
      </c>
      <c r="J76" s="899"/>
      <c r="K76" s="900"/>
      <c r="L76" s="553"/>
      <c r="M76" s="553"/>
      <c r="N76" s="169"/>
      <c r="O76" s="169"/>
      <c r="P76" s="554"/>
      <c r="Q76" s="169"/>
      <c r="R76" s="169"/>
      <c r="S76" s="169"/>
      <c r="T76" s="169"/>
      <c r="U76" s="169"/>
      <c r="V76" s="169"/>
    </row>
    <row r="77" spans="3:27" ht="24" customHeight="1" x14ac:dyDescent="0.2">
      <c r="F77" s="905">
        <v>23</v>
      </c>
      <c r="G77" s="906"/>
      <c r="H77" s="906"/>
      <c r="I77" s="899" t="str">
        <f ca="1">$AA$27</f>
        <v/>
      </c>
      <c r="J77" s="899"/>
      <c r="K77" s="900"/>
      <c r="L77" s="553"/>
      <c r="M77" s="553"/>
      <c r="N77" s="169"/>
      <c r="O77" s="169"/>
      <c r="P77" s="554"/>
      <c r="Q77" s="169"/>
      <c r="R77" s="169"/>
      <c r="S77" s="169"/>
      <c r="T77" s="169"/>
      <c r="U77" s="169"/>
      <c r="V77" s="169"/>
    </row>
    <row r="78" spans="3:27" ht="24" customHeight="1" thickBot="1" x14ac:dyDescent="0.25">
      <c r="F78" s="915">
        <v>24</v>
      </c>
      <c r="G78" s="916"/>
      <c r="H78" s="916"/>
      <c r="I78" s="901" t="str">
        <f ca="1">$AB$27</f>
        <v/>
      </c>
      <c r="J78" s="901"/>
      <c r="K78" s="902"/>
      <c r="L78" s="169"/>
      <c r="M78" s="169"/>
      <c r="N78" s="169"/>
      <c r="O78" s="169"/>
      <c r="P78" s="554"/>
      <c r="Q78" s="169"/>
      <c r="R78" s="169"/>
      <c r="S78" s="169"/>
      <c r="T78" s="169"/>
      <c r="U78" s="169"/>
      <c r="V78" s="169"/>
    </row>
    <row r="79" spans="3:27" ht="24" customHeight="1" thickTop="1" x14ac:dyDescent="0.2"/>
    <row r="80" spans="3:27" x14ac:dyDescent="0.2"/>
    <row r="81" x14ac:dyDescent="0.2"/>
  </sheetData>
  <sheetProtection sheet="1" selectLockedCells="1"/>
  <mergeCells count="100">
    <mergeCell ref="F2:W2"/>
    <mergeCell ref="F3:W3"/>
    <mergeCell ref="F4:W4"/>
    <mergeCell ref="F5:W5"/>
    <mergeCell ref="J7:T8"/>
    <mergeCell ref="R49:T49"/>
    <mergeCell ref="L49:N49"/>
    <mergeCell ref="O49:Q49"/>
    <mergeCell ref="V10:V11"/>
    <mergeCell ref="O11:Q11"/>
    <mergeCell ref="O26:Q26"/>
    <mergeCell ref="L26:N26"/>
    <mergeCell ref="L30:N30"/>
    <mergeCell ref="O30:Q30"/>
    <mergeCell ref="O34:Q34"/>
    <mergeCell ref="L38:N38"/>
    <mergeCell ref="O38:Q38"/>
    <mergeCell ref="L42:N42"/>
    <mergeCell ref="O42:Q42"/>
    <mergeCell ref="R11:T11"/>
    <mergeCell ref="R26:T26"/>
    <mergeCell ref="C26:H26"/>
    <mergeCell ref="L34:N34"/>
    <mergeCell ref="X39:Y39"/>
    <mergeCell ref="X46:Y46"/>
    <mergeCell ref="L46:N46"/>
    <mergeCell ref="O46:Q46"/>
    <mergeCell ref="R34:T34"/>
    <mergeCell ref="R38:T38"/>
    <mergeCell ref="R42:T42"/>
    <mergeCell ref="R46:T46"/>
    <mergeCell ref="I76:K76"/>
    <mergeCell ref="C10:D10"/>
    <mergeCell ref="X18:Y18"/>
    <mergeCell ref="X11:Y11"/>
    <mergeCell ref="X25:Y25"/>
    <mergeCell ref="X32:Y32"/>
    <mergeCell ref="F11:H11"/>
    <mergeCell ref="I11:K11"/>
    <mergeCell ref="L11:N11"/>
    <mergeCell ref="C49:H49"/>
    <mergeCell ref="C46:H46"/>
    <mergeCell ref="C42:H42"/>
    <mergeCell ref="C38:H38"/>
    <mergeCell ref="C34:H34"/>
    <mergeCell ref="C30:H30"/>
    <mergeCell ref="R30:T30"/>
    <mergeCell ref="I71:K71"/>
    <mergeCell ref="I72:K72"/>
    <mergeCell ref="I73:K73"/>
    <mergeCell ref="I74:K74"/>
    <mergeCell ref="I75:K75"/>
    <mergeCell ref="I68:K68"/>
    <mergeCell ref="I69:K69"/>
    <mergeCell ref="I70:K70"/>
    <mergeCell ref="F54:H54"/>
    <mergeCell ref="F55:H55"/>
    <mergeCell ref="F56:H56"/>
    <mergeCell ref="F57:H57"/>
    <mergeCell ref="F58:H58"/>
    <mergeCell ref="F76:H76"/>
    <mergeCell ref="F77:H77"/>
    <mergeCell ref="F78:H78"/>
    <mergeCell ref="F69:H69"/>
    <mergeCell ref="F70:H70"/>
    <mergeCell ref="F71:H71"/>
    <mergeCell ref="F72:H72"/>
    <mergeCell ref="F73:H73"/>
    <mergeCell ref="F68:H68"/>
    <mergeCell ref="I63:K63"/>
    <mergeCell ref="I54:K54"/>
    <mergeCell ref="I55:K55"/>
    <mergeCell ref="I56:K56"/>
    <mergeCell ref="I57:K57"/>
    <mergeCell ref="I58:K58"/>
    <mergeCell ref="F59:H59"/>
    <mergeCell ref="F60:H60"/>
    <mergeCell ref="F61:H61"/>
    <mergeCell ref="F62:H62"/>
    <mergeCell ref="F63:H63"/>
    <mergeCell ref="I59:K59"/>
    <mergeCell ref="I60:K60"/>
    <mergeCell ref="I61:K61"/>
    <mergeCell ref="I62:K62"/>
    <mergeCell ref="AI11:AJ11"/>
    <mergeCell ref="AF11:AG11"/>
    <mergeCell ref="I77:K77"/>
    <mergeCell ref="I78:K78"/>
    <mergeCell ref="C52:I52"/>
    <mergeCell ref="J52:V52"/>
    <mergeCell ref="I64:K64"/>
    <mergeCell ref="I65:K65"/>
    <mergeCell ref="I66:K66"/>
    <mergeCell ref="I67:K67"/>
    <mergeCell ref="F74:H74"/>
    <mergeCell ref="F75:H75"/>
    <mergeCell ref="F64:H64"/>
    <mergeCell ref="F65:H65"/>
    <mergeCell ref="F66:H66"/>
    <mergeCell ref="F67:H67"/>
  </mergeCells>
  <conditionalFormatting sqref="C27:U28 C31:U32 C35:U36 C39:U40 C43:U44 C47:U47 C50:U50 C12:T13 C14:K23 M14:M23 P14:P23 R14:T23">
    <cfRule type="expression" dxfId="26" priority="8">
      <formula>OR($I12="",$K12="")</formula>
    </cfRule>
  </conditionalFormatting>
  <conditionalFormatting sqref="R12:T23 R27:U28 R31:U32 R35:U36 R39:U40 R43:U44 R47:U47 R50:U50">
    <cfRule type="expression" dxfId="25" priority="1">
      <formula>AND($R12&lt;&gt;"",$T12&lt;&gt;"",$R12=$T12,$AC12)</formula>
    </cfRule>
    <cfRule type="expression" dxfId="24" priority="6">
      <formula>NOT($AC12)</formula>
    </cfRule>
  </conditionalFormatting>
  <conditionalFormatting sqref="L14:L23">
    <cfRule type="expression" dxfId="23" priority="5">
      <formula>OR($I14="",$K14="")</formula>
    </cfRule>
  </conditionalFormatting>
  <conditionalFormatting sqref="N14:O23">
    <cfRule type="expression" dxfId="22" priority="4">
      <formula>OR($I14="",$K14="")</formula>
    </cfRule>
  </conditionalFormatting>
  <conditionalFormatting sqref="Q14:Q23">
    <cfRule type="expression" dxfId="21" priority="3">
      <formula>OR($I14="",$K14="")</formula>
    </cfRule>
  </conditionalFormatting>
  <conditionalFormatting sqref="L12:Q23 L27:Q28 L31:Q32 L35:Q36 L39:Q40 L43:Q44 L47:Q47 L50:Q50">
    <cfRule type="expression" dxfId="20" priority="2">
      <formula>OR(AND($L12&lt;&gt;"",$L12=$N12),AND($O12&lt;&gt;"",$O12=$Q12))</formula>
    </cfRule>
  </conditionalFormatting>
  <dataValidations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15A8FA8E-E6F6-4E25-908B-69E13EC79089}">
            <xm:f>$F55&gt;4*Calc1!$F$14</xm:f>
            <x14:dxf>
              <numFmt numFmtId="165" formatCode=";;;"/>
            </x14:dxf>
          </x14:cfRule>
          <xm:sqref>F55:H78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H34"/>
  <sheetViews>
    <sheetView showGridLines="0" showRowColHeaders="0" workbookViewId="0">
      <selection activeCell="L12" sqref="L12"/>
    </sheetView>
  </sheetViews>
  <sheetFormatPr baseColWidth="10" defaultColWidth="0" defaultRowHeight="12.75" zeroHeight="1" x14ac:dyDescent="0.2"/>
  <cols>
    <col min="1" max="1" width="6.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15.7109375" style="47" customWidth="1"/>
    <col min="22" max="22" width="8" style="47" customWidth="1"/>
    <col min="23" max="23" width="11.42578125" style="47" customWidth="1"/>
    <col min="24" max="24" width="6.42578125" customWidth="1"/>
    <col min="25" max="25" width="36.7109375" customWidth="1"/>
    <col min="26" max="27" width="6.7109375" customWidth="1"/>
    <col min="28" max="28" width="20" hidden="1" customWidth="1"/>
    <col min="29" max="29" width="17.5703125" hidden="1" customWidth="1"/>
    <col min="30" max="30" width="10.28515625" hidden="1" customWidth="1"/>
    <col min="31" max="31" width="9.140625" hidden="1" customWidth="1"/>
    <col min="32" max="32" width="8.42578125" hidden="1" customWidth="1"/>
    <col min="33" max="33" width="4.85546875" hidden="1" customWidth="1"/>
    <col min="34" max="34" width="5.28515625" hidden="1" customWidth="1"/>
    <col min="35" max="16384" width="11.42578125" hidden="1"/>
  </cols>
  <sheetData>
    <row r="1" spans="1:34" ht="13.5" thickBot="1" x14ac:dyDescent="0.25"/>
    <row r="2" spans="1:34" ht="36.75" thickTop="1" x14ac:dyDescent="0.2">
      <c r="H2" s="877" t="str">
        <f>Vorrunde!$G$2</f>
        <v>Internationales U10-Turnier am 13.04.2025</v>
      </c>
      <c r="I2" s="878"/>
      <c r="J2" s="878"/>
      <c r="K2" s="878"/>
      <c r="L2" s="878"/>
      <c r="M2" s="878"/>
      <c r="N2" s="878"/>
      <c r="O2" s="878"/>
      <c r="P2" s="878"/>
      <c r="Q2" s="878"/>
      <c r="R2" s="878"/>
      <c r="S2" s="878"/>
      <c r="T2" s="878"/>
      <c r="U2" s="878"/>
      <c r="V2" s="878"/>
      <c r="W2" s="878"/>
      <c r="X2" s="879"/>
      <c r="Y2" s="791"/>
    </row>
    <row r="3" spans="1:34" ht="30" customHeight="1" x14ac:dyDescent="0.2">
      <c r="H3" s="880" t="str">
        <f>Vorrunde!$G$3</f>
        <v>Veranstalter:  1. FC Riedwald</v>
      </c>
      <c r="I3" s="881"/>
      <c r="J3" s="881"/>
      <c r="K3" s="881"/>
      <c r="L3" s="881"/>
      <c r="M3" s="881"/>
      <c r="N3" s="881"/>
      <c r="O3" s="881"/>
      <c r="P3" s="881"/>
      <c r="Q3" s="881"/>
      <c r="R3" s="881"/>
      <c r="S3" s="881"/>
      <c r="T3" s="881"/>
      <c r="U3" s="881"/>
      <c r="V3" s="881"/>
      <c r="W3" s="881"/>
      <c r="X3" s="882"/>
      <c r="Y3" s="792"/>
    </row>
    <row r="4" spans="1:34" ht="30" customHeight="1" x14ac:dyDescent="0.2">
      <c r="H4" s="883" t="str">
        <f>Vorrunde!$G$4</f>
        <v>Sporthalle Wiesengrund, Wendiger Str. 51, 65432 Riedwald</v>
      </c>
      <c r="I4" s="884"/>
      <c r="J4" s="884"/>
      <c r="K4" s="884"/>
      <c r="L4" s="884"/>
      <c r="M4" s="884"/>
      <c r="N4" s="884"/>
      <c r="O4" s="884"/>
      <c r="P4" s="884"/>
      <c r="Q4" s="884"/>
      <c r="R4" s="884"/>
      <c r="S4" s="884"/>
      <c r="T4" s="884"/>
      <c r="U4" s="884"/>
      <c r="V4" s="884"/>
      <c r="W4" s="884"/>
      <c r="X4" s="885"/>
      <c r="Y4" s="793"/>
    </row>
    <row r="5" spans="1:34" ht="30" customHeight="1" thickBot="1" x14ac:dyDescent="0.25">
      <c r="H5" s="886" t="str">
        <f>Vorrunde!$G$5</f>
        <v>Beginn:  9:00 Uhr</v>
      </c>
      <c r="I5" s="887"/>
      <c r="J5" s="887"/>
      <c r="K5" s="887"/>
      <c r="L5" s="887"/>
      <c r="M5" s="887"/>
      <c r="N5" s="887"/>
      <c r="O5" s="887"/>
      <c r="P5" s="887"/>
      <c r="Q5" s="887"/>
      <c r="R5" s="887"/>
      <c r="S5" s="887"/>
      <c r="T5" s="887"/>
      <c r="U5" s="887"/>
      <c r="V5" s="887"/>
      <c r="W5" s="887"/>
      <c r="X5" s="888"/>
      <c r="Y5" s="793"/>
    </row>
    <row r="6" spans="1:34" ht="18" customHeight="1" thickTop="1" thickBot="1" x14ac:dyDescent="0.25"/>
    <row r="7" spans="1:34" ht="30" customHeight="1" thickTop="1" x14ac:dyDescent="0.9">
      <c r="J7" s="947" t="str">
        <f>Sprache!$E$19</f>
        <v>Endrunde</v>
      </c>
      <c r="K7" s="948"/>
      <c r="L7" s="948"/>
      <c r="M7" s="948"/>
      <c r="N7" s="948"/>
      <c r="O7" s="948"/>
      <c r="P7" s="948"/>
      <c r="Q7" s="948"/>
      <c r="R7" s="948"/>
      <c r="S7" s="948"/>
      <c r="T7" s="949"/>
      <c r="U7" s="588"/>
      <c r="V7" s="797"/>
      <c r="W7" s="797"/>
    </row>
    <row r="8" spans="1:34" ht="30" customHeight="1" thickBot="1" x14ac:dyDescent="0.95">
      <c r="J8" s="950"/>
      <c r="K8" s="951"/>
      <c r="L8" s="951"/>
      <c r="M8" s="951"/>
      <c r="N8" s="951"/>
      <c r="O8" s="951"/>
      <c r="P8" s="951"/>
      <c r="Q8" s="951"/>
      <c r="R8" s="951"/>
      <c r="S8" s="951"/>
      <c r="T8" s="952"/>
      <c r="U8" s="588"/>
      <c r="V8" s="797"/>
      <c r="W8" s="797"/>
    </row>
    <row r="9" spans="1:34" ht="12.6" customHeight="1" thickTop="1" x14ac:dyDescent="0.2">
      <c r="V9" s="817" t="str">
        <f>Sprache!$E$20</f>
        <v>Zusätzl. Pause (min)</v>
      </c>
    </row>
    <row r="10" spans="1:34" ht="27.95" customHeight="1" thickBot="1" x14ac:dyDescent="0.35">
      <c r="C10" s="943" t="str">
        <f>Sprache!$E$58</f>
        <v>Viertelfinale</v>
      </c>
      <c r="D10" s="943"/>
      <c r="E10" s="943"/>
      <c r="F10" s="943"/>
      <c r="G10" s="943"/>
      <c r="H10" s="943"/>
      <c r="V10" s="817"/>
    </row>
    <row r="11" spans="1:34" ht="24" customHeight="1" thickTop="1" thickBot="1" x14ac:dyDescent="0.45">
      <c r="B11" s="351"/>
      <c r="C11" s="399" t="str">
        <f>Sprache!$E$9</f>
        <v>Nr.</v>
      </c>
      <c r="D11" s="350" t="str">
        <f>Sprache!$E$39</f>
        <v>Beginn:</v>
      </c>
      <c r="E11" s="343" t="str">
        <f>Sprache!$E$48</f>
        <v>Feld</v>
      </c>
      <c r="F11" s="890"/>
      <c r="G11" s="891"/>
      <c r="H11" s="892"/>
      <c r="I11" s="853" t="str">
        <f>Sprache!$E$14</f>
        <v>Spielpaarung</v>
      </c>
      <c r="J11" s="854"/>
      <c r="K11" s="855"/>
      <c r="L11" s="890" t="str">
        <f>Sprache!$E$72</f>
        <v>1. Satz</v>
      </c>
      <c r="M11" s="891"/>
      <c r="N11" s="892"/>
      <c r="O11" s="890" t="str">
        <f>Sprache!$E$73</f>
        <v>2. Satz</v>
      </c>
      <c r="P11" s="891"/>
      <c r="Q11" s="892"/>
      <c r="R11" s="890" t="str">
        <f>Sprache!$E$75</f>
        <v>3. Satz</v>
      </c>
      <c r="S11" s="891"/>
      <c r="T11" s="893"/>
      <c r="U11" s="753" t="str">
        <f>Sprache!$E$78</f>
        <v>Schiedsrichter</v>
      </c>
      <c r="V11" s="818"/>
      <c r="X11" s="843" t="str">
        <f>Sprache!$E$60</f>
        <v>Gruppenzweite</v>
      </c>
      <c r="Y11" s="843"/>
      <c r="AB11" s="740" t="s">
        <v>418</v>
      </c>
      <c r="AC11" s="740" t="s">
        <v>419</v>
      </c>
      <c r="AD11" s="741" t="s">
        <v>420</v>
      </c>
      <c r="AE11" s="741" t="s">
        <v>421</v>
      </c>
      <c r="AF11" s="741" t="s">
        <v>422</v>
      </c>
      <c r="AG11" s="898" t="s">
        <v>380</v>
      </c>
      <c r="AH11" s="898"/>
    </row>
    <row r="12" spans="1:34" ht="24" customHeight="1" thickTop="1" x14ac:dyDescent="0.2">
      <c r="A12" s="336"/>
      <c r="B12" s="550" t="str">
        <f>Sprache!$E$70&amp;1</f>
        <v>VF 1</v>
      </c>
      <c r="C12" s="391">
        <f t="array" aca="1" ref="C12" ca="1">61-SUM(((Planung!$L$6:$L$65="")+(Planung!$N$6:$N$65="")&gt;0)*1)</f>
        <v>41</v>
      </c>
      <c r="D12" s="394">
        <f ca="1">IF(Planung!$V$15,"",Planung!$S$13+(Planung!$S$9+Planung!$Q$65)/1440)</f>
        <v>0.61805555555555558</v>
      </c>
      <c r="E12" s="375" t="str">
        <f>IF(Planung!$V$15,"","1")</f>
        <v>1</v>
      </c>
      <c r="F12" s="424" t="s">
        <v>272</v>
      </c>
      <c r="G12" s="425" t="s">
        <v>4</v>
      </c>
      <c r="H12" s="426" t="s">
        <v>277</v>
      </c>
      <c r="I12" s="376" t="str">
        <f ca="1">VLOOKUP($F12,$X$13:$Y$23,2,0)</f>
        <v>1. FC Riedwald</v>
      </c>
      <c r="J12" s="152" t="s">
        <v>4</v>
      </c>
      <c r="K12" s="377" t="str">
        <f ca="1">VLOOKUP($H12,$X$13:$Y$23,2,0)</f>
        <v>FSV Rauen</v>
      </c>
      <c r="L12" s="378">
        <v>25</v>
      </c>
      <c r="M12" s="379" t="str">
        <f>Sprache!$E$90</f>
        <v>:</v>
      </c>
      <c r="N12" s="380">
        <v>23</v>
      </c>
      <c r="O12" s="378">
        <v>25</v>
      </c>
      <c r="P12" s="732" t="str">
        <f>Sprache!$E$90</f>
        <v>:</v>
      </c>
      <c r="Q12" s="700">
        <v>21</v>
      </c>
      <c r="R12" s="381"/>
      <c r="S12" s="379" t="str">
        <f>Sprache!$E$90</f>
        <v>:</v>
      </c>
      <c r="T12" s="382"/>
      <c r="U12" s="754"/>
      <c r="V12" s="775"/>
      <c r="W12" s="336"/>
      <c r="X12" s="443"/>
      <c r="Y12" s="472" t="str">
        <f>Sprache!$E$10</f>
        <v>Teilnehmer bzw. Mannschaft</v>
      </c>
      <c r="AB12" s="336" t="str">
        <f ca="1">IF(AG12&gt;AH12,$I12,IF(AG12&lt;AH12,$K12,""))</f>
        <v>1. FC Riedwald</v>
      </c>
      <c r="AC12" s="336" t="str">
        <f ca="1">IF(AG12&lt;AH12,$I12,IF(AG12&gt;AH12,$K12,""))</f>
        <v>FSV Rauen</v>
      </c>
      <c r="AD12" s="336" t="b">
        <f>AND($L12&lt;&gt;"",$N12&lt;&gt;"",$O12&lt;&gt;"",$Q12&lt;&gt;"",$L12&lt;&gt;$N12,$O12&lt;&gt;$Q12,($L12&gt;$N12)+($O12&gt;$Q12)=1)</f>
        <v>0</v>
      </c>
      <c r="AE12" s="523" t="b">
        <f ca="1">AND($L12&lt;&gt;"",$N12&lt;&gt;"",$L12&lt;&gt;$N12,OR(AND($O12="",$Q12=""),AND($O12&lt;&gt;"",$Q12&lt;&gt;"",$O12&lt;&gt;$Q12)),$I12&lt;&gt;"",$K12&lt;&gt;"",$I12&lt;&gt;$K12)</f>
        <v>1</v>
      </c>
      <c r="AF12" s="336" t="b">
        <f>AND(AD12,$R12&lt;&gt;"",$T12&lt;&gt;"",$R12&lt;&gt;$T12)</f>
        <v>0</v>
      </c>
      <c r="AG12" s="523">
        <f ca="1">(($L12&gt;$N12)+($O12&gt;$Q12)+($R12&gt;$T12)*AF12)*AE12</f>
        <v>2</v>
      </c>
      <c r="AH12" s="523">
        <f ca="1">(($L12&lt;$N12)+($O12&lt;$Q12)+($R12&lt;$T12)*AF12)*AE12</f>
        <v>0</v>
      </c>
    </row>
    <row r="13" spans="1:34" ht="24" customHeight="1" x14ac:dyDescent="0.2">
      <c r="A13" s="336"/>
      <c r="B13" s="551" t="str">
        <f>Sprache!$E$70&amp;2</f>
        <v>VF 2</v>
      </c>
      <c r="C13" s="392">
        <f t="array" aca="1" ref="C13" ca="1">ROW(62:62)-SUM(((Planung!$L$6:$L$65="")+(Planung!$N$6:$N$65="")&gt;0)*1)-SUM((($I$12:$I12="")+($K$12:$K12="")&gt;0)*1)</f>
        <v>42</v>
      </c>
      <c r="D13" s="395">
        <f t="array" aca="1" ref="D13" ca="1">IF(Planung!$V$15,"",$D$12+QUOTIENT(($C13-$C$12),Planung!$V$11)*(Planung!$S$7+Planung!$S$9)/1440+SUM($V$12:$V12)/1440)</f>
        <v>0.61805555555555558</v>
      </c>
      <c r="E13" s="375">
        <f ca="1">IF(Planung!$V$15,"",MOD($C13-$C$12,Planung!$V$11)+1)</f>
        <v>2</v>
      </c>
      <c r="F13" s="424" t="s">
        <v>273</v>
      </c>
      <c r="G13" s="425" t="s">
        <v>4</v>
      </c>
      <c r="H13" s="426" t="s">
        <v>329</v>
      </c>
      <c r="I13" s="376" t="str">
        <f t="shared" ref="I13:I15" ca="1" si="0">VLOOKUP($F13,$X$13:$Y$23,2,0)</f>
        <v>Mainz 05</v>
      </c>
      <c r="J13" s="152" t="s">
        <v>4</v>
      </c>
      <c r="K13" s="377" t="str">
        <f t="shared" ref="K13:K15" ca="1" si="1">VLOOKUP($H13,$X$13:$Y$23,2,0)</f>
        <v>Paris St. Germain</v>
      </c>
      <c r="L13" s="344">
        <v>25</v>
      </c>
      <c r="M13" s="346" t="str">
        <f>Sprache!$E$90</f>
        <v>:</v>
      </c>
      <c r="N13" s="337">
        <v>22</v>
      </c>
      <c r="O13" s="344">
        <v>25</v>
      </c>
      <c r="P13" s="694" t="str">
        <f>Sprache!$E$90</f>
        <v>:</v>
      </c>
      <c r="Q13" s="701">
        <v>17</v>
      </c>
      <c r="R13" s="354"/>
      <c r="S13" s="346" t="str">
        <f>Sprache!$E$90</f>
        <v>:</v>
      </c>
      <c r="T13" s="338"/>
      <c r="U13" s="349"/>
      <c r="V13" s="776"/>
      <c r="W13" s="336"/>
      <c r="X13" s="533" t="s">
        <v>275</v>
      </c>
      <c r="Y13" s="473" t="str">
        <f ca="1">IF(Vorrunde!$R$13="","",Vorrunde!$R$13)</f>
        <v>VFB Essenheim</v>
      </c>
      <c r="AB13" s="336" t="str">
        <f t="shared" ref="AB13:AB15" ca="1" si="2">IF(AG13&gt;AH13,$I13,IF(AG13&lt;AH13,$K13,""))</f>
        <v>Mainz 05</v>
      </c>
      <c r="AC13" s="336" t="str">
        <f t="shared" ref="AC13:AC15" ca="1" si="3">IF(AG13&lt;AH13,$I13,IF(AG13&gt;AH13,$K13,""))</f>
        <v>Paris St. Germain</v>
      </c>
      <c r="AD13" s="336" t="b">
        <f t="shared" ref="AD13:AD15" si="4">AND($L13&lt;&gt;"",$N13&lt;&gt;"",$O13&lt;&gt;"",$Q13&lt;&gt;"",$L13&lt;&gt;$N13,$O13&lt;&gt;$Q13,($L13&gt;$N13)+($O13&gt;$Q13)=1)</f>
        <v>0</v>
      </c>
      <c r="AE13" s="523" t="b">
        <f t="shared" ref="AE13:AE15" ca="1" si="5">AND($L13&lt;&gt;"",$N13&lt;&gt;"",$L13&lt;&gt;$N13,OR(AND($O13="",$Q13=""),AND($O13&lt;&gt;"",$Q13&lt;&gt;"",$O13&lt;&gt;$Q13)),$I13&lt;&gt;"",$K13&lt;&gt;"",$I13&lt;&gt;$K13)</f>
        <v>1</v>
      </c>
      <c r="AF13" s="336" t="b">
        <f t="shared" ref="AF13:AF15" si="6">AND(AD13,$R13&lt;&gt;"",$T13&lt;&gt;"",$R13&lt;&gt;$T13)</f>
        <v>0</v>
      </c>
      <c r="AG13" s="523">
        <f t="shared" ref="AG13:AG15" ca="1" si="7">(($L13&gt;$N13)+($O13&gt;$Q13)+($R13&gt;$T13)*AF13)*AE13</f>
        <v>2</v>
      </c>
      <c r="AH13" s="523">
        <f t="shared" ref="AH13:AH15" ca="1" si="8">(($L13&lt;$N13)+($O13&lt;$Q13)+($R13&lt;$T13)*AF13)*AE13</f>
        <v>0</v>
      </c>
    </row>
    <row r="14" spans="1:34" ht="24" customHeight="1" x14ac:dyDescent="0.2">
      <c r="A14" s="336"/>
      <c r="B14" s="551" t="str">
        <f>Sprache!$E$70&amp;3</f>
        <v>VF 3</v>
      </c>
      <c r="C14" s="392">
        <f t="array" aca="1" ref="C14" ca="1">ROW(63:63)-SUM(((Planung!$L$6:$L$65="")+(Planung!$N$6:$N$65="")&gt;0)*1)-SUM((($I$12:$I13="")+($K$12:$K13="")&gt;0)*1)</f>
        <v>43</v>
      </c>
      <c r="D14" s="395">
        <f t="array" aca="1" ref="D14" ca="1">IF(Planung!$V$15,"",$D$12+QUOTIENT(($C14-$C$12),Planung!$V$11)*(Planung!$S$7+Planung!$S$9)/1440+SUM($V$12:$V13)/1440)</f>
        <v>0.61805555555555558</v>
      </c>
      <c r="E14" s="375">
        <f ca="1">IF(Planung!$V$15,"",MOD($C14-$C$12,Planung!$V$11)+1)</f>
        <v>3</v>
      </c>
      <c r="F14" s="424" t="s">
        <v>274</v>
      </c>
      <c r="G14" s="425" t="s">
        <v>4</v>
      </c>
      <c r="H14" s="426" t="s">
        <v>275</v>
      </c>
      <c r="I14" s="376" t="str">
        <f t="shared" ca="1" si="0"/>
        <v>Kickers Rodendorf</v>
      </c>
      <c r="J14" s="152" t="s">
        <v>4</v>
      </c>
      <c r="K14" s="377" t="str">
        <f t="shared" ca="1" si="1"/>
        <v>VFB Essenheim</v>
      </c>
      <c r="L14" s="344">
        <v>25</v>
      </c>
      <c r="M14" s="346" t="str">
        <f>Sprache!$E$90</f>
        <v>:</v>
      </c>
      <c r="N14" s="337">
        <v>15</v>
      </c>
      <c r="O14" s="344">
        <v>18</v>
      </c>
      <c r="P14" s="694" t="str">
        <f>Sprache!$E$90</f>
        <v>:</v>
      </c>
      <c r="Q14" s="701">
        <v>25</v>
      </c>
      <c r="R14" s="354">
        <v>12</v>
      </c>
      <c r="S14" s="346" t="str">
        <f>Sprache!$E$90</f>
        <v>:</v>
      </c>
      <c r="T14" s="338">
        <v>15</v>
      </c>
      <c r="U14" s="349"/>
      <c r="V14" s="776"/>
      <c r="W14" s="336"/>
      <c r="X14" s="442" t="s">
        <v>276</v>
      </c>
      <c r="Y14" s="474" t="str">
        <f ca="1">IF(Vorrunde!$R$23="","",Vorrunde!$R$23)</f>
        <v>SSV Wildbach</v>
      </c>
      <c r="AB14" s="336" t="str">
        <f t="shared" ca="1" si="2"/>
        <v>VFB Essenheim</v>
      </c>
      <c r="AC14" s="336" t="str">
        <f t="shared" ca="1" si="3"/>
        <v>Kickers Rodendorf</v>
      </c>
      <c r="AD14" s="336" t="b">
        <f t="shared" si="4"/>
        <v>1</v>
      </c>
      <c r="AE14" s="523" t="b">
        <f t="shared" ca="1" si="5"/>
        <v>1</v>
      </c>
      <c r="AF14" s="336" t="b">
        <f t="shared" si="6"/>
        <v>1</v>
      </c>
      <c r="AG14" s="523">
        <f t="shared" ca="1" si="7"/>
        <v>1</v>
      </c>
      <c r="AH14" s="523">
        <f t="shared" ca="1" si="8"/>
        <v>2</v>
      </c>
    </row>
    <row r="15" spans="1:34" ht="24" customHeight="1" thickBot="1" x14ac:dyDescent="0.25">
      <c r="A15" s="336"/>
      <c r="B15" s="552" t="str">
        <f>Sprache!$E$70&amp;4</f>
        <v>VF 4</v>
      </c>
      <c r="C15" s="393">
        <f t="array" aca="1" ref="C15" ca="1">ROW(64:64)-SUM(((Planung!$L$6:$L$65="")+(Planung!$N$6:$N$65="")&gt;0)*1)-SUM((($I$12:$I14="")+($K$12:$K14="")&gt;0)*1)</f>
        <v>44</v>
      </c>
      <c r="D15" s="396">
        <f t="array" aca="1" ref="D15" ca="1">IF(Planung!$V$15,"",$D$12+QUOTIENT(($C15-$C$12),Planung!$V$11)*(Planung!$S$7+Planung!$S$9)/1440+SUM($V$12:$V14)/1440)</f>
        <v>0.61805555555555558</v>
      </c>
      <c r="E15" s="540">
        <f ca="1">IF(Planung!$V$15,"",MOD($C15-$C$12,Planung!$V$11)+1)</f>
        <v>4</v>
      </c>
      <c r="F15" s="427" t="s">
        <v>328</v>
      </c>
      <c r="G15" s="428" t="s">
        <v>4</v>
      </c>
      <c r="H15" s="429" t="s">
        <v>276</v>
      </c>
      <c r="I15" s="536" t="str">
        <f t="shared" ca="1" si="0"/>
        <v>TSG Saalberg eV</v>
      </c>
      <c r="J15" s="537" t="s">
        <v>4</v>
      </c>
      <c r="K15" s="538" t="str">
        <f t="shared" ca="1" si="1"/>
        <v>SSV Wildbach</v>
      </c>
      <c r="L15" s="345">
        <v>14</v>
      </c>
      <c r="M15" s="373" t="str">
        <f>Sprache!$E$90</f>
        <v>:</v>
      </c>
      <c r="N15" s="339">
        <v>25</v>
      </c>
      <c r="O15" s="345">
        <v>18</v>
      </c>
      <c r="P15" s="695" t="str">
        <f>Sprache!$E$90</f>
        <v>:</v>
      </c>
      <c r="Q15" s="673">
        <v>25</v>
      </c>
      <c r="R15" s="355"/>
      <c r="S15" s="373" t="str">
        <f>Sprache!$E$90</f>
        <v>:</v>
      </c>
      <c r="T15" s="340"/>
      <c r="U15" s="374"/>
      <c r="V15" s="777"/>
      <c r="W15" s="336"/>
      <c r="X15" s="532" t="s">
        <v>277</v>
      </c>
      <c r="Y15" s="474" t="str">
        <f ca="1">IF(Vorrunde!$R$33="","",Vorrunde!$R$33)</f>
        <v>FSV Rauen</v>
      </c>
      <c r="AB15" s="336" t="str">
        <f t="shared" ca="1" si="2"/>
        <v>SSV Wildbach</v>
      </c>
      <c r="AC15" s="336" t="str">
        <f t="shared" ca="1" si="3"/>
        <v>TSG Saalberg eV</v>
      </c>
      <c r="AD15" s="336" t="b">
        <f t="shared" si="4"/>
        <v>0</v>
      </c>
      <c r="AE15" s="523" t="b">
        <f t="shared" ca="1" si="5"/>
        <v>1</v>
      </c>
      <c r="AF15" s="336" t="b">
        <f t="shared" si="6"/>
        <v>0</v>
      </c>
      <c r="AG15" s="523">
        <f t="shared" ca="1" si="7"/>
        <v>0</v>
      </c>
      <c r="AH15" s="523">
        <f t="shared" ca="1" si="8"/>
        <v>2</v>
      </c>
    </row>
    <row r="16" spans="1:34" ht="27.95" customHeight="1" thickTop="1" thickBot="1" x14ac:dyDescent="0.35">
      <c r="A16" s="336"/>
      <c r="B16" s="390"/>
      <c r="C16" s="944" t="str">
        <f>Sprache!$E$53</f>
        <v>Halbfinale</v>
      </c>
      <c r="D16" s="944"/>
      <c r="E16" s="944"/>
      <c r="F16" s="944"/>
      <c r="G16" s="944"/>
      <c r="H16" s="944"/>
      <c r="I16" s="401" t="s">
        <v>250</v>
      </c>
      <c r="J16" s="120"/>
      <c r="K16" s="401" t="s">
        <v>250</v>
      </c>
      <c r="L16" s="360"/>
      <c r="M16" s="360"/>
      <c r="N16" s="360"/>
      <c r="O16" s="360"/>
      <c r="P16" s="360"/>
      <c r="Q16" s="360"/>
      <c r="R16" s="360"/>
      <c r="S16" s="360"/>
      <c r="T16" s="360"/>
      <c r="U16" s="480"/>
      <c r="V16" s="362"/>
      <c r="W16" s="336"/>
      <c r="X16" s="414" t="s">
        <v>329</v>
      </c>
      <c r="Y16" s="475" t="str">
        <f ca="1">IF(Vorrunde!$R$43="","",Vorrunde!$R$43)</f>
        <v>Paris St. Germain</v>
      </c>
    </row>
    <row r="17" spans="1:34" ht="24" customHeight="1" thickTop="1" x14ac:dyDescent="0.2">
      <c r="A17" s="336"/>
      <c r="B17" s="389"/>
      <c r="C17" s="397">
        <f t="array" aca="1" ref="C17" ca="1">ROW(65:65)-SUM(((Planung!$L$6:$L$65="")+(Planung!$N$6:$N$65="")&gt;0)*1)-SUM((($I$12:$I16="")+($K$12:$K16="")&gt;0)*1)</f>
        <v>45</v>
      </c>
      <c r="D17" s="398">
        <f ca="1">IF(Planung!$V$15,"",$D$15+($V$15+Planung!$S$9+Planung!$S$7)/1440)</f>
        <v>0.64236111111111116</v>
      </c>
      <c r="E17" s="363">
        <f>IF(Planung!$V$15,"",1)</f>
        <v>1</v>
      </c>
      <c r="F17" s="488" t="str">
        <f>B12</f>
        <v>VF 1</v>
      </c>
      <c r="G17" s="489" t="s">
        <v>4</v>
      </c>
      <c r="H17" s="490" t="str">
        <f>B14</f>
        <v>VF 3</v>
      </c>
      <c r="I17" s="364" t="str">
        <f ca="1">INDEX($AB$12:$AB$15,RIGHT($F$17,1))</f>
        <v>1. FC Riedwald</v>
      </c>
      <c r="J17" s="365" t="s">
        <v>4</v>
      </c>
      <c r="K17" s="366" t="str">
        <f ca="1">INDEX($AB$12:$AB$15,RIGHT($H$17,1))</f>
        <v>VFB Essenheim</v>
      </c>
      <c r="L17" s="367">
        <v>25</v>
      </c>
      <c r="M17" s="368" t="str">
        <f>Sprache!$E$90</f>
        <v>:</v>
      </c>
      <c r="N17" s="369">
        <v>21</v>
      </c>
      <c r="O17" s="367">
        <v>25</v>
      </c>
      <c r="P17" s="698" t="str">
        <f>Sprache!$E$90</f>
        <v>:</v>
      </c>
      <c r="Q17" s="672">
        <v>22</v>
      </c>
      <c r="R17" s="370"/>
      <c r="S17" s="368" t="str">
        <f>Sprache!$E$90</f>
        <v>:</v>
      </c>
      <c r="T17" s="371"/>
      <c r="U17" s="1011"/>
      <c r="V17" s="775"/>
      <c r="W17" s="336"/>
      <c r="X17" s="47"/>
      <c r="Y17" s="47"/>
      <c r="AB17" s="336" t="str">
        <f t="shared" ref="AB17:AB18" ca="1" si="9">IF(AG17&gt;AH17,$I17,IF(AG17&lt;AH17,$K17,""))</f>
        <v>1. FC Riedwald</v>
      </c>
      <c r="AC17" s="336" t="str">
        <f t="shared" ref="AC17:AC18" ca="1" si="10">IF(AG17&lt;AH17,$I17,IF(AG17&gt;AH17,$K17,""))</f>
        <v>VFB Essenheim</v>
      </c>
      <c r="AD17" s="336" t="b">
        <f t="shared" ref="AD17:AD18" si="11">AND($L17&lt;&gt;"",$N17&lt;&gt;"",$O17&lt;&gt;"",$Q17&lt;&gt;"",$L17&lt;&gt;$N17,$O17&lt;&gt;$Q17,($L17&gt;$N17)+($O17&gt;$Q17)=1)</f>
        <v>0</v>
      </c>
      <c r="AE17" s="523" t="b">
        <f t="shared" ref="AE17:AE18" ca="1" si="12">AND($L17&lt;&gt;"",$N17&lt;&gt;"",$L17&lt;&gt;$N17,OR(AND($O17="",$Q17=""),AND($O17&lt;&gt;"",$Q17&lt;&gt;"",$O17&lt;&gt;$Q17)),$I17&lt;&gt;"",$K17&lt;&gt;"",$I17&lt;&gt;$K17)</f>
        <v>1</v>
      </c>
      <c r="AF17" s="336" t="b">
        <f t="shared" ref="AF17:AF18" si="13">AND(AD17,$R17&lt;&gt;"",$T17&lt;&gt;"",$R17&lt;&gt;$T17)</f>
        <v>0</v>
      </c>
      <c r="AG17" s="523">
        <f t="shared" ref="AG17:AG18" ca="1" si="14">(($L17&gt;$N17)+($O17&gt;$Q17)+($R17&gt;$T17)*AF17)*AE17</f>
        <v>2</v>
      </c>
      <c r="AH17" s="523">
        <f t="shared" ref="AH17:AH18" ca="1" si="15">(($L17&lt;$N17)+($O17&lt;$Q17)+($R17&lt;$T17)*AF17)*AE17</f>
        <v>0</v>
      </c>
    </row>
    <row r="18" spans="1:34" ht="24" customHeight="1" thickBot="1" x14ac:dyDescent="0.45">
      <c r="A18" s="336"/>
      <c r="B18" s="389"/>
      <c r="C18" s="393">
        <f ca="1">$C$17+1</f>
        <v>46</v>
      </c>
      <c r="D18" s="396">
        <f ca="1">IF(Planung!$V$15,"",$D$17+($V$17+(Planung!$S$9+Planung!$S$7)*($E$17=$E$18))/1440)</f>
        <v>0.64236111111111116</v>
      </c>
      <c r="E18" s="372">
        <f>IF(Planung!$V$15,"",1+(Planung!$S$11&gt;1)*1)</f>
        <v>2</v>
      </c>
      <c r="F18" s="427" t="str">
        <f>B13</f>
        <v>VF 2</v>
      </c>
      <c r="G18" s="428" t="s">
        <v>4</v>
      </c>
      <c r="H18" s="429" t="str">
        <f>B15</f>
        <v>VF 4</v>
      </c>
      <c r="I18" s="341" t="str">
        <f ca="1">INDEX($AB$12:$AB$15,RIGHT($F$18,1))</f>
        <v>Mainz 05</v>
      </c>
      <c r="J18" s="154" t="s">
        <v>4</v>
      </c>
      <c r="K18" s="342" t="str">
        <f ca="1">INDEX($AB$12:$AB$15,RIGHT($H$18,1))</f>
        <v>SSV Wildbach</v>
      </c>
      <c r="L18" s="345">
        <v>21</v>
      </c>
      <c r="M18" s="373" t="str">
        <f>Sprache!$E$90</f>
        <v>:</v>
      </c>
      <c r="N18" s="339">
        <v>25</v>
      </c>
      <c r="O18" s="345">
        <v>25</v>
      </c>
      <c r="P18" s="695" t="str">
        <f>Sprache!$E$90</f>
        <v>:</v>
      </c>
      <c r="Q18" s="673">
        <v>19</v>
      </c>
      <c r="R18" s="355">
        <v>15</v>
      </c>
      <c r="S18" s="373" t="str">
        <f>Sprache!$E$90</f>
        <v>:</v>
      </c>
      <c r="T18" s="340">
        <v>13</v>
      </c>
      <c r="U18" s="374"/>
      <c r="V18" s="777"/>
      <c r="W18" s="336"/>
      <c r="X18" s="843" t="str">
        <f>Sprache!$E$59</f>
        <v>Gruppenerste</v>
      </c>
      <c r="Y18" s="843"/>
      <c r="AB18" s="336" t="str">
        <f t="shared" ca="1" si="9"/>
        <v>Mainz 05</v>
      </c>
      <c r="AC18" s="336" t="str">
        <f t="shared" ca="1" si="10"/>
        <v>SSV Wildbach</v>
      </c>
      <c r="AD18" s="336" t="b">
        <f t="shared" si="11"/>
        <v>1</v>
      </c>
      <c r="AE18" s="523" t="b">
        <f t="shared" ca="1" si="12"/>
        <v>1</v>
      </c>
      <c r="AF18" s="336" t="b">
        <f t="shared" si="13"/>
        <v>1</v>
      </c>
      <c r="AG18" s="523">
        <f t="shared" ca="1" si="14"/>
        <v>2</v>
      </c>
      <c r="AH18" s="523">
        <f t="shared" ca="1" si="15"/>
        <v>1</v>
      </c>
    </row>
    <row r="19" spans="1:34" ht="27.95" customHeight="1" thickTop="1" thickBot="1" x14ac:dyDescent="0.35">
      <c r="A19" s="336"/>
      <c r="B19" s="390"/>
      <c r="C19" s="944" t="str">
        <f>Sprache!$E$54</f>
        <v>Endspiele</v>
      </c>
      <c r="D19" s="944"/>
      <c r="E19" s="944"/>
      <c r="F19" s="944"/>
      <c r="G19" s="944"/>
      <c r="H19" s="944"/>
      <c r="I19" s="539"/>
      <c r="J19" s="120"/>
      <c r="K19" s="539"/>
      <c r="L19" s="360"/>
      <c r="M19" s="360"/>
      <c r="N19" s="360"/>
      <c r="O19" s="360"/>
      <c r="P19" s="360"/>
      <c r="Q19" s="360"/>
      <c r="R19" s="360"/>
      <c r="S19" s="360"/>
      <c r="T19" s="360"/>
      <c r="U19" s="480"/>
      <c r="V19" s="362"/>
      <c r="W19" s="336"/>
      <c r="X19" s="443"/>
      <c r="Y19" s="472" t="str">
        <f>Sprache!$E$10</f>
        <v>Teilnehmer bzw. Mannschaft</v>
      </c>
      <c r="AB19" s="578"/>
      <c r="AC19" s="578"/>
      <c r="AD19" s="578"/>
      <c r="AE19" s="578"/>
      <c r="AF19" s="578"/>
      <c r="AG19" s="578"/>
    </row>
    <row r="20" spans="1:34" ht="24" customHeight="1" thickTop="1" x14ac:dyDescent="0.2">
      <c r="A20" s="336"/>
      <c r="B20" s="389"/>
      <c r="C20" s="397">
        <f ca="1">$C$17+2</f>
        <v>47</v>
      </c>
      <c r="D20" s="398">
        <f ca="1">IF(Planung!$V$15,"",$D$18+($V$18+Planung!$S$9+Planung!$S$7)/1440)</f>
        <v>0.66666666666666674</v>
      </c>
      <c r="E20" s="363">
        <f>IF(Planung!$V$15,"",1)</f>
        <v>1</v>
      </c>
      <c r="F20" s="937" t="str">
        <f>Sprache!$E$99</f>
        <v>3. Platz</v>
      </c>
      <c r="G20" s="938"/>
      <c r="H20" s="939"/>
      <c r="I20" s="364" t="str">
        <f ca="1">AC17</f>
        <v>VFB Essenheim</v>
      </c>
      <c r="J20" s="365" t="s">
        <v>4</v>
      </c>
      <c r="K20" s="366" t="str">
        <f ca="1">AC18</f>
        <v>SSV Wildbach</v>
      </c>
      <c r="L20" s="367">
        <v>25</v>
      </c>
      <c r="M20" s="368" t="str">
        <f>Sprache!$E$90</f>
        <v>:</v>
      </c>
      <c r="N20" s="369">
        <v>21</v>
      </c>
      <c r="O20" s="367">
        <v>25</v>
      </c>
      <c r="P20" s="698" t="str">
        <f>Sprache!$E$90</f>
        <v>:</v>
      </c>
      <c r="Q20" s="672">
        <v>17</v>
      </c>
      <c r="R20" s="370"/>
      <c r="S20" s="368" t="str">
        <f>Sprache!$E$90</f>
        <v>:</v>
      </c>
      <c r="T20" s="371"/>
      <c r="U20" s="1011"/>
      <c r="V20" s="775"/>
      <c r="W20" s="336"/>
      <c r="X20" s="533" t="s">
        <v>272</v>
      </c>
      <c r="Y20" s="473" t="str">
        <f ca="1">IF(Vorrunde!$R$12="","",Vorrunde!$R$12)</f>
        <v>1. FC Riedwald</v>
      </c>
      <c r="AB20" s="336" t="str">
        <f t="shared" ref="AB20:AB21" ca="1" si="16">IF(AG20&gt;AH20,$I20,IF(AG20&lt;AH20,$K20,""))</f>
        <v>VFB Essenheim</v>
      </c>
      <c r="AC20" s="336" t="str">
        <f t="shared" ref="AC20:AC21" ca="1" si="17">IF(AG20&lt;AH20,$I20,IF(AG20&gt;AH20,$K20,""))</f>
        <v>SSV Wildbach</v>
      </c>
      <c r="AD20" s="336" t="b">
        <f t="shared" ref="AD20:AD21" si="18">AND($L20&lt;&gt;"",$N20&lt;&gt;"",$O20&lt;&gt;"",$Q20&lt;&gt;"",$L20&lt;&gt;$N20,$O20&lt;&gt;$Q20,($L20&gt;$N20)+($O20&gt;$Q20)=1)</f>
        <v>0</v>
      </c>
      <c r="AE20" s="523" t="b">
        <f t="shared" ref="AE20:AE21" ca="1" si="19">AND($L20&lt;&gt;"",$N20&lt;&gt;"",$L20&lt;&gt;$N20,OR(AND($O20="",$Q20=""),AND($O20&lt;&gt;"",$Q20&lt;&gt;"",$O20&lt;&gt;$Q20)),$I20&lt;&gt;"",$K20&lt;&gt;"",$I20&lt;&gt;$K20)</f>
        <v>1</v>
      </c>
      <c r="AF20" s="336" t="b">
        <f t="shared" ref="AF20:AF21" si="20">AND(AD20,$R20&lt;&gt;"",$T20&lt;&gt;"",$R20&lt;&gt;$T20)</f>
        <v>0</v>
      </c>
      <c r="AG20" s="523">
        <f t="shared" ref="AG20:AG21" ca="1" si="21">(($L20&gt;$N20)+($O20&gt;$Q20)+($R20&gt;$T20)*AF20)*AE20</f>
        <v>2</v>
      </c>
      <c r="AH20" s="523">
        <f t="shared" ref="AH20:AH21" ca="1" si="22">(($L20&lt;$N20)+($O20&lt;$Q20)+($R20&lt;$T20)*AF20)*AE20</f>
        <v>0</v>
      </c>
    </row>
    <row r="21" spans="1:34" ht="24" customHeight="1" thickBot="1" x14ac:dyDescent="0.25">
      <c r="A21" s="336"/>
      <c r="B21" s="389"/>
      <c r="C21" s="393">
        <f ca="1">$C$17+3</f>
        <v>48</v>
      </c>
      <c r="D21" s="396">
        <f ca="1">IF(Planung!$V$15,"",$D$20+($V$20+Planung!$S$9+Planung!$S$7)/1440)</f>
        <v>0.69097222222222232</v>
      </c>
      <c r="E21" s="372">
        <f>IF(Planung!$V$15,"",1)</f>
        <v>1</v>
      </c>
      <c r="F21" s="940" t="str">
        <f>Sprache!$E$100</f>
        <v>Finale</v>
      </c>
      <c r="G21" s="941"/>
      <c r="H21" s="942"/>
      <c r="I21" s="341" t="str">
        <f ca="1">AB17</f>
        <v>1. FC Riedwald</v>
      </c>
      <c r="J21" s="154" t="s">
        <v>4</v>
      </c>
      <c r="K21" s="342" t="str">
        <f ca="1">AB18</f>
        <v>Mainz 05</v>
      </c>
      <c r="L21" s="345">
        <v>14</v>
      </c>
      <c r="M21" s="373" t="str">
        <f>Sprache!$E$90</f>
        <v>:</v>
      </c>
      <c r="N21" s="339">
        <v>25</v>
      </c>
      <c r="O21" s="345">
        <v>16</v>
      </c>
      <c r="P21" s="695" t="str">
        <f>Sprache!$E$90</f>
        <v>:</v>
      </c>
      <c r="Q21" s="673">
        <v>25</v>
      </c>
      <c r="R21" s="355"/>
      <c r="S21" s="373" t="str">
        <f>Sprache!$E$90</f>
        <v>:</v>
      </c>
      <c r="T21" s="340"/>
      <c r="U21" s="374"/>
      <c r="V21" s="778"/>
      <c r="W21" s="336"/>
      <c r="X21" s="442" t="s">
        <v>273</v>
      </c>
      <c r="Y21" s="474" t="str">
        <f ca="1">IF(Vorrunde!$R$22="","",Vorrunde!$R$22)</f>
        <v>Mainz 05</v>
      </c>
      <c r="AB21" s="336" t="str">
        <f t="shared" ca="1" si="16"/>
        <v>Mainz 05</v>
      </c>
      <c r="AC21" s="336" t="str">
        <f t="shared" ca="1" si="17"/>
        <v>1. FC Riedwald</v>
      </c>
      <c r="AD21" s="336" t="b">
        <f t="shared" si="18"/>
        <v>0</v>
      </c>
      <c r="AE21" s="523" t="b">
        <f t="shared" ca="1" si="19"/>
        <v>1</v>
      </c>
      <c r="AF21" s="336" t="b">
        <f t="shared" si="20"/>
        <v>0</v>
      </c>
      <c r="AG21" s="523">
        <f t="shared" ca="1" si="21"/>
        <v>0</v>
      </c>
      <c r="AH21" s="523">
        <f t="shared" ca="1" si="22"/>
        <v>2</v>
      </c>
    </row>
    <row r="22" spans="1:34" ht="24" customHeight="1" thickTop="1" x14ac:dyDescent="0.2">
      <c r="X22" s="532" t="s">
        <v>274</v>
      </c>
      <c r="Y22" s="474" t="str">
        <f ca="1">IF(Vorrunde!$R$32="","",Vorrunde!$R$32)</f>
        <v>Kickers Rodendorf</v>
      </c>
    </row>
    <row r="23" spans="1:34" ht="24" customHeight="1" thickBot="1" x14ac:dyDescent="0.25">
      <c r="C23" s="356"/>
      <c r="D23" s="356"/>
      <c r="E23" s="356"/>
      <c r="F23" s="356"/>
      <c r="G23" s="356"/>
      <c r="H23" s="356"/>
      <c r="I23" s="357" t="str">
        <f>Sprache!$E$29</f>
        <v>Turnierende:</v>
      </c>
      <c r="J23" s="356"/>
      <c r="K23" s="358">
        <f ca="1">IF(Planung!$S$13="","",$D$21+Planung!$S$7/1440)</f>
        <v>0.71180555555555569</v>
      </c>
      <c r="L23" s="359"/>
      <c r="M23" s="359"/>
      <c r="N23" s="359"/>
      <c r="O23" s="359"/>
      <c r="P23" s="359"/>
      <c r="Q23" s="359"/>
      <c r="R23" s="359"/>
      <c r="S23" s="359"/>
      <c r="T23" s="359"/>
      <c r="U23" s="359"/>
      <c r="V23" s="359"/>
      <c r="X23" s="414" t="s">
        <v>328</v>
      </c>
      <c r="Y23" s="475" t="str">
        <f ca="1">IF(Vorrunde!$R$42="","",Vorrunde!$R$42)</f>
        <v>TSG Saalberg eV</v>
      </c>
    </row>
    <row r="24" spans="1:34" ht="24" customHeight="1" thickTop="1" thickBot="1" x14ac:dyDescent="0.25">
      <c r="D24" s="352"/>
    </row>
    <row r="25" spans="1:34" ht="24" customHeight="1" thickBot="1" x14ac:dyDescent="0.25">
      <c r="F25" s="917" t="str">
        <f>Sprache!$E$98</f>
        <v>Rang</v>
      </c>
      <c r="G25" s="918"/>
      <c r="H25" s="918"/>
      <c r="I25" s="945" t="str">
        <f>"  "&amp;Sprache!$E$10</f>
        <v xml:space="preserve">  Teilnehmer bzw. Mannschaft</v>
      </c>
      <c r="J25" s="945"/>
      <c r="K25" s="946"/>
    </row>
    <row r="26" spans="1:34" ht="24" customHeight="1" thickTop="1" x14ac:dyDescent="0.2">
      <c r="E26" s="353">
        <v>1</v>
      </c>
      <c r="F26" s="919">
        <v>1</v>
      </c>
      <c r="G26" s="920"/>
      <c r="H26" s="920"/>
      <c r="I26" s="909" t="str">
        <f ca="1">AB21</f>
        <v>Mainz 05</v>
      </c>
      <c r="J26" s="909"/>
      <c r="K26" s="910"/>
    </row>
    <row r="27" spans="1:34" ht="24" customHeight="1" x14ac:dyDescent="0.2">
      <c r="E27" s="353">
        <v>2</v>
      </c>
      <c r="F27" s="921">
        <v>2</v>
      </c>
      <c r="G27" s="922"/>
      <c r="H27" s="922"/>
      <c r="I27" s="911" t="str">
        <f ca="1">AC21</f>
        <v>1. FC Riedwald</v>
      </c>
      <c r="J27" s="911"/>
      <c r="K27" s="912"/>
    </row>
    <row r="28" spans="1:34" ht="24" customHeight="1" x14ac:dyDescent="0.2">
      <c r="E28" s="353">
        <v>3</v>
      </c>
      <c r="F28" s="923">
        <v>3</v>
      </c>
      <c r="G28" s="924"/>
      <c r="H28" s="924"/>
      <c r="I28" s="913" t="str">
        <f ca="1">AB20</f>
        <v>VFB Essenheim</v>
      </c>
      <c r="J28" s="913"/>
      <c r="K28" s="914"/>
    </row>
    <row r="29" spans="1:34" ht="24" customHeight="1" thickBot="1" x14ac:dyDescent="0.25">
      <c r="E29" s="353">
        <v>4</v>
      </c>
      <c r="F29" s="915">
        <v>4</v>
      </c>
      <c r="G29" s="916"/>
      <c r="H29" s="916"/>
      <c r="I29" s="901" t="str">
        <f ca="1">AC20</f>
        <v>SSV Wildbach</v>
      </c>
      <c r="J29" s="901"/>
      <c r="K29" s="902"/>
    </row>
    <row r="30" spans="1:34" ht="13.5" thickTop="1" x14ac:dyDescent="0.2"/>
    <row r="31" spans="1:34" x14ac:dyDescent="0.2"/>
    <row r="32" spans="1:34" x14ac:dyDescent="0.2"/>
    <row r="33" x14ac:dyDescent="0.2"/>
    <row r="34" x14ac:dyDescent="0.2"/>
  </sheetData>
  <sheetProtection sheet="1" selectLockedCells="1"/>
  <mergeCells count="29">
    <mergeCell ref="H2:X2"/>
    <mergeCell ref="H3:X3"/>
    <mergeCell ref="H4:X4"/>
    <mergeCell ref="H5:X5"/>
    <mergeCell ref="J7:T8"/>
    <mergeCell ref="F29:H29"/>
    <mergeCell ref="I29:K29"/>
    <mergeCell ref="I25:K25"/>
    <mergeCell ref="I26:K26"/>
    <mergeCell ref="I27:K27"/>
    <mergeCell ref="I28:K28"/>
    <mergeCell ref="F25:H25"/>
    <mergeCell ref="F26:H26"/>
    <mergeCell ref="F27:H27"/>
    <mergeCell ref="F28:H28"/>
    <mergeCell ref="AG11:AH11"/>
    <mergeCell ref="F20:H20"/>
    <mergeCell ref="F21:H21"/>
    <mergeCell ref="V9:V11"/>
    <mergeCell ref="X11:Y11"/>
    <mergeCell ref="I11:K11"/>
    <mergeCell ref="L11:N11"/>
    <mergeCell ref="R11:T11"/>
    <mergeCell ref="F11:H11"/>
    <mergeCell ref="C10:H10"/>
    <mergeCell ref="C16:H16"/>
    <mergeCell ref="C19:H19"/>
    <mergeCell ref="O11:Q11"/>
    <mergeCell ref="X18:Y18"/>
  </mergeCells>
  <conditionalFormatting sqref="C12:T15">
    <cfRule type="expression" dxfId="18" priority="4">
      <formula>OR($I12="",$K12="")</formula>
    </cfRule>
  </conditionalFormatting>
  <conditionalFormatting sqref="L12:Q15 L17:Q18 L20:Q21">
    <cfRule type="expression" dxfId="17" priority="2">
      <formula>OR(AND($L12&lt;&gt;"",$L12=$N12),AND($O12&lt;&gt;"",$O12=$Q12))</formula>
    </cfRule>
  </conditionalFormatting>
  <conditionalFormatting sqref="R12:T15 R17:T18 R20:T21">
    <cfRule type="expression" dxfId="16" priority="438">
      <formula>AND($R12&lt;&gt;"",$T12&lt;&gt;"",$R12=$T12,$AD12)</formula>
    </cfRule>
    <cfRule type="expression" dxfId="15" priority="439">
      <formula>NOT($AD12)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I27"/>
  <sheetViews>
    <sheetView showGridLines="0" showRowColHeaders="0" workbookViewId="0">
      <selection activeCell="L12" sqref="L12"/>
    </sheetView>
  </sheetViews>
  <sheetFormatPr baseColWidth="10" defaultColWidth="0" defaultRowHeight="12.75" customHeight="1" zeroHeight="1" x14ac:dyDescent="0.2"/>
  <cols>
    <col min="1" max="1" width="10.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15.7109375" style="47" customWidth="1"/>
    <col min="22" max="22" width="8" style="47" customWidth="1"/>
    <col min="23" max="23" width="11.42578125" style="47" customWidth="1"/>
    <col min="24" max="24" width="6.42578125" customWidth="1"/>
    <col min="25" max="25" width="36.7109375" customWidth="1"/>
    <col min="26" max="26" width="6.7109375" customWidth="1"/>
    <col min="27" max="27" width="12.28515625" customWidth="1"/>
    <col min="28" max="28" width="16.85546875" hidden="1" customWidth="1"/>
    <col min="29" max="29" width="17.140625" hidden="1" customWidth="1"/>
    <col min="30" max="30" width="9.5703125" hidden="1" customWidth="1"/>
    <col min="31" max="31" width="9.7109375" hidden="1" customWidth="1"/>
    <col min="32" max="32" width="8.7109375" hidden="1" customWidth="1"/>
    <col min="33" max="33" width="5.42578125" hidden="1" customWidth="1"/>
    <col min="34" max="34" width="5" hidden="1" customWidth="1"/>
    <col min="35" max="35" width="6.7109375" hidden="1" customWidth="1"/>
    <col min="36" max="16384" width="11.42578125" hidden="1"/>
  </cols>
  <sheetData>
    <row r="1" spans="1:34" ht="13.5" thickBot="1" x14ac:dyDescent="0.25"/>
    <row r="2" spans="1:34" ht="36.75" thickTop="1" x14ac:dyDescent="0.2">
      <c r="H2" s="877" t="str">
        <f>Vorrunde!$G$2</f>
        <v>Internationales U10-Turnier am 13.04.2025</v>
      </c>
      <c r="I2" s="878"/>
      <c r="J2" s="878"/>
      <c r="K2" s="878"/>
      <c r="L2" s="878"/>
      <c r="M2" s="878"/>
      <c r="N2" s="878"/>
      <c r="O2" s="878"/>
      <c r="P2" s="878"/>
      <c r="Q2" s="878"/>
      <c r="R2" s="878"/>
      <c r="S2" s="878"/>
      <c r="T2" s="878"/>
      <c r="U2" s="878"/>
      <c r="V2" s="878"/>
      <c r="W2" s="878"/>
      <c r="X2" s="879"/>
      <c r="Y2" s="791"/>
    </row>
    <row r="3" spans="1:34" ht="30" customHeight="1" x14ac:dyDescent="0.2">
      <c r="H3" s="880" t="str">
        <f>Vorrunde!$G$3</f>
        <v>Veranstalter:  1. FC Riedwald</v>
      </c>
      <c r="I3" s="881"/>
      <c r="J3" s="881"/>
      <c r="K3" s="881"/>
      <c r="L3" s="881"/>
      <c r="M3" s="881"/>
      <c r="N3" s="881"/>
      <c r="O3" s="881"/>
      <c r="P3" s="881"/>
      <c r="Q3" s="881"/>
      <c r="R3" s="881"/>
      <c r="S3" s="881"/>
      <c r="T3" s="881"/>
      <c r="U3" s="881"/>
      <c r="V3" s="881"/>
      <c r="W3" s="881"/>
      <c r="X3" s="882"/>
      <c r="Y3" s="792"/>
    </row>
    <row r="4" spans="1:34" ht="30" customHeight="1" x14ac:dyDescent="0.2">
      <c r="H4" s="883" t="str">
        <f>Vorrunde!$G$4</f>
        <v>Sporthalle Wiesengrund, Wendiger Str. 51, 65432 Riedwald</v>
      </c>
      <c r="I4" s="884"/>
      <c r="J4" s="884"/>
      <c r="K4" s="884"/>
      <c r="L4" s="884"/>
      <c r="M4" s="884"/>
      <c r="N4" s="884"/>
      <c r="O4" s="884"/>
      <c r="P4" s="884"/>
      <c r="Q4" s="884"/>
      <c r="R4" s="884"/>
      <c r="S4" s="884"/>
      <c r="T4" s="884"/>
      <c r="U4" s="884"/>
      <c r="V4" s="884"/>
      <c r="W4" s="884"/>
      <c r="X4" s="885"/>
      <c r="Y4" s="793"/>
    </row>
    <row r="5" spans="1:34" ht="30" customHeight="1" thickBot="1" x14ac:dyDescent="0.25">
      <c r="H5" s="886" t="str">
        <f>Vorrunde!$G$5</f>
        <v>Beginn:  9:00 Uhr</v>
      </c>
      <c r="I5" s="887"/>
      <c r="J5" s="887"/>
      <c r="K5" s="887"/>
      <c r="L5" s="887"/>
      <c r="M5" s="887"/>
      <c r="N5" s="887"/>
      <c r="O5" s="887"/>
      <c r="P5" s="887"/>
      <c r="Q5" s="887"/>
      <c r="R5" s="887"/>
      <c r="S5" s="887"/>
      <c r="T5" s="887"/>
      <c r="U5" s="887"/>
      <c r="V5" s="887"/>
      <c r="W5" s="887"/>
      <c r="X5" s="888"/>
      <c r="Y5" s="793"/>
    </row>
    <row r="6" spans="1:34" ht="18" customHeight="1" thickTop="1" thickBot="1" x14ac:dyDescent="0.25"/>
    <row r="7" spans="1:34" ht="30" customHeight="1" thickTop="1" x14ac:dyDescent="0.9">
      <c r="J7" s="947" t="str">
        <f>Sprache!$E$19</f>
        <v>Endrunde</v>
      </c>
      <c r="K7" s="948"/>
      <c r="L7" s="948"/>
      <c r="M7" s="948"/>
      <c r="N7" s="948"/>
      <c r="O7" s="948"/>
      <c r="P7" s="948"/>
      <c r="Q7" s="948"/>
      <c r="R7" s="948"/>
      <c r="S7" s="948"/>
      <c r="T7" s="949"/>
      <c r="U7" s="588"/>
      <c r="V7" s="797"/>
      <c r="W7" s="797"/>
    </row>
    <row r="8" spans="1:34" ht="30" customHeight="1" thickBot="1" x14ac:dyDescent="0.95">
      <c r="J8" s="950"/>
      <c r="K8" s="951"/>
      <c r="L8" s="951"/>
      <c r="M8" s="951"/>
      <c r="N8" s="951"/>
      <c r="O8" s="951"/>
      <c r="P8" s="951"/>
      <c r="Q8" s="951"/>
      <c r="R8" s="951"/>
      <c r="S8" s="951"/>
      <c r="T8" s="952"/>
      <c r="U8" s="588"/>
      <c r="V8" s="797"/>
      <c r="W8" s="797"/>
    </row>
    <row r="9" spans="1:34" ht="12.6" customHeight="1" thickTop="1" x14ac:dyDescent="0.2">
      <c r="V9" s="817" t="str">
        <f>Sprache!$E$20</f>
        <v>Zusätzl. Pause (min)</v>
      </c>
    </row>
    <row r="10" spans="1:34" ht="27.95" customHeight="1" thickBot="1" x14ac:dyDescent="0.35">
      <c r="C10" s="943" t="str">
        <f>Sprache!$E$53</f>
        <v>Halbfinale</v>
      </c>
      <c r="D10" s="943"/>
      <c r="E10" s="943"/>
      <c r="F10" s="943"/>
      <c r="G10" s="943"/>
      <c r="H10" s="943"/>
      <c r="V10" s="817"/>
    </row>
    <row r="11" spans="1:34" ht="24" customHeight="1" thickTop="1" thickBot="1" x14ac:dyDescent="0.45">
      <c r="B11" s="351"/>
      <c r="C11" s="399" t="str">
        <f>Sprache!$E$9</f>
        <v>Nr.</v>
      </c>
      <c r="D11" s="744" t="str">
        <f>Sprache!$E$39</f>
        <v>Beginn:</v>
      </c>
      <c r="E11" s="746" t="str">
        <f>Sprache!$E$48</f>
        <v>Feld</v>
      </c>
      <c r="F11" s="890"/>
      <c r="G11" s="891"/>
      <c r="H11" s="892"/>
      <c r="I11" s="853" t="str">
        <f>Sprache!$E$14</f>
        <v>Spielpaarung</v>
      </c>
      <c r="J11" s="854"/>
      <c r="K11" s="855"/>
      <c r="L11" s="890" t="str">
        <f>Sprache!$E$72</f>
        <v>1. Satz</v>
      </c>
      <c r="M11" s="891"/>
      <c r="N11" s="892"/>
      <c r="O11" s="890" t="str">
        <f>Sprache!$E$73</f>
        <v>2. Satz</v>
      </c>
      <c r="P11" s="891"/>
      <c r="Q11" s="892"/>
      <c r="R11" s="890" t="str">
        <f>Sprache!$E$75</f>
        <v>3. Satz</v>
      </c>
      <c r="S11" s="891"/>
      <c r="T11" s="893"/>
      <c r="U11" s="753" t="str">
        <f>Sprache!$E$78</f>
        <v>Schiedsrichter</v>
      </c>
      <c r="V11" s="953"/>
      <c r="X11" s="843" t="str">
        <f>Sprache!$E$59</f>
        <v>Gruppenerste</v>
      </c>
      <c r="Y11" s="843"/>
      <c r="AB11" s="740" t="s">
        <v>418</v>
      </c>
      <c r="AC11" s="740" t="s">
        <v>419</v>
      </c>
      <c r="AD11" s="741" t="s">
        <v>420</v>
      </c>
      <c r="AE11" s="741" t="s">
        <v>421</v>
      </c>
      <c r="AF11" s="741" t="s">
        <v>422</v>
      </c>
      <c r="AG11" s="898" t="s">
        <v>380</v>
      </c>
      <c r="AH11" s="898"/>
    </row>
    <row r="12" spans="1:34" ht="24" customHeight="1" thickTop="1" x14ac:dyDescent="0.2">
      <c r="A12" s="336"/>
      <c r="B12" s="576"/>
      <c r="C12" s="779">
        <f t="array" aca="1" ref="C12" ca="1">61-SUM(((Planung!$L$6:$L$65="")+(Planung!$N$6:$N$65="")&gt;0)*1)</f>
        <v>41</v>
      </c>
      <c r="D12" s="780">
        <f ca="1">IF(Planung!$V$15,"",Planung!$S$13+(Planung!$S$9+Planung!$Q$65)/1440)</f>
        <v>0.61805555555555558</v>
      </c>
      <c r="E12" s="781">
        <f>IF(Planung!$V$15,"",1)</f>
        <v>1</v>
      </c>
      <c r="F12" s="782" t="s">
        <v>272</v>
      </c>
      <c r="G12" s="783" t="s">
        <v>4</v>
      </c>
      <c r="H12" s="784" t="s">
        <v>274</v>
      </c>
      <c r="I12" s="785" t="str">
        <f ca="1">VLOOKUP($F12,$X$11:$Y$17,2,0)</f>
        <v>1. FC Riedwald</v>
      </c>
      <c r="J12" s="786" t="s">
        <v>4</v>
      </c>
      <c r="K12" s="787" t="str">
        <f ca="1">VLOOKUP($H12,$X$11:$Y$17,2,0)</f>
        <v>Kickers Rodendorf</v>
      </c>
      <c r="L12" s="681">
        <v>25</v>
      </c>
      <c r="M12" s="346" t="str">
        <f>Sprache!$E$90</f>
        <v>:</v>
      </c>
      <c r="N12" s="774">
        <v>21</v>
      </c>
      <c r="O12" s="681">
        <v>25</v>
      </c>
      <c r="P12" s="788" t="str">
        <f>Sprache!$E$90</f>
        <v>:</v>
      </c>
      <c r="Q12" s="774">
        <v>19</v>
      </c>
      <c r="R12" s="789"/>
      <c r="S12" s="346" t="str">
        <f>Sprache!$E$90</f>
        <v>:</v>
      </c>
      <c r="T12" s="790"/>
      <c r="U12" s="754"/>
      <c r="V12" s="775"/>
      <c r="W12" s="336"/>
      <c r="X12" s="443"/>
      <c r="Y12" s="472" t="str">
        <f>Sprache!$E$10</f>
        <v>Teilnehmer bzw. Mannschaft</v>
      </c>
      <c r="AB12" s="336" t="str">
        <f ca="1">IF(AG12&gt;AH12,$I12,IF(AG12&lt;AH12,$K12,""))</f>
        <v>1. FC Riedwald</v>
      </c>
      <c r="AC12" s="336" t="str">
        <f ca="1">IF(AG12&lt;AH12,$I12,IF(AG12&gt;AH12,$K12,""))</f>
        <v>Kickers Rodendorf</v>
      </c>
      <c r="AD12" s="336" t="b">
        <f>AND($L12&lt;&gt;"",$N12&lt;&gt;"",$O12&lt;&gt;"",$Q12&lt;&gt;"",$L12&lt;&gt;$N12,$O12&lt;&gt;$Q12,($L12&gt;$N12)+($O12&gt;$Q12)=1)</f>
        <v>0</v>
      </c>
      <c r="AE12" s="523" t="b">
        <f ca="1">AND($L12&lt;&gt;"",$N12&lt;&gt;"",$L12&lt;&gt;$N12,OR(AND($O12="",$Q12=""),AND($O12&lt;&gt;"",$Q12&lt;&gt;"",$O12&lt;&gt;$Q12)),$I12&lt;&gt;"",$K12&lt;&gt;"",$I12&lt;&gt;$K12)</f>
        <v>1</v>
      </c>
      <c r="AF12" s="336" t="b">
        <f>AND(AD12,$R12&lt;&gt;"",$T12&lt;&gt;"",$R12&lt;&gt;$T12)</f>
        <v>0</v>
      </c>
      <c r="AG12" s="523">
        <f ca="1">(($L12&gt;$N12)+($O12&gt;$Q12)+($R12&gt;$T12)*AF12)*AE12</f>
        <v>2</v>
      </c>
      <c r="AH12" s="523">
        <f ca="1">(($L12&lt;$N12)+($O12&lt;$Q12)+($R12&lt;$T12)*AF12)*AE12</f>
        <v>0</v>
      </c>
    </row>
    <row r="13" spans="1:34" ht="24" customHeight="1" thickBot="1" x14ac:dyDescent="0.25">
      <c r="A13" s="336"/>
      <c r="B13" s="576"/>
      <c r="C13" s="393">
        <f ca="1">$C$12+1</f>
        <v>42</v>
      </c>
      <c r="D13" s="396">
        <f ca="1">IF(Planung!$V$15,"",$D$12+($V$12+(Planung!$S$9+Planung!$S$7)*($E$12=$E$13))/1440)</f>
        <v>0.61805555555555558</v>
      </c>
      <c r="E13" s="372">
        <f>IF(Planung!$V$15,"",1+(Planung!$S$11&gt;1)*1)</f>
        <v>2</v>
      </c>
      <c r="F13" s="427" t="s">
        <v>273</v>
      </c>
      <c r="G13" s="574" t="s">
        <v>4</v>
      </c>
      <c r="H13" s="429" t="s">
        <v>328</v>
      </c>
      <c r="I13" s="536" t="str">
        <f ca="1">VLOOKUP($F13,$X$11:$Y$17,2,0)</f>
        <v>Mainz 05</v>
      </c>
      <c r="J13" s="537" t="s">
        <v>4</v>
      </c>
      <c r="K13" s="538" t="str">
        <f ca="1">VLOOKUP($H13,$X$11:$Y$17,2,0)</f>
        <v>TSG Saalberg eV</v>
      </c>
      <c r="L13" s="345">
        <v>23</v>
      </c>
      <c r="M13" s="373" t="str">
        <f>Sprache!$E$90</f>
        <v>:</v>
      </c>
      <c r="N13" s="339">
        <v>25</v>
      </c>
      <c r="O13" s="345">
        <v>18</v>
      </c>
      <c r="P13" s="695" t="str">
        <f>Sprache!$E$90</f>
        <v>:</v>
      </c>
      <c r="Q13" s="339">
        <v>25</v>
      </c>
      <c r="R13" s="355"/>
      <c r="S13" s="373" t="str">
        <f>Sprache!$E$90</f>
        <v>:</v>
      </c>
      <c r="T13" s="340"/>
      <c r="U13" s="374"/>
      <c r="V13" s="777"/>
      <c r="W13" s="336"/>
      <c r="X13" s="573" t="s">
        <v>272</v>
      </c>
      <c r="Y13" s="473" t="str">
        <f ca="1">IF(Vorrunde!$R$12="","",Vorrunde!$R$12)</f>
        <v>1. FC Riedwald</v>
      </c>
      <c r="AB13" s="336" t="str">
        <f ca="1">IF(AG13&gt;AH13,$I13,IF(AG13&lt;AH13,$K13,""))</f>
        <v>TSG Saalberg eV</v>
      </c>
      <c r="AC13" s="336" t="str">
        <f ca="1">IF(AG13&lt;AH13,$I13,IF(AG13&gt;AH13,$K13,""))</f>
        <v>Mainz 05</v>
      </c>
      <c r="AD13" s="336" t="b">
        <f>AND($L13&lt;&gt;"",$N13&lt;&gt;"",$O13&lt;&gt;"",$Q13&lt;&gt;"",$L13&lt;&gt;$N13,$O13&lt;&gt;$Q13,($L13&gt;$N13)+($O13&gt;$Q13)=1)</f>
        <v>0</v>
      </c>
      <c r="AE13" s="523" t="b">
        <f ca="1">AND($L13&lt;&gt;"",$N13&lt;&gt;"",$L13&lt;&gt;$N13,OR(AND($O13="",$Q13=""),AND($O13&lt;&gt;"",$Q13&lt;&gt;"",$O13&lt;&gt;$Q13)),$I13&lt;&gt;"",$K13&lt;&gt;"",$I13&lt;&gt;$K13)</f>
        <v>1</v>
      </c>
      <c r="AF13" s="336" t="b">
        <f>AND(AD13,$R13&lt;&gt;"",$T13&lt;&gt;"",$R13&lt;&gt;$T13)</f>
        <v>0</v>
      </c>
      <c r="AG13" s="523">
        <f ca="1">(($L13&gt;$N13)+($O13&gt;$Q13)+($R13&gt;$T13)*AF13)*AE13</f>
        <v>0</v>
      </c>
      <c r="AH13" s="523">
        <f ca="1">(($L13&lt;$N13)+($O13&lt;$Q13)+($R13&lt;$T13)*AF13)*AE13</f>
        <v>2</v>
      </c>
    </row>
    <row r="14" spans="1:34" ht="24" customHeight="1" thickTop="1" thickBot="1" x14ac:dyDescent="0.35">
      <c r="A14" s="336"/>
      <c r="B14" s="576"/>
      <c r="C14" s="577" t="str">
        <f>Sprache!$E$54</f>
        <v>Endspiele</v>
      </c>
      <c r="D14" s="577"/>
      <c r="E14" s="577"/>
      <c r="F14" s="577"/>
      <c r="G14" s="577"/>
      <c r="H14" s="577"/>
      <c r="I14" s="539"/>
      <c r="J14" s="120"/>
      <c r="K14" s="539"/>
      <c r="L14" s="360"/>
      <c r="M14" s="360"/>
      <c r="N14" s="360"/>
      <c r="O14" s="360"/>
      <c r="P14" s="360"/>
      <c r="Q14" s="360"/>
      <c r="R14" s="360"/>
      <c r="S14" s="360"/>
      <c r="T14" s="360"/>
      <c r="U14" s="480"/>
      <c r="V14" s="362"/>
      <c r="W14" s="336"/>
      <c r="X14" s="442" t="s">
        <v>273</v>
      </c>
      <c r="Y14" s="474" t="str">
        <f ca="1">IF(Vorrunde!$R$22="","",Vorrunde!$R$22)</f>
        <v>Mainz 05</v>
      </c>
    </row>
    <row r="15" spans="1:34" ht="24" customHeight="1" thickTop="1" x14ac:dyDescent="0.2">
      <c r="A15" s="336"/>
      <c r="B15" s="576"/>
      <c r="C15" s="397">
        <f ca="1">$C$12+2</f>
        <v>43</v>
      </c>
      <c r="D15" s="398">
        <f ca="1">IF(Planung!$V$15,"",$D$13+($V$13+Planung!$S$9+Planung!$S$7)/1440)</f>
        <v>0.64236111111111116</v>
      </c>
      <c r="E15" s="363">
        <f>IF(Planung!$V$15,"",1)</f>
        <v>1</v>
      </c>
      <c r="F15" s="937" t="str">
        <f>Sprache!$E$99</f>
        <v>3. Platz</v>
      </c>
      <c r="G15" s="938"/>
      <c r="H15" s="939"/>
      <c r="I15" s="364" t="str">
        <f ca="1">AC12</f>
        <v>Kickers Rodendorf</v>
      </c>
      <c r="J15" s="365" t="s">
        <v>4</v>
      </c>
      <c r="K15" s="366" t="str">
        <f ca="1">AC13</f>
        <v>Mainz 05</v>
      </c>
      <c r="L15" s="367">
        <v>25</v>
      </c>
      <c r="M15" s="368" t="str">
        <f>Sprache!$E$90</f>
        <v>:</v>
      </c>
      <c r="N15" s="369">
        <v>22</v>
      </c>
      <c r="O15" s="367">
        <v>19</v>
      </c>
      <c r="P15" s="698" t="str">
        <f>Sprache!$E$90</f>
        <v>:</v>
      </c>
      <c r="Q15" s="369">
        <v>25</v>
      </c>
      <c r="R15" s="370">
        <v>12</v>
      </c>
      <c r="S15" s="368" t="str">
        <f>Sprache!$E$90</f>
        <v>:</v>
      </c>
      <c r="T15" s="371">
        <v>15</v>
      </c>
      <c r="U15" s="1011"/>
      <c r="V15" s="775"/>
      <c r="W15" s="336"/>
      <c r="X15" s="572" t="s">
        <v>274</v>
      </c>
      <c r="Y15" s="474" t="str">
        <f ca="1">IF(Vorrunde!$R$32="","",Vorrunde!$R$32)</f>
        <v>Kickers Rodendorf</v>
      </c>
      <c r="AB15" s="336" t="str">
        <f t="shared" ref="AB15:AB16" ca="1" si="0">IF(AG15&gt;AH15,$I15,IF(AG15&lt;AH15,$K15,""))</f>
        <v>Mainz 05</v>
      </c>
      <c r="AC15" s="336" t="str">
        <f t="shared" ref="AC15:AC16" ca="1" si="1">IF(AG15&lt;AH15,$I15,IF(AG15&gt;AH15,$K15,""))</f>
        <v>Kickers Rodendorf</v>
      </c>
      <c r="AD15" s="336" t="b">
        <f t="shared" ref="AD15:AD16" si="2">AND($L15&lt;&gt;"",$N15&lt;&gt;"",$O15&lt;&gt;"",$Q15&lt;&gt;"",$L15&lt;&gt;$N15,$O15&lt;&gt;$Q15,($L15&gt;$N15)+($O15&gt;$Q15)=1)</f>
        <v>1</v>
      </c>
      <c r="AE15" s="523" t="b">
        <f t="shared" ref="AE15:AE16" ca="1" si="3">AND($L15&lt;&gt;"",$N15&lt;&gt;"",$L15&lt;&gt;$N15,OR(AND($O15="",$Q15=""),AND($O15&lt;&gt;"",$Q15&lt;&gt;"",$O15&lt;&gt;$Q15)),$I15&lt;&gt;"",$K15&lt;&gt;"",$I15&lt;&gt;$K15)</f>
        <v>1</v>
      </c>
      <c r="AF15" s="336" t="b">
        <f t="shared" ref="AF15:AF16" si="4">AND(AD15,$R15&lt;&gt;"",$T15&lt;&gt;"",$R15&lt;&gt;$T15)</f>
        <v>1</v>
      </c>
      <c r="AG15" s="523">
        <f t="shared" ref="AG15:AG16" ca="1" si="5">(($L15&gt;$N15)+($O15&gt;$Q15)+($R15&gt;$T15)*AF15)*AE15</f>
        <v>1</v>
      </c>
      <c r="AH15" s="523">
        <f t="shared" ref="AH15:AH16" ca="1" si="6">(($L15&lt;$N15)+($O15&lt;$Q15)+($R15&lt;$T15)*AF15)*AE15</f>
        <v>2</v>
      </c>
    </row>
    <row r="16" spans="1:34" ht="27.95" customHeight="1" thickBot="1" x14ac:dyDescent="0.25">
      <c r="A16" s="336"/>
      <c r="B16" s="390"/>
      <c r="C16" s="393">
        <f ca="1">$C$12+3</f>
        <v>44</v>
      </c>
      <c r="D16" s="396">
        <f ca="1">IF(Planung!$V$15,"",$D$15+($V$15+Planung!$S$9+Planung!$S$7)/1440)</f>
        <v>0.66666666666666674</v>
      </c>
      <c r="E16" s="372">
        <f>IF(Planung!$V$15,"",1)</f>
        <v>1</v>
      </c>
      <c r="F16" s="940" t="str">
        <f>Sprache!$E$100</f>
        <v>Finale</v>
      </c>
      <c r="G16" s="941"/>
      <c r="H16" s="942"/>
      <c r="I16" s="341" t="str">
        <f ca="1">AB12</f>
        <v>1. FC Riedwald</v>
      </c>
      <c r="J16" s="154" t="s">
        <v>4</v>
      </c>
      <c r="K16" s="342" t="str">
        <f ca="1">AB13</f>
        <v>TSG Saalberg eV</v>
      </c>
      <c r="L16" s="345">
        <v>22</v>
      </c>
      <c r="M16" s="373" t="str">
        <f>Sprache!$E$90</f>
        <v>:</v>
      </c>
      <c r="N16" s="339">
        <v>25</v>
      </c>
      <c r="O16" s="345">
        <v>20</v>
      </c>
      <c r="P16" s="695" t="str">
        <f>Sprache!$E$90</f>
        <v>:</v>
      </c>
      <c r="Q16" s="339">
        <v>25</v>
      </c>
      <c r="R16" s="355"/>
      <c r="S16" s="373" t="str">
        <f>Sprache!$E$90</f>
        <v>:</v>
      </c>
      <c r="T16" s="340"/>
      <c r="U16" s="374"/>
      <c r="V16" s="778"/>
      <c r="W16" s="336"/>
      <c r="X16" s="414" t="s">
        <v>328</v>
      </c>
      <c r="Y16" s="475" t="str">
        <f ca="1">IF(Vorrunde!$R$42="","",Vorrunde!$R$42)</f>
        <v>TSG Saalberg eV</v>
      </c>
      <c r="AB16" s="336" t="str">
        <f t="shared" ca="1" si="0"/>
        <v>TSG Saalberg eV</v>
      </c>
      <c r="AC16" s="336" t="str">
        <f t="shared" ca="1" si="1"/>
        <v>1. FC Riedwald</v>
      </c>
      <c r="AD16" s="336" t="b">
        <f t="shared" si="2"/>
        <v>0</v>
      </c>
      <c r="AE16" s="523" t="b">
        <f t="shared" ca="1" si="3"/>
        <v>1</v>
      </c>
      <c r="AF16" s="336" t="b">
        <f t="shared" si="4"/>
        <v>0</v>
      </c>
      <c r="AG16" s="523">
        <f t="shared" ca="1" si="5"/>
        <v>0</v>
      </c>
      <c r="AH16" s="523">
        <f t="shared" ca="1" si="6"/>
        <v>2</v>
      </c>
    </row>
    <row r="17" spans="1:35" ht="24" customHeight="1" thickTop="1" x14ac:dyDescent="0.2">
      <c r="A17" s="336"/>
      <c r="B17" s="390"/>
      <c r="C17" s="579"/>
      <c r="W17" s="336"/>
      <c r="X17" s="47"/>
      <c r="Y17" s="47"/>
      <c r="AC17" s="575"/>
      <c r="AD17" s="578"/>
      <c r="AE17" s="578"/>
      <c r="AF17" s="578"/>
      <c r="AG17" s="578"/>
      <c r="AH17" s="578"/>
      <c r="AI17" s="578"/>
    </row>
    <row r="18" spans="1:35" ht="24" customHeight="1" x14ac:dyDescent="0.2">
      <c r="A18" s="336"/>
      <c r="B18" s="390"/>
      <c r="C18" s="356"/>
      <c r="D18" s="356"/>
      <c r="E18" s="356"/>
      <c r="F18" s="356"/>
      <c r="G18" s="356"/>
      <c r="H18" s="356"/>
      <c r="I18" s="357" t="str">
        <f>Sprache!$E$29</f>
        <v>Turnierende:</v>
      </c>
      <c r="J18" s="356"/>
      <c r="K18" s="358">
        <f ca="1">IF(Planung!$S$13="","",$D$16+Planung!$S$7/1440)</f>
        <v>0.68750000000000011</v>
      </c>
      <c r="L18" s="359"/>
      <c r="M18" s="359"/>
      <c r="N18" s="359"/>
      <c r="O18" s="359"/>
      <c r="P18" s="359"/>
      <c r="Q18" s="359"/>
      <c r="R18" s="359"/>
      <c r="S18" s="359"/>
      <c r="T18" s="359"/>
      <c r="U18" s="359"/>
      <c r="V18" s="359"/>
      <c r="W18" s="336"/>
      <c r="AC18" s="575"/>
      <c r="AD18" s="578"/>
      <c r="AE18" s="578"/>
      <c r="AF18" s="578"/>
      <c r="AG18" s="578"/>
      <c r="AH18" s="578"/>
      <c r="AI18" s="578"/>
    </row>
    <row r="19" spans="1:35" ht="27.95" customHeight="1" thickBot="1" x14ac:dyDescent="0.25">
      <c r="A19" s="336"/>
      <c r="B19" s="390"/>
      <c r="C19" s="580"/>
      <c r="D19" s="352"/>
      <c r="W19" s="336"/>
      <c r="AC19" s="575"/>
      <c r="AD19" s="578"/>
      <c r="AE19" s="578"/>
      <c r="AF19" s="578"/>
      <c r="AG19" s="578"/>
      <c r="AH19" s="578"/>
      <c r="AI19" s="578"/>
    </row>
    <row r="20" spans="1:35" ht="24" customHeight="1" thickBot="1" x14ac:dyDescent="0.25">
      <c r="A20" s="336"/>
      <c r="B20" s="390"/>
      <c r="C20" s="580"/>
      <c r="F20" s="917" t="str">
        <f>Sprache!$E$98</f>
        <v>Rang</v>
      </c>
      <c r="G20" s="918"/>
      <c r="H20" s="918"/>
      <c r="I20" s="945" t="str">
        <f>"  "&amp;Sprache!$E$10</f>
        <v xml:space="preserve">  Teilnehmer bzw. Mannschaft</v>
      </c>
      <c r="J20" s="945"/>
      <c r="K20" s="946"/>
      <c r="W20" s="336"/>
      <c r="AC20" s="575"/>
      <c r="AD20" s="578"/>
      <c r="AE20" s="578"/>
      <c r="AF20" s="578"/>
      <c r="AG20" s="578"/>
      <c r="AH20" s="578"/>
      <c r="AI20" s="578"/>
    </row>
    <row r="21" spans="1:35" ht="24" customHeight="1" thickTop="1" x14ac:dyDescent="0.2">
      <c r="A21" s="336"/>
      <c r="B21" s="390"/>
      <c r="C21" s="580"/>
      <c r="E21" s="353">
        <v>1</v>
      </c>
      <c r="F21" s="919">
        <v>1</v>
      </c>
      <c r="G21" s="920"/>
      <c r="H21" s="920"/>
      <c r="I21" s="909" t="str">
        <f ca="1">AB16</f>
        <v>TSG Saalberg eV</v>
      </c>
      <c r="J21" s="909"/>
      <c r="K21" s="910"/>
      <c r="W21" s="336"/>
    </row>
    <row r="22" spans="1:35" ht="24" customHeight="1" x14ac:dyDescent="0.2">
      <c r="E22" s="353">
        <v>2</v>
      </c>
      <c r="F22" s="921">
        <v>2</v>
      </c>
      <c r="G22" s="922"/>
      <c r="H22" s="922"/>
      <c r="I22" s="911" t="str">
        <f ca="1">AC16</f>
        <v>1. FC Riedwald</v>
      </c>
      <c r="J22" s="911"/>
      <c r="K22" s="912"/>
    </row>
    <row r="23" spans="1:35" ht="24" customHeight="1" x14ac:dyDescent="0.2">
      <c r="E23" s="353">
        <v>3</v>
      </c>
      <c r="F23" s="923">
        <v>3</v>
      </c>
      <c r="G23" s="924"/>
      <c r="H23" s="924"/>
      <c r="I23" s="913" t="str">
        <f ca="1">AB15</f>
        <v>Mainz 05</v>
      </c>
      <c r="J23" s="913"/>
      <c r="K23" s="914"/>
    </row>
    <row r="24" spans="1:35" ht="24" customHeight="1" thickBot="1" x14ac:dyDescent="0.25">
      <c r="E24" s="353">
        <v>4</v>
      </c>
      <c r="F24" s="915">
        <v>4</v>
      </c>
      <c r="G24" s="916"/>
      <c r="H24" s="916"/>
      <c r="I24" s="901" t="str">
        <f ca="1">AC15</f>
        <v>Kickers Rodendorf</v>
      </c>
      <c r="J24" s="901"/>
      <c r="K24" s="902"/>
    </row>
    <row r="25" spans="1:35" ht="24" customHeight="1" thickTop="1" x14ac:dyDescent="0.2"/>
    <row r="26" spans="1:35" ht="12.75" customHeight="1" x14ac:dyDescent="0.2"/>
    <row r="27" spans="1:35" ht="12.75" customHeight="1" x14ac:dyDescent="0.2"/>
  </sheetData>
  <sheetProtection sheet="1" selectLockedCells="1"/>
  <mergeCells count="26">
    <mergeCell ref="V9:V11"/>
    <mergeCell ref="F11:H11"/>
    <mergeCell ref="I11:K11"/>
    <mergeCell ref="L11:N11"/>
    <mergeCell ref="O11:Q11"/>
    <mergeCell ref="H2:X2"/>
    <mergeCell ref="H3:X3"/>
    <mergeCell ref="H4:X4"/>
    <mergeCell ref="H5:X5"/>
    <mergeCell ref="J7:T8"/>
    <mergeCell ref="AG11:AH11"/>
    <mergeCell ref="F24:H24"/>
    <mergeCell ref="I24:K24"/>
    <mergeCell ref="C10:H10"/>
    <mergeCell ref="F21:H21"/>
    <mergeCell ref="I21:K21"/>
    <mergeCell ref="F22:H22"/>
    <mergeCell ref="I22:K22"/>
    <mergeCell ref="F23:H23"/>
    <mergeCell ref="I23:K23"/>
    <mergeCell ref="F20:H20"/>
    <mergeCell ref="I20:K20"/>
    <mergeCell ref="R11:T11"/>
    <mergeCell ref="F15:H15"/>
    <mergeCell ref="F16:H16"/>
    <mergeCell ref="X11:Y11"/>
  </mergeCells>
  <conditionalFormatting sqref="R12:T13 R15:T16">
    <cfRule type="expression" dxfId="14" priority="1">
      <formula>AND($R12&lt;&gt;"",$T12&lt;&gt;"",$R12=$T12,$AD12)</formula>
    </cfRule>
    <cfRule type="expression" dxfId="13" priority="3">
      <formula>NOT($AD12)</formula>
    </cfRule>
  </conditionalFormatting>
  <conditionalFormatting sqref="L12:Q13 L15:Q16">
    <cfRule type="expression" dxfId="12" priority="2">
      <formula>OR(AND($L12&lt;&gt;"",$L12=$N12),AND($O12&lt;&gt;"",$O12=$Q12))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1BA-CE77-4D98-AEB7-50787017C89A}">
  <dimension ref="A1:AJ78"/>
  <sheetViews>
    <sheetView showGridLines="0" showRowColHeaders="0" zoomScaleNormal="100" workbookViewId="0">
      <selection activeCell="K12" sqref="K12"/>
    </sheetView>
  </sheetViews>
  <sheetFormatPr baseColWidth="10" defaultColWidth="0" defaultRowHeight="0" customHeight="1" zeroHeight="1" x14ac:dyDescent="0.2"/>
  <cols>
    <col min="1" max="1" width="2.140625" style="47" customWidth="1"/>
    <col min="2" max="2" width="9.28515625" style="47" customWidth="1"/>
    <col min="3" max="3" width="10.42578125" style="47" customWidth="1"/>
    <col min="4" max="4" width="6.42578125" style="47" customWidth="1"/>
    <col min="5" max="5" width="4.7109375" style="47" customWidth="1"/>
    <col min="6" max="6" width="2" style="47" customWidth="1"/>
    <col min="7" max="7" width="4.7109375" style="47" customWidth="1"/>
    <col min="8" max="8" width="24.7109375" style="47" customWidth="1"/>
    <col min="9" max="9" width="2.85546875" style="47" customWidth="1"/>
    <col min="10" max="10" width="24.7109375" style="47" customWidth="1"/>
    <col min="11" max="11" width="4.7109375" style="47" customWidth="1"/>
    <col min="12" max="12" width="2.42578125" style="47" customWidth="1"/>
    <col min="13" max="14" width="4.7109375" style="47" customWidth="1"/>
    <col min="15" max="15" width="2.28515625" style="47" customWidth="1"/>
    <col min="16" max="16" width="4.7109375" style="47" customWidth="1"/>
    <col min="17" max="17" width="15.7109375" style="47" customWidth="1"/>
    <col min="18" max="18" width="8.140625" style="47" customWidth="1"/>
    <col min="19" max="19" width="4.140625" style="47" customWidth="1"/>
    <col min="20" max="20" width="4.28515625" style="47" customWidth="1"/>
    <col min="21" max="21" width="30.7109375" style="47" customWidth="1"/>
    <col min="22" max="25" width="5.7109375" style="47" customWidth="1"/>
    <col min="26" max="26" width="6.7109375" style="47" customWidth="1"/>
    <col min="27" max="27" width="2.140625" style="47" customWidth="1"/>
    <col min="28" max="30" width="6.7109375" style="47" customWidth="1"/>
    <col min="31" max="31" width="3" style="47" customWidth="1"/>
    <col min="32" max="32" width="7" style="47" customWidth="1"/>
    <col min="33" max="33" width="29.28515625" style="47" customWidth="1"/>
    <col min="34" max="34" width="4.85546875" style="47" customWidth="1"/>
    <col min="35" max="35" width="13.7109375" style="47" hidden="1" customWidth="1"/>
    <col min="36" max="36" width="3.5703125" style="47" hidden="1" customWidth="1"/>
    <col min="37" max="16384" width="11.42578125" style="47" hidden="1"/>
  </cols>
  <sheetData>
    <row r="1" spans="2:36" ht="13.5" thickBot="1" x14ac:dyDescent="0.25"/>
    <row r="2" spans="2:36" ht="36" customHeight="1" thickTop="1" x14ac:dyDescent="0.2">
      <c r="F2" s="546"/>
      <c r="G2" s="619"/>
      <c r="H2" s="877" t="str">
        <f>Vorrunde!$G$2</f>
        <v>Internationales U10-Turnier am 13.04.2025</v>
      </c>
      <c r="I2" s="878"/>
      <c r="J2" s="878"/>
      <c r="K2" s="878"/>
      <c r="L2" s="878"/>
      <c r="M2" s="878"/>
      <c r="N2" s="878"/>
      <c r="O2" s="878"/>
      <c r="P2" s="878"/>
      <c r="Q2" s="878"/>
      <c r="R2" s="878"/>
      <c r="S2" s="878"/>
      <c r="T2" s="878"/>
      <c r="U2" s="878"/>
      <c r="V2" s="878"/>
      <c r="W2" s="878"/>
      <c r="X2" s="878"/>
      <c r="Y2" s="878"/>
      <c r="Z2" s="878"/>
      <c r="AA2" s="878"/>
      <c r="AB2" s="879"/>
      <c r="AC2" s="546"/>
      <c r="AD2" s="546"/>
      <c r="AE2" s="546"/>
      <c r="AF2" s="546"/>
      <c r="AG2" s="546"/>
      <c r="AH2" s="707"/>
      <c r="AI2" s="546"/>
      <c r="AJ2" s="546"/>
    </row>
    <row r="3" spans="2:36" ht="30" customHeight="1" x14ac:dyDescent="0.2">
      <c r="F3" s="547"/>
      <c r="G3" s="620"/>
      <c r="H3" s="880" t="str">
        <f>Vorrunde!$G$3</f>
        <v>Veranstalter:  1. FC Riedwald</v>
      </c>
      <c r="I3" s="881"/>
      <c r="J3" s="881"/>
      <c r="K3" s="881"/>
      <c r="L3" s="881"/>
      <c r="M3" s="881"/>
      <c r="N3" s="881"/>
      <c r="O3" s="881"/>
      <c r="P3" s="881"/>
      <c r="Q3" s="881"/>
      <c r="R3" s="881"/>
      <c r="S3" s="881"/>
      <c r="T3" s="881"/>
      <c r="U3" s="881"/>
      <c r="V3" s="881"/>
      <c r="W3" s="881"/>
      <c r="X3" s="881"/>
      <c r="Y3" s="881"/>
      <c r="Z3" s="881"/>
      <c r="AA3" s="881"/>
      <c r="AB3" s="882"/>
      <c r="AC3" s="547"/>
      <c r="AD3" s="547"/>
      <c r="AE3" s="547"/>
      <c r="AF3" s="547"/>
      <c r="AG3" s="547"/>
      <c r="AH3" s="708"/>
      <c r="AI3" s="547"/>
      <c r="AJ3" s="547"/>
    </row>
    <row r="4" spans="2:36" ht="30" customHeight="1" x14ac:dyDescent="0.2">
      <c r="F4" s="548"/>
      <c r="G4" s="621"/>
      <c r="H4" s="883" t="str">
        <f>Vorrunde!$G$4</f>
        <v>Sporthalle Wiesengrund, Wendiger Str. 51, 65432 Riedwald</v>
      </c>
      <c r="I4" s="884"/>
      <c r="J4" s="884"/>
      <c r="K4" s="884"/>
      <c r="L4" s="884"/>
      <c r="M4" s="884"/>
      <c r="N4" s="884"/>
      <c r="O4" s="884"/>
      <c r="P4" s="884"/>
      <c r="Q4" s="884"/>
      <c r="R4" s="884"/>
      <c r="S4" s="884"/>
      <c r="T4" s="884"/>
      <c r="U4" s="884"/>
      <c r="V4" s="884"/>
      <c r="W4" s="884"/>
      <c r="X4" s="884"/>
      <c r="Y4" s="884"/>
      <c r="Z4" s="884"/>
      <c r="AA4" s="884"/>
      <c r="AB4" s="885"/>
      <c r="AC4" s="548"/>
      <c r="AD4" s="548"/>
      <c r="AE4" s="548"/>
      <c r="AF4" s="548"/>
      <c r="AG4" s="548"/>
      <c r="AH4" s="709"/>
      <c r="AI4" s="548"/>
      <c r="AJ4" s="548"/>
    </row>
    <row r="5" spans="2:36" ht="30" customHeight="1" thickBot="1" x14ac:dyDescent="0.25">
      <c r="F5" s="548"/>
      <c r="G5" s="621"/>
      <c r="H5" s="886" t="str">
        <f>Vorrunde!$G$5</f>
        <v>Beginn:  9:00 Uhr</v>
      </c>
      <c r="I5" s="887"/>
      <c r="J5" s="887"/>
      <c r="K5" s="887"/>
      <c r="L5" s="887"/>
      <c r="M5" s="887"/>
      <c r="N5" s="887"/>
      <c r="O5" s="887"/>
      <c r="P5" s="887"/>
      <c r="Q5" s="887"/>
      <c r="R5" s="887"/>
      <c r="S5" s="887"/>
      <c r="T5" s="887"/>
      <c r="U5" s="887"/>
      <c r="V5" s="887"/>
      <c r="W5" s="887"/>
      <c r="X5" s="887"/>
      <c r="Y5" s="887"/>
      <c r="Z5" s="887"/>
      <c r="AA5" s="887"/>
      <c r="AB5" s="888"/>
      <c r="AC5" s="548"/>
      <c r="AD5" s="548"/>
      <c r="AE5" s="548"/>
      <c r="AF5" s="548"/>
      <c r="AG5" s="548"/>
      <c r="AH5" s="709"/>
      <c r="AI5" s="548"/>
      <c r="AJ5" s="548"/>
    </row>
    <row r="6" spans="2:36" ht="18" customHeight="1" thickTop="1" thickBot="1" x14ac:dyDescent="0.25">
      <c r="AH6" s="415"/>
    </row>
    <row r="7" spans="2:36" ht="30" customHeight="1" thickTop="1" x14ac:dyDescent="0.2">
      <c r="K7" s="947" t="str">
        <f>Sprache!$E$19</f>
        <v>Endrunde</v>
      </c>
      <c r="L7" s="948"/>
      <c r="M7" s="948"/>
      <c r="N7" s="948"/>
      <c r="O7" s="948"/>
      <c r="P7" s="948"/>
      <c r="Q7" s="948"/>
      <c r="R7" s="948"/>
      <c r="S7" s="948"/>
      <c r="T7" s="948"/>
      <c r="U7" s="959"/>
      <c r="V7" s="549"/>
      <c r="W7" s="549"/>
      <c r="X7" s="549"/>
      <c r="AE7" s="549"/>
      <c r="AF7" s="688"/>
      <c r="AG7" s="688"/>
      <c r="AH7" s="710"/>
      <c r="AI7" s="688"/>
    </row>
    <row r="8" spans="2:36" ht="30" customHeight="1" thickBot="1" x14ac:dyDescent="0.25">
      <c r="K8" s="950"/>
      <c r="L8" s="951"/>
      <c r="M8" s="951"/>
      <c r="N8" s="951"/>
      <c r="O8" s="951"/>
      <c r="P8" s="951"/>
      <c r="Q8" s="951"/>
      <c r="R8" s="951"/>
      <c r="S8" s="951"/>
      <c r="T8" s="951"/>
      <c r="U8" s="960"/>
      <c r="V8" s="549"/>
      <c r="W8" s="549"/>
      <c r="X8" s="549"/>
      <c r="AE8" s="549"/>
      <c r="AF8" s="688"/>
      <c r="AG8" s="688"/>
      <c r="AH8" s="710"/>
      <c r="AI8" s="688"/>
    </row>
    <row r="9" spans="2:36" ht="15.95" customHeight="1" thickTop="1" x14ac:dyDescent="0.2">
      <c r="AH9" s="415"/>
    </row>
    <row r="10" spans="2:36" ht="24" customHeight="1" thickBot="1" x14ac:dyDescent="0.45">
      <c r="B10" s="816" t="str">
        <f>Sprache!$E$69</f>
        <v>Halbfinalspiele</v>
      </c>
      <c r="C10" s="816"/>
      <c r="D10" s="324"/>
      <c r="E10" s="324"/>
      <c r="F10" s="324"/>
      <c r="G10" s="324"/>
      <c r="H10" s="324"/>
      <c r="I10" s="324"/>
      <c r="J10" s="324"/>
      <c r="K10" s="418"/>
      <c r="L10" s="418"/>
      <c r="M10" s="418"/>
      <c r="N10" s="418"/>
      <c r="O10" s="418"/>
      <c r="P10" s="418"/>
      <c r="Q10" s="418"/>
      <c r="R10" s="929" t="str">
        <f>Sprache!$E$20</f>
        <v>Zusätzl. Pause (min)</v>
      </c>
      <c r="T10" s="958" t="str">
        <f>Sprache!$E$64</f>
        <v>Gruppensechste</v>
      </c>
      <c r="U10" s="958"/>
      <c r="V10" s="958"/>
      <c r="W10" s="958"/>
      <c r="X10" s="958"/>
      <c r="Y10" s="958"/>
      <c r="Z10" s="198"/>
      <c r="AA10" s="198"/>
      <c r="AB10" s="198"/>
      <c r="AC10" s="198"/>
      <c r="AD10" s="198"/>
      <c r="AF10" s="843" t="str">
        <f>Sprache!$E$64</f>
        <v>Gruppensechste</v>
      </c>
      <c r="AG10" s="843"/>
      <c r="AH10" s="691"/>
      <c r="AI10" s="696" t="str">
        <f>Sprache!$E$49</f>
        <v>Tie-Break</v>
      </c>
      <c r="AJ10" s="290"/>
    </row>
    <row r="11" spans="2:36" ht="24" customHeight="1" thickTop="1" thickBot="1" x14ac:dyDescent="0.45">
      <c r="B11" s="419" t="str">
        <f>Sprache!$E$33</f>
        <v>Spiel-Nr.</v>
      </c>
      <c r="C11" s="594" t="str">
        <f>Sprache!$E$39</f>
        <v>Beginn:</v>
      </c>
      <c r="D11" s="594" t="str">
        <f>Sprache!$E$48</f>
        <v>Feld</v>
      </c>
      <c r="E11" s="894"/>
      <c r="F11" s="895"/>
      <c r="G11" s="896"/>
      <c r="H11" s="894" t="str">
        <f>Sprache!$E$14</f>
        <v>Spielpaarung</v>
      </c>
      <c r="I11" s="895"/>
      <c r="J11" s="896"/>
      <c r="K11" s="961" t="str">
        <f>Sprache!$E$72</f>
        <v>1. Satz</v>
      </c>
      <c r="L11" s="961"/>
      <c r="M11" s="961"/>
      <c r="N11" s="961" t="str">
        <f>Sprache!$E$73</f>
        <v>2. Satz</v>
      </c>
      <c r="O11" s="961"/>
      <c r="P11" s="962"/>
      <c r="Q11" s="753" t="str">
        <f>Sprache!$E$78</f>
        <v>Schiedsrichter</v>
      </c>
      <c r="R11" s="930"/>
      <c r="T11" s="956"/>
      <c r="U11" s="957"/>
      <c r="V11" s="593" t="str">
        <f>Sprache!$E$21</f>
        <v>SP</v>
      </c>
      <c r="W11" s="201" t="str">
        <f>Sprache!$E$22</f>
        <v>G</v>
      </c>
      <c r="X11" s="201" t="str">
        <f>Sprache!$E$23</f>
        <v>U</v>
      </c>
      <c r="Y11" s="592" t="str">
        <f>Sprache!$E$24</f>
        <v>V</v>
      </c>
      <c r="Z11" s="849" t="str">
        <f>Sprache!$E$74</f>
        <v>Bälle</v>
      </c>
      <c r="AA11" s="850"/>
      <c r="AB11" s="851"/>
      <c r="AC11" s="201" t="str">
        <f>IF(Einstellungen!$G$7,Sprache!$E$26,Sprache!$E$80)</f>
        <v>Diff.</v>
      </c>
      <c r="AD11" s="203" t="str">
        <f>Sprache!$E$27</f>
        <v>Pkt</v>
      </c>
      <c r="AF11" s="443"/>
      <c r="AG11" s="472" t="str">
        <f>Sprache!$E$10</f>
        <v>Teilnehmer bzw. Mannschaft</v>
      </c>
      <c r="AH11" s="711"/>
      <c r="AI11" s="715"/>
      <c r="AJ11" s="471"/>
    </row>
    <row r="12" spans="2:36" ht="24" customHeight="1" x14ac:dyDescent="0.2">
      <c r="B12" s="527">
        <f t="array" aca="1" ref="B12" ca="1">61-SUM(((Planung!$L$6:$L$65="")+(Planung!$N$6:$N$65="")&gt;0)*1)</f>
        <v>41</v>
      </c>
      <c r="C12" s="183">
        <f ca="1">IF(Planung!$V$15,"",Planung!$S$13+(Planung!$S$9+Planung!$Q$65)/1440)</f>
        <v>0.61805555555555558</v>
      </c>
      <c r="D12" s="174" t="str">
        <f>IF(Planung!$V$15,"","1")</f>
        <v>1</v>
      </c>
      <c r="E12" s="421" t="s">
        <v>287</v>
      </c>
      <c r="F12" s="422" t="s">
        <v>4</v>
      </c>
      <c r="G12" s="423" t="s">
        <v>288</v>
      </c>
      <c r="H12" s="444" t="str">
        <f t="shared" ref="H12:H47" ca="1" si="0">IF($E12="","",IF(VLOOKUP($E12,$AF$12:$AG$72,2,0)="","",VLOOKUP($E12,$AF$12:$AG$72,2,0)))</f>
        <v/>
      </c>
      <c r="I12" s="445" t="s">
        <v>4</v>
      </c>
      <c r="J12" s="515" t="str">
        <f t="shared" ref="J12:J47" ca="1" si="1">IF($G12="","",IF(VLOOKUP($G12,$AF$12:$AG$72,2,0)="","",VLOOKUP($G12,$AF$12:$AG$72,2,0)))</f>
        <v/>
      </c>
      <c r="K12" s="430"/>
      <c r="L12" s="379" t="str">
        <f>Sprache!$E$90</f>
        <v>:</v>
      </c>
      <c r="M12" s="512"/>
      <c r="N12" s="239"/>
      <c r="O12" s="729" t="str">
        <f>Sprache!$E$90</f>
        <v>:</v>
      </c>
      <c r="P12" s="705"/>
      <c r="Q12" s="754"/>
      <c r="R12" s="775"/>
      <c r="T12" s="616" t="str">
        <f ca="1">IF(CalcE6!$K$13=0,"",1)</f>
        <v/>
      </c>
      <c r="U12" s="384" t="str">
        <f ca="1">IF(Calc1!$F$14&lt;3,"",IF(AND(CalcE6!$K$13=0,AG16&lt;&gt;1),CalcE6!$C$62,VLOOKUP(CalcE6!$B$4,CalcE6!$C$4:$N$12,4,0)))</f>
        <v/>
      </c>
      <c r="V12" s="607" t="str">
        <f ca="1">IF(CalcE6!$K$13=0,"",VLOOKUP(CalcE6!$B$4,CalcE6!$C$4:$N$12,9,0))</f>
        <v/>
      </c>
      <c r="W12" s="207" t="str">
        <f ca="1">IF(CalcE6!$K$13=0,"",VLOOKUP(CalcE6!$B$4,CalcE6!$C$4:$N$12,10,0))</f>
        <v/>
      </c>
      <c r="X12" s="207" t="str">
        <f ca="1">IF(CalcE6!$K$13=0,"",VLOOKUP(CalcE6!$B$4,CalcE6!$C$4:$N$12,11,0))</f>
        <v/>
      </c>
      <c r="Y12" s="207" t="str">
        <f ca="1">IF(CalcE6!$K$13=0,"",VLOOKUP(CalcE6!$B$4,CalcE6!$C$4:$N$12,12,0))</f>
        <v/>
      </c>
      <c r="Z12" s="610" t="str">
        <f ca="1">IF(CalcE6!$K$13=0,"",VLOOKUP(CalcE6!$B$4,CalcE6!$C$4:$N$12,5,0))</f>
        <v/>
      </c>
      <c r="AA12" s="611" t="str">
        <f>Sprache!$E$90</f>
        <v>:</v>
      </c>
      <c r="AB12" s="608" t="str">
        <f ca="1">IF(CalcE6!$K$13=0,"",VLOOKUP(CalcE6!$B$4,CalcE6!$C$4:$N$12,6,0))</f>
        <v/>
      </c>
      <c r="AC12" s="207" t="str">
        <f ca="1">IF(CalcE6!$K$13=0,"",IF(VLOOKUP(CalcE6!B4,CalcE6!$C$4:$AR$12,42,0)=Einstellungen!$F$7,"max",VLOOKUP(CalcE6!B4,CalcE6!$C$4:$AR$12,42,0)))</f>
        <v/>
      </c>
      <c r="AD12" s="212" t="str">
        <f ca="1">IF(CalcE6!$K$13=0,"",VLOOKUP(CalcE6!$B$4,CalcE6!$C$4:$N$12,8,0))</f>
        <v/>
      </c>
      <c r="AF12" s="591" t="s">
        <v>287</v>
      </c>
      <c r="AG12" s="473" t="str">
        <f ca="1">IF(Vorrunde!$R$17="","",Vorrunde!$R$17)</f>
        <v/>
      </c>
      <c r="AH12" s="716"/>
      <c r="AI12" s="717">
        <f ca="1">IF($AG12="",0,COUNTIF(TieBreak!$U$25:$U$30,$AG12))</f>
        <v>0</v>
      </c>
      <c r="AJ12" s="417"/>
    </row>
    <row r="13" spans="2:36" ht="24" customHeight="1" x14ac:dyDescent="0.2">
      <c r="B13" s="528">
        <f t="array" aca="1" ref="B13" ca="1">ROW(62:62)-SUM(((Planung!$L$6:$L$65="")+(Planung!$N$6:$N$65="")&gt;0)*1)-SUM((($H$12:$H12="")+($J$12:$J12="")&gt;0)*1)</f>
        <v>41</v>
      </c>
      <c r="C13" s="173">
        <f t="array" aca="1" ref="C13" ca="1">IF(Planung!$V$15,"",$C$12+QUOTIENT(($B13-$B$12),Planung!$V$11)*(Planung!$S$7+Planung!$S$9)/1440+SUM($R$12:$R12)/1440)</f>
        <v>0.61805555555555558</v>
      </c>
      <c r="D13" s="175">
        <f ca="1">IF(Planung!$V$15,"",MOD($B13-$B$12,Planung!$V$11)+1)</f>
        <v>1</v>
      </c>
      <c r="E13" s="421" t="s">
        <v>284</v>
      </c>
      <c r="F13" s="422" t="s">
        <v>4</v>
      </c>
      <c r="G13" s="423" t="s">
        <v>285</v>
      </c>
      <c r="H13" s="516" t="str">
        <f t="shared" ca="1" si="0"/>
        <v>FC Barcelona</v>
      </c>
      <c r="I13" s="517" t="s">
        <v>4</v>
      </c>
      <c r="J13" s="518" t="str">
        <f t="shared" ca="1" si="1"/>
        <v>Manchester City</v>
      </c>
      <c r="K13" s="431">
        <v>21</v>
      </c>
      <c r="L13" s="432" t="str">
        <f>Sprache!$E$90</f>
        <v>:</v>
      </c>
      <c r="M13" s="513">
        <v>25</v>
      </c>
      <c r="N13" s="239">
        <v>20</v>
      </c>
      <c r="O13" s="730" t="str">
        <f>Sprache!$E$90</f>
        <v>:</v>
      </c>
      <c r="P13" s="706">
        <v>25</v>
      </c>
      <c r="Q13" s="349"/>
      <c r="R13" s="776"/>
      <c r="T13" s="617" t="str">
        <f ca="1">IF(CalcE6!$K$13=0,"",IF(VLOOKUP(CalcE6!$B$5,CalcE6!$C$4:$E$12,3,0)=MAX($T12:$T12),VLOOKUP(CalcE6!$B$5,CalcE6!$C$4:$E$12,3,0),CalcE6!$B$5))</f>
        <v/>
      </c>
      <c r="U13" s="386" t="str">
        <f ca="1">IF(OR(Calc1!$F$14&lt;3,AG16=1),"",IF(CalcE6!$K$13=0,CalcE6!$C63,VLOOKUP(CalcE6!$B5,CalcE6!$C$4:$N$12,4,0)))</f>
        <v/>
      </c>
      <c r="V13" s="222" t="str">
        <f ca="1">IF(CalcE6!$K$13=0,"",VLOOKUP(CalcE6!$B$5,CalcE6!$C$4:$N$12,9,0))</f>
        <v/>
      </c>
      <c r="W13" s="197" t="str">
        <f ca="1">IF(CalcE6!$K$13=0,"",VLOOKUP(CalcE6!$B$5,CalcE6!$C$4:$N$12,10,0))</f>
        <v/>
      </c>
      <c r="X13" s="197" t="str">
        <f ca="1">IF(CalcE6!$K$13=0,"",VLOOKUP(CalcE6!$B$5,CalcE6!$C$4:$N$12,11,0))</f>
        <v/>
      </c>
      <c r="Y13" s="197" t="str">
        <f ca="1">IF(CalcE6!$K$13=0,"",VLOOKUP(CalcE6!$B$5,CalcE6!$C$4:$N$12,12,0))</f>
        <v/>
      </c>
      <c r="Z13" s="612" t="str">
        <f ca="1">IF(CalcE6!$K$13=0,"",VLOOKUP(CalcE6!$B$5,CalcE6!$C$4:$N$12,5,0))</f>
        <v/>
      </c>
      <c r="AA13" s="613" t="str">
        <f>Sprache!$E$90</f>
        <v>:</v>
      </c>
      <c r="AB13" s="439" t="str">
        <f ca="1">IF(CalcE6!$K$13=0,"",VLOOKUP(CalcE6!$B$5,CalcE6!$C$4:$N$12,6,0))</f>
        <v/>
      </c>
      <c r="AC13" s="197" t="str">
        <f ca="1">IF(CalcE6!$K$13=0,"",IF(VLOOKUP(CalcE6!B5,CalcE6!$C$4:$AR$12,42,0)=Einstellungen!$F$7,"max",VLOOKUP(CalcE6!B5,CalcE6!$C$4:$AR$12,42,0)))</f>
        <v/>
      </c>
      <c r="AD13" s="221" t="str">
        <f ca="1">IF(CalcE6!$K$13=0,"",VLOOKUP(CalcE6!$B$5,CalcE6!$C$4:$N$12,8,0))</f>
        <v/>
      </c>
      <c r="AF13" s="442" t="s">
        <v>288</v>
      </c>
      <c r="AG13" s="474" t="str">
        <f ca="1">IF(Vorrunde!$R$27="","",Vorrunde!$R$27)</f>
        <v/>
      </c>
      <c r="AH13" s="716"/>
      <c r="AI13" s="718">
        <f ca="1">IF($AG13="",0,COUNTIF(TieBreak!$U$25:$U$30,$AG13))</f>
        <v>0</v>
      </c>
      <c r="AJ13" s="506"/>
    </row>
    <row r="14" spans="2:36" ht="24" customHeight="1" x14ac:dyDescent="0.2">
      <c r="B14" s="528">
        <f t="array" aca="1" ref="B14" ca="1">ROW(63:63)-SUM(((Planung!$L$6:$L$65="")+(Planung!$N$6:$N$65="")&gt;0)*1)-SUM((($H$12:$H13="")+($J$12:$J13="")&gt;0)*1)</f>
        <v>42</v>
      </c>
      <c r="C14" s="173">
        <f t="array" aca="1" ref="C14" ca="1">IF(Planung!$V$15,"",$C$12+QUOTIENT(($B14-$B$12),Planung!$V$11)*(Planung!$S$7+Planung!$S$9)/1440+SUM($R$12:$R13)/1440)</f>
        <v>0.61805555555555558</v>
      </c>
      <c r="D14" s="175">
        <f ca="1">IF(Planung!$V$15,"",MOD($B14-$B$12,Planung!$V$11)+1)</f>
        <v>2</v>
      </c>
      <c r="E14" s="421" t="s">
        <v>281</v>
      </c>
      <c r="F14" s="422" t="s">
        <v>4</v>
      </c>
      <c r="G14" s="423" t="s">
        <v>282</v>
      </c>
      <c r="H14" s="516" t="str">
        <f t="shared" ca="1" si="0"/>
        <v>Maibach 1822 eV</v>
      </c>
      <c r="I14" s="517"/>
      <c r="J14" s="518" t="str">
        <f t="shared" ca="1" si="1"/>
        <v>Inter Mailand</v>
      </c>
      <c r="K14" s="431">
        <v>25</v>
      </c>
      <c r="L14" s="432" t="str">
        <f>Sprache!$E$90</f>
        <v>:</v>
      </c>
      <c r="M14" s="513">
        <v>21</v>
      </c>
      <c r="N14" s="239">
        <v>25</v>
      </c>
      <c r="O14" s="730" t="str">
        <f>Sprache!$E$90</f>
        <v>:</v>
      </c>
      <c r="P14" s="706">
        <v>23</v>
      </c>
      <c r="Q14" s="349"/>
      <c r="R14" s="776"/>
      <c r="T14" s="617" t="str">
        <f ca="1">IF(CalcE6!$K$13=0,"",IF(VLOOKUP(CalcE6!$B$6,CalcE6!$C$4:$E$12,3,0)=MAX($T12:$T13),VLOOKUP(CalcE6!$B$6,CalcE6!$C$4:$E$12,3,0),CalcE6!$B$6))</f>
        <v/>
      </c>
      <c r="U14" s="386" t="str">
        <f ca="1">IF(OR(Calc1!$F$14&lt;3,AG17=1),"",IF(CalcE6!$K$13=0,CalcE6!$C64,VLOOKUP(CalcE6!$B6,CalcE6!$C$4:$N$12,4,0)))</f>
        <v/>
      </c>
      <c r="V14" s="222" t="str">
        <f ca="1">IF(CalcE6!$K$13=0,"",VLOOKUP(CalcE6!$B$6,CalcE6!$C$4:$N$12,9,0))</f>
        <v/>
      </c>
      <c r="W14" s="197" t="str">
        <f ca="1">IF(CalcE6!$K$13=0,"",VLOOKUP(CalcE6!$B$6,CalcE6!$C$4:$N$12,10,0))</f>
        <v/>
      </c>
      <c r="X14" s="197" t="str">
        <f ca="1">IF(CalcE6!$K$13=0,"",VLOOKUP(CalcE6!$B$6,CalcE6!$C$4:$N$12,11,0))</f>
        <v/>
      </c>
      <c r="Y14" s="197" t="str">
        <f ca="1">IF(CalcE6!$K$13=0,"",VLOOKUP(CalcE6!$B$6,CalcE6!$C$4:$N$12,12,0))</f>
        <v/>
      </c>
      <c r="Z14" s="612" t="str">
        <f ca="1">IF(CalcE6!$K$13=0,"",VLOOKUP(CalcE6!$B$6,CalcE6!$C$4:$N$12,5,0))</f>
        <v/>
      </c>
      <c r="AA14" s="613" t="str">
        <f>Sprache!$E$90</f>
        <v>:</v>
      </c>
      <c r="AB14" s="439" t="str">
        <f ca="1">IF(CalcE6!$K$13=0,"",VLOOKUP(CalcE6!$B$6,CalcE6!$C$4:$N$12,6,0))</f>
        <v/>
      </c>
      <c r="AC14" s="197" t="str">
        <f ca="1">IF(CalcE6!$K$13=0,"",IF(VLOOKUP(CalcE6!B6,CalcE6!$C$4:$AR$12,42,0)=Einstellungen!$F$7,"max",VLOOKUP(CalcE6!B6,CalcE6!$C$4:$AR$12,42,0)))</f>
        <v/>
      </c>
      <c r="AD14" s="221" t="str">
        <f ca="1">IF(CalcE6!$K$13=0,"",VLOOKUP(CalcE6!$B$6,CalcE6!$C$4:$N$12,8,0))</f>
        <v/>
      </c>
      <c r="AF14" s="590" t="s">
        <v>289</v>
      </c>
      <c r="AG14" s="474" t="str">
        <f ca="1">IF(Vorrunde!$R$37="","",Vorrunde!$R$37)</f>
        <v/>
      </c>
      <c r="AH14" s="716"/>
      <c r="AI14" s="718">
        <f ca="1">IF($AG14="",0,COUNTIF(TieBreak!$U$25:$U$30,$AG14))</f>
        <v>0</v>
      </c>
      <c r="AJ14" s="506"/>
    </row>
    <row r="15" spans="2:36" ht="24" customHeight="1" thickBot="1" x14ac:dyDescent="0.25">
      <c r="B15" s="528">
        <f t="array" aca="1" ref="B15" ca="1">ROW(64:64)-SUM(((Planung!$L$6:$L$65="")+(Planung!$N$6:$N$65="")&gt;0)*1)-SUM((($H$12:$H14="")+($J$12:$J14="")&gt;0)*1)</f>
        <v>43</v>
      </c>
      <c r="C15" s="173">
        <f t="array" aca="1" ref="C15" ca="1">IF(Planung!$V$15,"",$C$12+QUOTIENT(($B15-$B$12),Planung!$V$11)*(Planung!$S$7+Planung!$S$9)/1440+SUM($R$12:$R14)/1440)</f>
        <v>0.61805555555555558</v>
      </c>
      <c r="D15" s="175">
        <f ca="1">IF(Planung!$V$15,"",MOD($B15-$B$12,Planung!$V$11)+1)</f>
        <v>3</v>
      </c>
      <c r="E15" s="421" t="s">
        <v>278</v>
      </c>
      <c r="F15" s="422" t="s">
        <v>4</v>
      </c>
      <c r="G15" s="423" t="s">
        <v>279</v>
      </c>
      <c r="H15" s="516" t="str">
        <f t="shared" ca="1" si="0"/>
        <v>Eintracht Frankfurt</v>
      </c>
      <c r="I15" s="517" t="s">
        <v>4</v>
      </c>
      <c r="J15" s="518" t="str">
        <f t="shared" ca="1" si="1"/>
        <v>FC Grönlingen</v>
      </c>
      <c r="K15" s="431">
        <v>25</v>
      </c>
      <c r="L15" s="432" t="str">
        <f>Sprache!$E$90</f>
        <v>:</v>
      </c>
      <c r="M15" s="513">
        <v>22</v>
      </c>
      <c r="N15" s="239">
        <v>25</v>
      </c>
      <c r="O15" s="730" t="str">
        <f>Sprache!$E$90</f>
        <v>:</v>
      </c>
      <c r="P15" s="706">
        <v>17</v>
      </c>
      <c r="Q15" s="349"/>
      <c r="R15" s="776"/>
      <c r="T15" s="618" t="str">
        <f ca="1">IF(CalcE6!$K$13=0,"",IF(VLOOKUP(CalcE6!$B$7,CalcE6!$C$4:$E$12,3,0)=MAX($T12:$T14),VLOOKUP(CalcE6!$B$7,CalcE6!$C$4:$E$12,3,0),CalcE6!$B$7))</f>
        <v/>
      </c>
      <c r="U15" s="388" t="str">
        <f ca="1">IF(OR(Calc1!$F$14&lt;3,AG18=1),"",IF(CalcE6!$K$13=0,CalcE6!$C65,VLOOKUP(CalcE6!$B7,CalcE6!$C$4:$N$12,4,0)))</f>
        <v/>
      </c>
      <c r="V15" s="233" t="str">
        <f ca="1">IF(CalcE6!$K$13=0,"",VLOOKUP(CalcE6!$B$7,CalcE6!$C$4:$N$12,9,0))</f>
        <v/>
      </c>
      <c r="W15" s="227" t="str">
        <f ca="1">IF(CalcE6!$K$13=0,"",VLOOKUP(CalcE6!$B$7,CalcE6!$C$4:$N$12,10,0))</f>
        <v/>
      </c>
      <c r="X15" s="227" t="str">
        <f ca="1">IF(CalcE6!$K$13=0,"",VLOOKUP(CalcE6!$B$7,CalcE6!$C$4:$N$12,11,0))</f>
        <v/>
      </c>
      <c r="Y15" s="227" t="str">
        <f ca="1">IF(CalcE6!$K$13=0,"",VLOOKUP(CalcE6!$B$7,CalcE6!$C$4:$N$12,12,0))</f>
        <v/>
      </c>
      <c r="Z15" s="614" t="str">
        <f ca="1">IF(CalcE6!$K$13=0,"",VLOOKUP(CalcE6!$B$7,CalcE6!$C$4:$N$12,5,0))</f>
        <v/>
      </c>
      <c r="AA15" s="615" t="str">
        <f>Sprache!$E$90</f>
        <v>:</v>
      </c>
      <c r="AB15" s="441" t="str">
        <f ca="1">IF(CalcE6!$K$13=0,"",VLOOKUP(CalcE6!$B$7,CalcE6!$C$4:$N$12,6,0))</f>
        <v/>
      </c>
      <c r="AC15" s="227" t="str">
        <f ca="1">IF(CalcE6!$K$13=0,"",IF(VLOOKUP(CalcE6!B7,CalcE6!$C$4:$AR$12,42,0)=Einstellungen!$F$7,"max",VLOOKUP(CalcE6!B7,CalcE6!$C$4:$AR$12,42,0)))</f>
        <v/>
      </c>
      <c r="AD15" s="232" t="str">
        <f ca="1">IF(CalcE6!$K$13=0,"",VLOOKUP(CalcE6!$B$7,CalcE6!$C$4:$N$12,8,0))</f>
        <v/>
      </c>
      <c r="AF15" s="414" t="s">
        <v>333</v>
      </c>
      <c r="AG15" s="475" t="str">
        <f ca="1">IF(Vorrunde!$R$47="","",Vorrunde!$R$47)</f>
        <v/>
      </c>
      <c r="AH15" s="716"/>
      <c r="AI15" s="719">
        <f ca="1">IF($AG15="",0,COUNTIF(TieBreak!$U$25:$U$30,$AG15))</f>
        <v>0</v>
      </c>
      <c r="AJ15" s="506"/>
    </row>
    <row r="16" spans="2:36" ht="24" customHeight="1" thickTop="1" x14ac:dyDescent="0.2">
      <c r="B16" s="528">
        <f t="array" aca="1" ref="B16" ca="1">ROW(65:65)-SUM(((Planung!$L$6:$L$65="")+(Planung!$N$6:$N$65="")&gt;0)*1)-SUM((($H$12:$H15="")+($J$12:$J15="")&gt;0)*1)</f>
        <v>44</v>
      </c>
      <c r="C16" s="173">
        <f t="array" aca="1" ref="C16" ca="1">IF(Planung!$V$15,"",$C$12+QUOTIENT(($B16-$B$12),Planung!$V$11)*(Planung!$S$7+Planung!$S$9)/1440+SUM($R$12:$R15)/1440)</f>
        <v>0.61805555555555558</v>
      </c>
      <c r="D16" s="175">
        <f ca="1">IF(Planung!$V$15,"",MOD($B16-$B$12,Planung!$V$11)+1)</f>
        <v>4</v>
      </c>
      <c r="E16" s="424" t="s">
        <v>275</v>
      </c>
      <c r="F16" s="425" t="s">
        <v>4</v>
      </c>
      <c r="G16" s="426" t="s">
        <v>276</v>
      </c>
      <c r="H16" s="516" t="str">
        <f t="shared" ca="1" si="0"/>
        <v>VFB Essenheim</v>
      </c>
      <c r="I16" s="517" t="s">
        <v>4</v>
      </c>
      <c r="J16" s="518" t="str">
        <f t="shared" ca="1" si="1"/>
        <v>SSV Wildbach</v>
      </c>
      <c r="K16" s="431">
        <v>25</v>
      </c>
      <c r="L16" s="432" t="str">
        <f>Sprache!$E$90</f>
        <v>:</v>
      </c>
      <c r="M16" s="513">
        <v>23</v>
      </c>
      <c r="N16" s="239">
        <v>25</v>
      </c>
      <c r="O16" s="730" t="str">
        <f>Sprache!$E$90</f>
        <v>:</v>
      </c>
      <c r="P16" s="706">
        <v>18</v>
      </c>
      <c r="Q16" s="349"/>
      <c r="R16" s="776"/>
      <c r="AF16" s="416"/>
      <c r="AG16" s="627">
        <f t="array" aca="1" ref="AG16" ca="1">SUM((AG12:AG15&lt;&gt;"")*1)</f>
        <v>0</v>
      </c>
      <c r="AH16" s="627"/>
      <c r="AI16" s="715"/>
      <c r="AJ16" s="506"/>
    </row>
    <row r="17" spans="2:36" ht="24" customHeight="1" thickBot="1" x14ac:dyDescent="0.45">
      <c r="B17" s="528">
        <f t="array" aca="1" ref="B17" ca="1">ROW(66:66)-SUM(((Planung!$L$6:$L$65="")+(Planung!$N$6:$N$65="")&gt;0)*1)-SUM((($H$12:$H16="")+($J$12:$J16="")&gt;0)*1)</f>
        <v>45</v>
      </c>
      <c r="C17" s="173">
        <f t="array" aca="1" ref="C17" ca="1">IF(Planung!$V$15,"",$C$12+QUOTIENT(($B17-$B$12),Planung!$V$11)*(Planung!$S$7+Planung!$S$9)/1440+SUM($R$12:$R16)/1440)</f>
        <v>0.64236111111111116</v>
      </c>
      <c r="D17" s="175">
        <f ca="1">IF(Planung!$V$15,"",MOD($B17-$B$12,Planung!$V$11)+1)</f>
        <v>1</v>
      </c>
      <c r="E17" s="424" t="s">
        <v>272</v>
      </c>
      <c r="F17" s="425" t="s">
        <v>4</v>
      </c>
      <c r="G17" s="426" t="s">
        <v>273</v>
      </c>
      <c r="H17" s="516" t="str">
        <f t="shared" ca="1" si="0"/>
        <v>1. FC Riedwald</v>
      </c>
      <c r="I17" s="517" t="s">
        <v>4</v>
      </c>
      <c r="J17" s="518" t="str">
        <f t="shared" ca="1" si="1"/>
        <v>Mainz 05</v>
      </c>
      <c r="K17" s="431">
        <v>25</v>
      </c>
      <c r="L17" s="432" t="str">
        <f>Sprache!$E$90</f>
        <v>:</v>
      </c>
      <c r="M17" s="513">
        <v>17</v>
      </c>
      <c r="N17" s="239">
        <v>25</v>
      </c>
      <c r="O17" s="730" t="str">
        <f>Sprache!$E$90</f>
        <v>:</v>
      </c>
      <c r="P17" s="706">
        <v>19</v>
      </c>
      <c r="Q17" s="349"/>
      <c r="R17" s="776"/>
      <c r="T17" s="958" t="str">
        <f>Sprache!$E$63</f>
        <v>Gruppenfünfte</v>
      </c>
      <c r="U17" s="958"/>
      <c r="V17" s="958"/>
      <c r="W17" s="958"/>
      <c r="X17" s="958"/>
      <c r="Y17" s="958"/>
      <c r="Z17" s="198"/>
      <c r="AA17" s="198"/>
      <c r="AB17" s="198"/>
      <c r="AC17" s="198"/>
      <c r="AD17" s="198"/>
      <c r="AF17" s="843" t="str">
        <f>Sprache!$E$63</f>
        <v>Gruppenfünfte</v>
      </c>
      <c r="AG17" s="843"/>
      <c r="AH17" s="691"/>
      <c r="AI17" s="292"/>
      <c r="AJ17" s="415"/>
    </row>
    <row r="18" spans="2:36" ht="24" customHeight="1" thickTop="1" thickBot="1" x14ac:dyDescent="0.25">
      <c r="B18" s="528">
        <f t="array" aca="1" ref="B18" ca="1">ROW(67:67)-SUM(((Planung!$L$6:$L$65="")+(Planung!$N$6:$N$65="")&gt;0)*1)-SUM((($H$12:$H17="")+($J$12:$J17="")&gt;0)*1)</f>
        <v>46</v>
      </c>
      <c r="C18" s="173">
        <f t="array" aca="1" ref="C18" ca="1">IF(Planung!$V$15,"",$C$12+QUOTIENT(($B18-$B$12),Planung!$V$11)*(Planung!$S$7+Planung!$S$9)/1440+SUM($R$12:$R17)/1440)</f>
        <v>0.64236111111111116</v>
      </c>
      <c r="D18" s="175">
        <f ca="1">IF(Planung!$V$15,"",MOD($B18-$B$12,Planung!$V$11)+1)</f>
        <v>2</v>
      </c>
      <c r="E18" s="424" t="s">
        <v>289</v>
      </c>
      <c r="F18" s="425" t="s">
        <v>4</v>
      </c>
      <c r="G18" s="426" t="s">
        <v>333</v>
      </c>
      <c r="H18" s="516" t="str">
        <f t="shared" ca="1" si="0"/>
        <v/>
      </c>
      <c r="I18" s="517" t="s">
        <v>4</v>
      </c>
      <c r="J18" s="518" t="str">
        <f t="shared" ca="1" si="1"/>
        <v/>
      </c>
      <c r="K18" s="431"/>
      <c r="L18" s="432" t="str">
        <f>Sprache!$E$90</f>
        <v>:</v>
      </c>
      <c r="M18" s="513"/>
      <c r="N18" s="239"/>
      <c r="O18" s="730" t="str">
        <f>Sprache!$E$90</f>
        <v>:</v>
      </c>
      <c r="P18" s="706"/>
      <c r="Q18" s="349"/>
      <c r="R18" s="776"/>
      <c r="T18" s="956"/>
      <c r="U18" s="957"/>
      <c r="V18" s="593" t="str">
        <f>Sprache!$E$21</f>
        <v>SP</v>
      </c>
      <c r="W18" s="201" t="str">
        <f>Sprache!$E$22</f>
        <v>G</v>
      </c>
      <c r="X18" s="201" t="str">
        <f>Sprache!$E$23</f>
        <v>U</v>
      </c>
      <c r="Y18" s="592" t="str">
        <f>Sprache!$E$24</f>
        <v>V</v>
      </c>
      <c r="Z18" s="849" t="str">
        <f>Sprache!$E$74</f>
        <v>Bälle</v>
      </c>
      <c r="AA18" s="850"/>
      <c r="AB18" s="851"/>
      <c r="AC18" s="201" t="str">
        <f>IF(Einstellungen!$G$7,Sprache!$E$26,Sprache!$E$80)</f>
        <v>Diff.</v>
      </c>
      <c r="AD18" s="203" t="str">
        <f>Sprache!$E$27</f>
        <v>Pkt</v>
      </c>
      <c r="AF18" s="443"/>
      <c r="AG18" s="472" t="str">
        <f>Sprache!$E$10</f>
        <v>Teilnehmer bzw. Mannschaft</v>
      </c>
      <c r="AH18" s="711"/>
      <c r="AI18" s="715"/>
      <c r="AJ18" s="415"/>
    </row>
    <row r="19" spans="2:36" ht="24" customHeight="1" x14ac:dyDescent="0.4">
      <c r="B19" s="528">
        <f t="array" aca="1" ref="B19" ca="1">ROW(68:68)-SUM(((Planung!$L$6:$L$65="")+(Planung!$N$6:$N$65="")&gt;0)*1)-SUM((($H$12:$H18="")+($J$12:$J18="")&gt;0)*1)</f>
        <v>46</v>
      </c>
      <c r="C19" s="173">
        <f t="array" aca="1" ref="C19" ca="1">IF(Planung!$V$15,"",$C$12+QUOTIENT(($B19-$B$12),Planung!$V$11)*(Planung!$S$7+Planung!$S$9)/1440+SUM($R$12:$R18)/1440)</f>
        <v>0.64236111111111116</v>
      </c>
      <c r="D19" s="175">
        <f ca="1">IF(Planung!$V$15,"",MOD($B19-$B$12,Planung!$V$11)+1)</f>
        <v>2</v>
      </c>
      <c r="E19" s="424" t="s">
        <v>286</v>
      </c>
      <c r="F19" s="425" t="s">
        <v>4</v>
      </c>
      <c r="G19" s="426" t="s">
        <v>332</v>
      </c>
      <c r="H19" s="516" t="str">
        <f t="shared" ca="1" si="0"/>
        <v>Real Madrid</v>
      </c>
      <c r="I19" s="517" t="s">
        <v>4</v>
      </c>
      <c r="J19" s="518" t="str">
        <f t="shared" ca="1" si="1"/>
        <v>HSV</v>
      </c>
      <c r="K19" s="431">
        <v>25</v>
      </c>
      <c r="L19" s="432" t="str">
        <f>Sprache!$E$90</f>
        <v>:</v>
      </c>
      <c r="M19" s="513">
        <v>19</v>
      </c>
      <c r="N19" s="239">
        <v>25</v>
      </c>
      <c r="O19" s="730" t="str">
        <f>Sprache!$E$90</f>
        <v>:</v>
      </c>
      <c r="P19" s="706">
        <v>21</v>
      </c>
      <c r="Q19" s="349"/>
      <c r="R19" s="776"/>
      <c r="T19" s="616">
        <f ca="1">IF(CalcE5!$K$13=0,"",1)</f>
        <v>1</v>
      </c>
      <c r="U19" s="384" t="str">
        <f ca="1">IF(Calc1!$F$14&lt;3,"",IF(AND(CalcE5!$K$13=0,AG23&lt;&gt;1),CalcE5!$C$62,VLOOKUP(CalcE5!$B$4,CalcE5!$C$4:$N$12,4,0)))</f>
        <v>Real Madrid</v>
      </c>
      <c r="V19" s="607">
        <f ca="1">IF(CalcE5!$K$13=0,"",VLOOKUP(CalcE5!$B$4,CalcE5!$C$4:$N$12,9,0))</f>
        <v>3</v>
      </c>
      <c r="W19" s="207">
        <f ca="1">IF(CalcE5!$K$13=0,"",VLOOKUP(CalcE5!$B$4,CalcE5!$C$4:$N$12,10,0))</f>
        <v>1</v>
      </c>
      <c r="X19" s="207">
        <f ca="1">IF(CalcE5!$K$13=0,"",VLOOKUP(CalcE5!$B$4,CalcE5!$C$4:$N$12,11,0))</f>
        <v>2</v>
      </c>
      <c r="Y19" s="207">
        <f ca="1">IF(CalcE5!$K$13=0,"",VLOOKUP(CalcE5!$B$4,CalcE5!$C$4:$N$12,12,0))</f>
        <v>0</v>
      </c>
      <c r="Z19" s="610">
        <f ca="1">IF(CalcE5!$K$13=0,"",VLOOKUP(CalcE5!$B$4,CalcE5!$C$4:$N$12,5,0))</f>
        <v>137</v>
      </c>
      <c r="AA19" s="611" t="str">
        <f>Sprache!$E$90</f>
        <v>:</v>
      </c>
      <c r="AB19" s="608">
        <f ca="1">IF(CalcE5!$K$13=0,"",VLOOKUP(CalcE5!$B$4,CalcE5!$C$4:$N$12,6,0))</f>
        <v>123</v>
      </c>
      <c r="AC19" s="207">
        <f ca="1">IF(CalcE5!$K$13=0,"",IF(VLOOKUP(CalcE5!B4,CalcE5!$C$4:$AR$12,42,0)=Einstellungen!$F$7,"max",VLOOKUP(CalcE5!B4,CalcE5!$C$4:$AR$12,42,0)))</f>
        <v>14</v>
      </c>
      <c r="AD19" s="212">
        <f ca="1">IF(CalcE5!$K$13=0,"",VLOOKUP(CalcE5!$B$4,CalcE5!$C$4:$N$12,8,0))</f>
        <v>4</v>
      </c>
      <c r="AF19" s="591" t="s">
        <v>284</v>
      </c>
      <c r="AG19" s="473" t="str">
        <f ca="1">IF(Vorrunde!$R$16="","",Vorrunde!$R$16)</f>
        <v>FC Barcelona</v>
      </c>
      <c r="AH19" s="716"/>
      <c r="AI19" s="717">
        <f ca="1">IF($AG19="",0,COUNTIF(TieBreak!$U$25:$U$30,$AG19))</f>
        <v>0</v>
      </c>
      <c r="AJ19" s="471"/>
    </row>
    <row r="20" spans="2:36" ht="24" customHeight="1" x14ac:dyDescent="0.2">
      <c r="B20" s="528">
        <f t="array" aca="1" ref="B20" ca="1">ROW(69:69)-SUM(((Planung!$L$6:$L$65="")+(Planung!$N$6:$N$65="")&gt;0)*1)-SUM((($H$12:$H19="")+($J$12:$J19="")&gt;0)*1)</f>
        <v>47</v>
      </c>
      <c r="C20" s="173">
        <f t="array" aca="1" ref="C20" ca="1">IF(Planung!$V$15,"",$C$12+QUOTIENT(($B20-$B$12),Planung!$V$11)*(Planung!$S$7+Planung!$S$9)/1440+SUM($R$12:$R19)/1440)</f>
        <v>0.64236111111111116</v>
      </c>
      <c r="D20" s="175">
        <f ca="1">IF(Planung!$V$15,"",MOD($B20-$B$12,Planung!$V$11)+1)</f>
        <v>3</v>
      </c>
      <c r="E20" s="424" t="s">
        <v>283</v>
      </c>
      <c r="F20" s="425" t="s">
        <v>4</v>
      </c>
      <c r="G20" s="426" t="s">
        <v>331</v>
      </c>
      <c r="H20" s="516" t="str">
        <f t="shared" ca="1" si="0"/>
        <v>1. FC Nürnberg</v>
      </c>
      <c r="I20" s="517" t="s">
        <v>4</v>
      </c>
      <c r="J20" s="518" t="str">
        <f t="shared" ca="1" si="1"/>
        <v>RB Leipzig</v>
      </c>
      <c r="K20" s="431">
        <v>20</v>
      </c>
      <c r="L20" s="432" t="str">
        <f>Sprache!$E$90</f>
        <v>:</v>
      </c>
      <c r="M20" s="513">
        <v>25</v>
      </c>
      <c r="N20" s="239">
        <v>25</v>
      </c>
      <c r="O20" s="730" t="str">
        <f>Sprache!$E$90</f>
        <v>:</v>
      </c>
      <c r="P20" s="706">
        <v>21</v>
      </c>
      <c r="Q20" s="349"/>
      <c r="R20" s="776"/>
      <c r="T20" s="617">
        <f ca="1">IF(CalcE5!$K$13=0,"",IF(VLOOKUP(CalcE5!$B$5,CalcE5!$C$4:$E$12,3,0)=MAX($T19:$T19),VLOOKUP(CalcE5!$B$5,CalcE5!$C$4:$E$12,3,0),CalcE5!$B$5))</f>
        <v>2</v>
      </c>
      <c r="U20" s="386" t="str">
        <f ca="1">IF(OR(Calc1!$F$14&lt;3,AG23=1),"",IF(CalcE5!$K$13=0,CalcE5!$C63,VLOOKUP(CalcE5!$B5,CalcE5!$C$4:$N$12,4,0)))</f>
        <v>Manchester City</v>
      </c>
      <c r="V20" s="222">
        <f ca="1">IF(CalcE5!$K$13=0,"",VLOOKUP(CalcE5!$B$5,CalcE5!$C$4:$N$12,9,0))</f>
        <v>3</v>
      </c>
      <c r="W20" s="197">
        <f ca="1">IF(CalcE5!$K$13=0,"",VLOOKUP(CalcE5!$B$5,CalcE5!$C$4:$N$12,10,0))</f>
        <v>1</v>
      </c>
      <c r="X20" s="197">
        <f ca="1">IF(CalcE5!$K$13=0,"",VLOOKUP(CalcE5!$B$5,CalcE5!$C$4:$N$12,11,0))</f>
        <v>1</v>
      </c>
      <c r="Y20" s="197">
        <f ca="1">IF(CalcE5!$K$13=0,"",VLOOKUP(CalcE5!$B$5,CalcE5!$C$4:$N$12,12,0))</f>
        <v>1</v>
      </c>
      <c r="Z20" s="612">
        <f ca="1">IF(CalcE5!$K$13=0,"",VLOOKUP(CalcE5!$B$5,CalcE5!$C$4:$N$12,5,0))</f>
        <v>136</v>
      </c>
      <c r="AA20" s="613" t="str">
        <f>Sprache!$E$90</f>
        <v>:</v>
      </c>
      <c r="AB20" s="439">
        <f ca="1">IF(CalcE5!$K$13=0,"",VLOOKUP(CalcE5!$B$5,CalcE5!$C$4:$N$12,6,0))</f>
        <v>133</v>
      </c>
      <c r="AC20" s="197">
        <f ca="1">IF(CalcE5!$K$13=0,"",IF(VLOOKUP(CalcE5!B5,CalcE5!$C$4:$AR$12,42,0)=Einstellungen!$F$7,"max",VLOOKUP(CalcE5!B5,CalcE5!$C$4:$AR$12,42,0)))</f>
        <v>3</v>
      </c>
      <c r="AD20" s="221">
        <f ca="1">IF(CalcE5!$K$13=0,"",VLOOKUP(CalcE5!$B$5,CalcE5!$C$4:$N$12,8,0))</f>
        <v>3</v>
      </c>
      <c r="AF20" s="442" t="s">
        <v>285</v>
      </c>
      <c r="AG20" s="474" t="str">
        <f ca="1">IF(Vorrunde!$R$26="","",Vorrunde!$R$26)</f>
        <v>Manchester City</v>
      </c>
      <c r="AH20" s="716"/>
      <c r="AI20" s="718">
        <f ca="1">IF($AG20="",0,COUNTIF(TieBreak!$U$25:$U$30,$AG20))</f>
        <v>0</v>
      </c>
      <c r="AJ20" s="417"/>
    </row>
    <row r="21" spans="2:36" ht="24" customHeight="1" x14ac:dyDescent="0.2">
      <c r="B21" s="528">
        <f t="array" aca="1" ref="B21" ca="1">ROW(70:70)-SUM(((Planung!$L$6:$L$65="")+(Planung!$N$6:$N$65="")&gt;0)*1)-SUM((($H$12:$H20="")+($J$12:$J20="")&gt;0)*1)</f>
        <v>48</v>
      </c>
      <c r="C21" s="173">
        <f t="array" aca="1" ref="C21" ca="1">IF(Planung!$V$15,"",$C$12+QUOTIENT(($B21-$B$12),Planung!$V$11)*(Planung!$S$7+Planung!$S$9)/1440+SUM($R$12:$R20)/1440)</f>
        <v>0.64236111111111116</v>
      </c>
      <c r="D21" s="175">
        <f ca="1">IF(Planung!$V$15,"",MOD($B21-$B$12,Planung!$V$11)+1)</f>
        <v>4</v>
      </c>
      <c r="E21" s="424" t="s">
        <v>280</v>
      </c>
      <c r="F21" s="425" t="s">
        <v>4</v>
      </c>
      <c r="G21" s="426" t="s">
        <v>330</v>
      </c>
      <c r="H21" s="516" t="str">
        <f t="shared" ca="1" si="0"/>
        <v>Borussia Dortmund</v>
      </c>
      <c r="I21" s="517" t="s">
        <v>4</v>
      </c>
      <c r="J21" s="518" t="str">
        <f t="shared" ca="1" si="1"/>
        <v>SV Oberredenburg</v>
      </c>
      <c r="K21" s="431">
        <v>14</v>
      </c>
      <c r="L21" s="432" t="str">
        <f>Sprache!$E$90</f>
        <v>:</v>
      </c>
      <c r="M21" s="513">
        <v>25</v>
      </c>
      <c r="N21" s="239">
        <v>25</v>
      </c>
      <c r="O21" s="730" t="str">
        <f>Sprache!$E$90</f>
        <v>:</v>
      </c>
      <c r="P21" s="706">
        <v>23</v>
      </c>
      <c r="Q21" s="349"/>
      <c r="R21" s="776"/>
      <c r="T21" s="617">
        <f ca="1">IF(CalcE5!$K$13=0,"",IF(VLOOKUP(CalcE5!$B$6,CalcE5!$C$4:$E$12,3,0)=MAX($T19:$T20),VLOOKUP(CalcE5!$B$6,CalcE5!$C$4:$E$12,3,0),CalcE5!$B$6))</f>
        <v>3</v>
      </c>
      <c r="U21" s="386" t="str">
        <f ca="1">IF(OR(Calc1!$F$14&lt;3,AG24=1),"",IF(CalcE5!$K$13=0,CalcE5!$C64,VLOOKUP(CalcE5!$B6,CalcE5!$C$4:$N$12,4,0)))</f>
        <v>HSV</v>
      </c>
      <c r="V21" s="222">
        <f ca="1">IF(CalcE5!$K$13=0,"",VLOOKUP(CalcE5!$B$6,CalcE5!$C$4:$N$12,9,0))</f>
        <v>3</v>
      </c>
      <c r="W21" s="197">
        <f ca="1">IF(CalcE5!$K$13=0,"",VLOOKUP(CalcE5!$B$6,CalcE5!$C$4:$N$12,10,0))</f>
        <v>1</v>
      </c>
      <c r="X21" s="197">
        <f ca="1">IF(CalcE5!$K$13=0,"",VLOOKUP(CalcE5!$B$6,CalcE5!$C$4:$N$12,11,0))</f>
        <v>1</v>
      </c>
      <c r="Y21" s="197">
        <f ca="1">IF(CalcE5!$K$13=0,"",VLOOKUP(CalcE5!$B$6,CalcE5!$C$4:$N$12,12,0))</f>
        <v>1</v>
      </c>
      <c r="Z21" s="612">
        <f ca="1">IF(CalcE5!$K$13=0,"",VLOOKUP(CalcE5!$B$6,CalcE5!$C$4:$N$12,5,0))</f>
        <v>134</v>
      </c>
      <c r="AA21" s="613" t="str">
        <f>Sprache!$E$90</f>
        <v>:</v>
      </c>
      <c r="AB21" s="439">
        <f ca="1">IF(CalcE5!$K$13=0,"",VLOOKUP(CalcE5!$B$6,CalcE5!$C$4:$N$12,6,0))</f>
        <v>135</v>
      </c>
      <c r="AC21" s="197">
        <f ca="1">IF(CalcE5!$K$13=0,"",IF(VLOOKUP(CalcE5!B6,CalcE5!$C$4:$AR$12,42,0)=Einstellungen!$F$7,"max",VLOOKUP(CalcE5!B6,CalcE5!$C$4:$AR$12,42,0)))</f>
        <v>-1</v>
      </c>
      <c r="AD21" s="221">
        <f ca="1">IF(CalcE5!$K$13=0,"",VLOOKUP(CalcE5!$B$6,CalcE5!$C$4:$N$12,8,0))</f>
        <v>3</v>
      </c>
      <c r="AF21" s="590" t="s">
        <v>286</v>
      </c>
      <c r="AG21" s="474" t="str">
        <f ca="1">IF(Vorrunde!$R$36="","",Vorrunde!$R$36)</f>
        <v>Real Madrid</v>
      </c>
      <c r="AH21" s="716"/>
      <c r="AI21" s="718">
        <f ca="1">IF($AG21="",0,COUNTIF(TieBreak!$U$25:$U$30,$AG21))</f>
        <v>0</v>
      </c>
      <c r="AJ21" s="506"/>
    </row>
    <row r="22" spans="2:36" ht="24" customHeight="1" thickBot="1" x14ac:dyDescent="0.25">
      <c r="B22" s="528">
        <f t="array" aca="1" ref="B22" ca="1">ROW(71:71)-SUM(((Planung!$L$6:$L$65="")+(Planung!$N$6:$N$65="")&gt;0)*1)-SUM((($H$12:$H21="")+($J$12:$J21="")&gt;0)*1)</f>
        <v>49</v>
      </c>
      <c r="C22" s="173">
        <f t="array" aca="1" ref="C22" ca="1">IF(Planung!$V$15,"",$C$12+QUOTIENT(($B22-$B$12),Planung!$V$11)*(Planung!$S$7+Planung!$S$9)/1440+SUM($R$12:$R21)/1440)</f>
        <v>0.66666666666666674</v>
      </c>
      <c r="D22" s="175">
        <f ca="1">IF(Planung!$V$15,"",MOD($B22-$B$12,Planung!$V$11)+1)</f>
        <v>1</v>
      </c>
      <c r="E22" s="424" t="s">
        <v>277</v>
      </c>
      <c r="F22" s="425" t="s">
        <v>4</v>
      </c>
      <c r="G22" s="426" t="s">
        <v>329</v>
      </c>
      <c r="H22" s="516" t="str">
        <f t="shared" ca="1" si="0"/>
        <v>FSV Rauen</v>
      </c>
      <c r="I22" s="517"/>
      <c r="J22" s="518" t="str">
        <f t="shared" ca="1" si="1"/>
        <v>Paris St. Germain</v>
      </c>
      <c r="K22" s="431">
        <v>20</v>
      </c>
      <c r="L22" s="432" t="str">
        <f>Sprache!$E$90</f>
        <v>:</v>
      </c>
      <c r="M22" s="513">
        <v>25</v>
      </c>
      <c r="N22" s="239">
        <v>25</v>
      </c>
      <c r="O22" s="730" t="str">
        <f>Sprache!$E$90</f>
        <v>:</v>
      </c>
      <c r="P22" s="706">
        <v>17</v>
      </c>
      <c r="Q22" s="349"/>
      <c r="R22" s="776"/>
      <c r="T22" s="618">
        <f ca="1">IF(CalcE5!$K$13=0,"",IF(VLOOKUP(CalcE5!$B$7,CalcE5!$C$4:$E$12,3,0)=MAX($T19:$T21),VLOOKUP(CalcE5!$B$7,CalcE5!$C$4:$E$12,3,0),CalcE5!$B$7))</f>
        <v>4</v>
      </c>
      <c r="U22" s="388" t="str">
        <f ca="1">IF(OR(Calc1!$F$14&lt;3,AG25=1),"",IF(CalcE5!$K$13=0,CalcE5!$C65,VLOOKUP(CalcE5!$B7,CalcE5!$C$4:$N$12,4,0)))</f>
        <v>FC Barcelona</v>
      </c>
      <c r="V22" s="233">
        <f ca="1">IF(CalcE5!$K$13=0,"",VLOOKUP(CalcE5!$B$7,CalcE5!$C$4:$N$12,9,0))</f>
        <v>3</v>
      </c>
      <c r="W22" s="227">
        <f ca="1">IF(CalcE5!$K$13=0,"",VLOOKUP(CalcE5!$B$7,CalcE5!$C$4:$N$12,10,0))</f>
        <v>0</v>
      </c>
      <c r="X22" s="227">
        <f ca="1">IF(CalcE5!$K$13=0,"",VLOOKUP(CalcE5!$B$7,CalcE5!$C$4:$N$12,11,0))</f>
        <v>2</v>
      </c>
      <c r="Y22" s="227">
        <f ca="1">IF(CalcE5!$K$13=0,"",VLOOKUP(CalcE5!$B$7,CalcE5!$C$4:$N$12,12,0))</f>
        <v>1</v>
      </c>
      <c r="Z22" s="614">
        <f ca="1">IF(CalcE5!$K$13=0,"",VLOOKUP(CalcE5!$B$7,CalcE5!$C$4:$N$12,5,0))</f>
        <v>123</v>
      </c>
      <c r="AA22" s="615" t="str">
        <f>Sprache!$E$90</f>
        <v>:</v>
      </c>
      <c r="AB22" s="441">
        <f ca="1">IF(CalcE5!$K$13=0,"",VLOOKUP(CalcE5!$B$7,CalcE5!$C$4:$N$12,6,0))</f>
        <v>139</v>
      </c>
      <c r="AC22" s="227">
        <f ca="1">IF(CalcE5!$K$13=0,"",IF(VLOOKUP(CalcE5!B7,CalcE5!$C$4:$AR$12,42,0)=Einstellungen!$F$7,"max",VLOOKUP(CalcE5!B7,CalcE5!$C$4:$AR$12,42,0)))</f>
        <v>-16</v>
      </c>
      <c r="AD22" s="232">
        <f ca="1">IF(CalcE5!$K$13=0,"",VLOOKUP(CalcE5!$B$7,CalcE5!$C$4:$N$12,8,0))</f>
        <v>2</v>
      </c>
      <c r="AF22" s="414" t="s">
        <v>332</v>
      </c>
      <c r="AG22" s="475" t="str">
        <f ca="1">IF(Vorrunde!$R$46="","",Vorrunde!$R$46)</f>
        <v>HSV</v>
      </c>
      <c r="AH22" s="716"/>
      <c r="AI22" s="719">
        <f ca="1">IF($AG22="",0,COUNTIF(TieBreak!$U$25:$U$30,$AG22))</f>
        <v>0</v>
      </c>
      <c r="AJ22" s="506"/>
    </row>
    <row r="23" spans="2:36" ht="24" customHeight="1" thickTop="1" x14ac:dyDescent="0.2">
      <c r="B23" s="528">
        <f t="array" aca="1" ref="B23" ca="1">ROW(72:72)-SUM(((Planung!$L$6:$L$65="")+(Planung!$N$6:$N$65="")&gt;0)*1)-SUM((($H$12:$H22="")+($J$12:$J22="")&gt;0)*1)</f>
        <v>50</v>
      </c>
      <c r="C23" s="173">
        <f t="array" aca="1" ref="C23" ca="1">IF(Planung!$V$15,"",$C$12+QUOTIENT(($B23-$B$12),Planung!$V$11)*(Planung!$S$7+Planung!$S$9)/1440+SUM($R$12:$R22)/1440)</f>
        <v>0.66666666666666674</v>
      </c>
      <c r="D23" s="175">
        <f ca="1">IF(Planung!$V$15,"",MOD($B23-$B$12,Planung!$V$11)+1)</f>
        <v>2</v>
      </c>
      <c r="E23" s="424" t="s">
        <v>274</v>
      </c>
      <c r="F23" s="425" t="s">
        <v>4</v>
      </c>
      <c r="G23" s="426" t="s">
        <v>328</v>
      </c>
      <c r="H23" s="516" t="str">
        <f t="shared" ca="1" si="0"/>
        <v>Kickers Rodendorf</v>
      </c>
      <c r="I23" s="517"/>
      <c r="J23" s="518" t="str">
        <f t="shared" ca="1" si="1"/>
        <v>TSG Saalberg eV</v>
      </c>
      <c r="K23" s="431">
        <v>19</v>
      </c>
      <c r="L23" s="432" t="str">
        <f>Sprache!$E$90</f>
        <v>:</v>
      </c>
      <c r="M23" s="513">
        <v>25</v>
      </c>
      <c r="N23" s="239">
        <v>25</v>
      </c>
      <c r="O23" s="730" t="str">
        <f>Sprache!$E$90</f>
        <v>:</v>
      </c>
      <c r="P23" s="706">
        <v>18</v>
      </c>
      <c r="Q23" s="349"/>
      <c r="R23" s="776"/>
      <c r="AG23" s="627">
        <f t="array" aca="1" ref="AG23" ca="1">SUM((AG19:AG22&lt;&gt;"")*1)</f>
        <v>4</v>
      </c>
      <c r="AH23" s="627"/>
      <c r="AI23" s="292"/>
      <c r="AJ23" s="506"/>
    </row>
    <row r="24" spans="2:36" ht="24" customHeight="1" thickBot="1" x14ac:dyDescent="0.45">
      <c r="B24" s="528">
        <f t="array" aca="1" ref="B24" ca="1">ROW(73:73)-SUM(((Planung!$L$6:$L$65="")+(Planung!$N$6:$N$65="")&gt;0)*1)-SUM((($H$12:$H23="")+($J$12:$J23="")&gt;0)*1)</f>
        <v>51</v>
      </c>
      <c r="C24" s="173">
        <f t="array" aca="1" ref="C24" ca="1">IF(Planung!$V$15,"",$C$12+QUOTIENT(($B24-$B$12),Planung!$V$11)*(Planung!$S$7+Planung!$S$9)/1440+SUM($R$12:$R23)/1440)</f>
        <v>0.66666666666666674</v>
      </c>
      <c r="D24" s="175">
        <f ca="1">IF(Planung!$V$15,"",MOD($B24-$B$12,Planung!$V$11)+1)</f>
        <v>3</v>
      </c>
      <c r="E24" s="424" t="s">
        <v>287</v>
      </c>
      <c r="F24" s="425" t="s">
        <v>4</v>
      </c>
      <c r="G24" s="426" t="s">
        <v>289</v>
      </c>
      <c r="H24" s="516" t="str">
        <f t="shared" ca="1" si="0"/>
        <v/>
      </c>
      <c r="I24" s="517"/>
      <c r="J24" s="518" t="str">
        <f t="shared" ca="1" si="1"/>
        <v/>
      </c>
      <c r="K24" s="431"/>
      <c r="L24" s="432" t="str">
        <f>Sprache!$E$90</f>
        <v>:</v>
      </c>
      <c r="M24" s="513"/>
      <c r="N24" s="239"/>
      <c r="O24" s="730" t="str">
        <f>Sprache!$E$90</f>
        <v>:</v>
      </c>
      <c r="P24" s="706"/>
      <c r="Q24" s="349"/>
      <c r="R24" s="776"/>
      <c r="T24" s="958" t="str">
        <f>Sprache!$E$62</f>
        <v>Gruppenvierte</v>
      </c>
      <c r="U24" s="958"/>
      <c r="V24" s="958"/>
      <c r="W24" s="958"/>
      <c r="X24" s="958"/>
      <c r="Y24" s="958"/>
      <c r="Z24" s="198"/>
      <c r="AA24" s="198"/>
      <c r="AB24" s="198"/>
      <c r="AC24" s="198"/>
      <c r="AD24" s="198"/>
      <c r="AF24" s="843" t="str">
        <f>Sprache!$E$62</f>
        <v>Gruppenvierte</v>
      </c>
      <c r="AG24" s="843"/>
      <c r="AH24" s="691"/>
      <c r="AI24" s="470"/>
      <c r="AJ24" s="506"/>
    </row>
    <row r="25" spans="2:36" ht="24" customHeight="1" thickTop="1" thickBot="1" x14ac:dyDescent="0.25">
      <c r="B25" s="528">
        <f t="array" aca="1" ref="B25" ca="1">ROW(74:74)-SUM(((Planung!$L$6:$L$65="")+(Planung!$N$6:$N$65="")&gt;0)*1)-SUM((($H$12:$H24="")+($J$12:$J24="")&gt;0)*1)</f>
        <v>51</v>
      </c>
      <c r="C25" s="173">
        <f t="array" aca="1" ref="C25" ca="1">IF(Planung!$V$15,"",$C$12+QUOTIENT(($B25-$B$12),Planung!$V$11)*(Planung!$S$7+Planung!$S$9)/1440+SUM($R$12:$R24)/1440)</f>
        <v>0.66666666666666674</v>
      </c>
      <c r="D25" s="175">
        <f ca="1">IF(Planung!$V$15,"",MOD($B25-$B$12,Planung!$V$11)+1)</f>
        <v>3</v>
      </c>
      <c r="E25" s="424" t="s">
        <v>284</v>
      </c>
      <c r="F25" s="425" t="s">
        <v>4</v>
      </c>
      <c r="G25" s="426" t="s">
        <v>286</v>
      </c>
      <c r="H25" s="516" t="str">
        <f t="shared" ca="1" si="0"/>
        <v>FC Barcelona</v>
      </c>
      <c r="I25" s="517"/>
      <c r="J25" s="518" t="str">
        <f t="shared" ca="1" si="1"/>
        <v>Real Madrid</v>
      </c>
      <c r="K25" s="431">
        <v>14</v>
      </c>
      <c r="L25" s="432" t="str">
        <f>Sprache!$E$90</f>
        <v>:</v>
      </c>
      <c r="M25" s="513">
        <v>25</v>
      </c>
      <c r="N25" s="239">
        <v>25</v>
      </c>
      <c r="O25" s="730" t="str">
        <f>Sprache!$E$90</f>
        <v>:</v>
      </c>
      <c r="P25" s="706">
        <v>20</v>
      </c>
      <c r="Q25" s="349"/>
      <c r="R25" s="776"/>
      <c r="T25" s="956"/>
      <c r="U25" s="957"/>
      <c r="V25" s="593" t="str">
        <f>Sprache!$E$21</f>
        <v>SP</v>
      </c>
      <c r="W25" s="201" t="str">
        <f>Sprache!$E$22</f>
        <v>G</v>
      </c>
      <c r="X25" s="201" t="str">
        <f>Sprache!$E$23</f>
        <v>U</v>
      </c>
      <c r="Y25" s="592" t="str">
        <f>Sprache!$E$24</f>
        <v>V</v>
      </c>
      <c r="Z25" s="849" t="str">
        <f>Sprache!$E$74</f>
        <v>Bälle</v>
      </c>
      <c r="AA25" s="850"/>
      <c r="AB25" s="851"/>
      <c r="AC25" s="201" t="str">
        <f>IF(Einstellungen!$G$7,Sprache!$E$26,Sprache!$E$80)</f>
        <v>Diff.</v>
      </c>
      <c r="AD25" s="203" t="str">
        <f>Sprache!$E$27</f>
        <v>Pkt</v>
      </c>
      <c r="AF25" s="443"/>
      <c r="AG25" s="472" t="str">
        <f>Sprache!$E$10</f>
        <v>Teilnehmer bzw. Mannschaft</v>
      </c>
      <c r="AH25" s="711"/>
      <c r="AI25" s="715"/>
      <c r="AJ25" s="415"/>
    </row>
    <row r="26" spans="2:36" ht="24" customHeight="1" x14ac:dyDescent="0.2">
      <c r="B26" s="528">
        <f t="array" aca="1" ref="B26" ca="1">ROW(75:75)-SUM(((Planung!$L$6:$L$65="")+(Planung!$N$6:$N$65="")&gt;0)*1)-SUM((($H$12:$H25="")+($J$12:$J25="")&gt;0)*1)</f>
        <v>52</v>
      </c>
      <c r="C26" s="173">
        <f t="array" aca="1" ref="C26" ca="1">IF(Planung!$V$15,"",$C$12+QUOTIENT(($B26-$B$12),Planung!$V$11)*(Planung!$S$7+Planung!$S$9)/1440+SUM($R$12:$R25)/1440)</f>
        <v>0.66666666666666674</v>
      </c>
      <c r="D26" s="175">
        <f ca="1">IF(Planung!$V$15,"",MOD($B26-$B$12,Planung!$V$11)+1)</f>
        <v>4</v>
      </c>
      <c r="E26" s="424" t="s">
        <v>281</v>
      </c>
      <c r="F26" s="425" t="s">
        <v>4</v>
      </c>
      <c r="G26" s="426" t="s">
        <v>283</v>
      </c>
      <c r="H26" s="516" t="str">
        <f t="shared" ca="1" si="0"/>
        <v>Maibach 1822 eV</v>
      </c>
      <c r="I26" s="517"/>
      <c r="J26" s="518" t="str">
        <f t="shared" ca="1" si="1"/>
        <v>1. FC Nürnberg</v>
      </c>
      <c r="K26" s="431">
        <v>21</v>
      </c>
      <c r="L26" s="432" t="str">
        <f>Sprache!$E$90</f>
        <v>:</v>
      </c>
      <c r="M26" s="513">
        <v>25</v>
      </c>
      <c r="N26" s="239">
        <v>25</v>
      </c>
      <c r="O26" s="730" t="str">
        <f>Sprache!$E$90</f>
        <v>:</v>
      </c>
      <c r="P26" s="706">
        <v>18</v>
      </c>
      <c r="Q26" s="349"/>
      <c r="R26" s="776"/>
      <c r="T26" s="616">
        <f ca="1">IF(CalcE4!$K$13=0,"",1)</f>
        <v>1</v>
      </c>
      <c r="U26" s="384" t="str">
        <f ca="1">IF(Calc1!$F$14&lt;3,"",IF(AND(CalcE4!$K$13=0,AG30&lt;&gt;1),CalcE4!$C$62,VLOOKUP(CalcE4!$B$4,CalcE4!$C$4:$N$12,4,0)))</f>
        <v>Maibach 1822 eV</v>
      </c>
      <c r="V26" s="607">
        <f ca="1">IF(CalcE4!$K$13=0,"",VLOOKUP(CalcE4!$B$4,CalcE4!$C$4:$N$12,9,0))</f>
        <v>3</v>
      </c>
      <c r="W26" s="207">
        <f ca="1">IF(CalcE4!$K$13=0,"",VLOOKUP(CalcE4!$B$4,CalcE4!$C$4:$N$12,10,0))</f>
        <v>1</v>
      </c>
      <c r="X26" s="207">
        <f ca="1">IF(CalcE4!$K$13=0,"",VLOOKUP(CalcE4!$B$4,CalcE4!$C$4:$N$12,11,0))</f>
        <v>2</v>
      </c>
      <c r="Y26" s="207">
        <f ca="1">IF(CalcE4!$K$13=0,"",VLOOKUP(CalcE4!$B$4,CalcE4!$C$4:$N$12,12,0))</f>
        <v>0</v>
      </c>
      <c r="Z26" s="610">
        <f ca="1">IF(CalcE4!$K$13=0,"",VLOOKUP(CalcE4!$B$4,CalcE4!$C$4:$N$12,5,0))</f>
        <v>140</v>
      </c>
      <c r="AA26" s="611" t="str">
        <f>Sprache!$E$90</f>
        <v>:</v>
      </c>
      <c r="AB26" s="608">
        <f ca="1">IF(CalcE4!$K$13=0,"",VLOOKUP(CalcE4!$B$4,CalcE4!$C$4:$N$12,6,0))</f>
        <v>134</v>
      </c>
      <c r="AC26" s="207">
        <f ca="1">IF(CalcE4!$K$13=0,"",IF(VLOOKUP(CalcE4!B4,CalcE4!$C$4:$AR$12,42,0)=Einstellungen!$F$7,"max",VLOOKUP(CalcE4!B4,CalcE4!$C$4:$AR$12,42,0)))</f>
        <v>6</v>
      </c>
      <c r="AD26" s="212">
        <f ca="1">IF(CalcE4!$K$13=0,"",VLOOKUP(CalcE4!$B$4,CalcE4!$C$4:$N$12,8,0))</f>
        <v>4</v>
      </c>
      <c r="AF26" s="591" t="s">
        <v>281</v>
      </c>
      <c r="AG26" s="473" t="str">
        <f ca="1">IF(Vorrunde!$R$15="","",Vorrunde!$R$15)</f>
        <v>Maibach 1822 eV</v>
      </c>
      <c r="AH26" s="716"/>
      <c r="AI26" s="717">
        <f ca="1">IF($AG26="",0,COUNTIF(TieBreak!$U$25:$U$30,$AG26))</f>
        <v>0</v>
      </c>
      <c r="AJ26" s="290"/>
    </row>
    <row r="27" spans="2:36" ht="24" customHeight="1" x14ac:dyDescent="0.4">
      <c r="B27" s="528">
        <f t="array" aca="1" ref="B27" ca="1">ROW(76:76)-SUM(((Planung!$L$6:$L$65="")+(Planung!$N$6:$N$65="")&gt;0)*1)-SUM((($H$12:$H26="")+($J$12:$J26="")&gt;0)*1)</f>
        <v>53</v>
      </c>
      <c r="C27" s="173">
        <f t="array" aca="1" ref="C27" ca="1">IF(Planung!$V$15,"",$C$12+QUOTIENT(($B27-$B$12),Planung!$V$11)*(Planung!$S$7+Planung!$S$9)/1440+SUM($R$12:$R26)/1440)</f>
        <v>0.69097222222222221</v>
      </c>
      <c r="D27" s="175">
        <f ca="1">IF(Planung!$V$15,"",MOD($B27-$B$12,Planung!$V$11)+1)</f>
        <v>1</v>
      </c>
      <c r="E27" s="424" t="s">
        <v>278</v>
      </c>
      <c r="F27" s="425" t="s">
        <v>4</v>
      </c>
      <c r="G27" s="426" t="s">
        <v>280</v>
      </c>
      <c r="H27" s="516" t="str">
        <f t="shared" ca="1" si="0"/>
        <v>Eintracht Frankfurt</v>
      </c>
      <c r="I27" s="517"/>
      <c r="J27" s="518" t="str">
        <f t="shared" ca="1" si="1"/>
        <v>Borussia Dortmund</v>
      </c>
      <c r="K27" s="431">
        <v>25</v>
      </c>
      <c r="L27" s="432" t="str">
        <f>Sprache!$E$90</f>
        <v>:</v>
      </c>
      <c r="M27" s="513">
        <v>23</v>
      </c>
      <c r="N27" s="239">
        <v>25</v>
      </c>
      <c r="O27" s="730" t="str">
        <f>Sprache!$E$90</f>
        <v>:</v>
      </c>
      <c r="P27" s="706">
        <v>22</v>
      </c>
      <c r="Q27" s="349"/>
      <c r="R27" s="776"/>
      <c r="T27" s="617">
        <f ca="1">IF(CalcE4!$K$13=0,"",IF(VLOOKUP(CalcE4!$B$5,CalcE4!$C$4:$E$12,3,0)=MAX($T26:$T26),VLOOKUP(CalcE4!$B$5,CalcE4!$C$4:$E$12,3,0),CalcE4!$B$5))</f>
        <v>2</v>
      </c>
      <c r="U27" s="386" t="str">
        <f ca="1">IF(OR(Calc1!$F$14&lt;3,AG30=1),"",IF(CalcE4!$K$13=0,CalcE4!$C63,VLOOKUP(CalcE4!$B5,CalcE4!$C$4:$N$12,4,0)))</f>
        <v>RB Leipzig</v>
      </c>
      <c r="V27" s="222">
        <f ca="1">IF(CalcE4!$K$13=0,"",VLOOKUP(CalcE4!$B$5,CalcE4!$C$4:$N$12,9,0))</f>
        <v>3</v>
      </c>
      <c r="W27" s="197">
        <f ca="1">IF(CalcE4!$K$13=0,"",VLOOKUP(CalcE4!$B$5,CalcE4!$C$4:$N$12,10,0))</f>
        <v>0</v>
      </c>
      <c r="X27" s="197">
        <f ca="1">IF(CalcE4!$K$13=0,"",VLOOKUP(CalcE4!$B$5,CalcE4!$C$4:$N$12,11,0))</f>
        <v>3</v>
      </c>
      <c r="Y27" s="197">
        <f ca="1">IF(CalcE4!$K$13=0,"",VLOOKUP(CalcE4!$B$5,CalcE4!$C$4:$N$12,12,0))</f>
        <v>0</v>
      </c>
      <c r="Z27" s="612">
        <f ca="1">IF(CalcE4!$K$13=0,"",VLOOKUP(CalcE4!$B$5,CalcE4!$C$4:$N$12,5,0))</f>
        <v>131</v>
      </c>
      <c r="AA27" s="613" t="str">
        <f>Sprache!$E$90</f>
        <v>:</v>
      </c>
      <c r="AB27" s="439">
        <f ca="1">IF(CalcE4!$K$13=0,"",VLOOKUP(CalcE4!$B$5,CalcE4!$C$4:$N$12,6,0))</f>
        <v>134</v>
      </c>
      <c r="AC27" s="197">
        <f ca="1">IF(CalcE4!$K$13=0,"",IF(VLOOKUP(CalcE4!B5,CalcE4!$C$4:$AR$12,42,0)=Einstellungen!$F$7,"max",VLOOKUP(CalcE4!B5,CalcE4!$C$4:$AR$12,42,0)))</f>
        <v>-3</v>
      </c>
      <c r="AD27" s="221">
        <f ca="1">IF(CalcE4!$K$13=0,"",VLOOKUP(CalcE4!$B$5,CalcE4!$C$4:$N$12,8,0))</f>
        <v>3</v>
      </c>
      <c r="AF27" s="442" t="s">
        <v>282</v>
      </c>
      <c r="AG27" s="474" t="str">
        <f ca="1">IF(Vorrunde!$R$25="","",Vorrunde!$R$25)</f>
        <v>Inter Mailand</v>
      </c>
      <c r="AH27" s="716"/>
      <c r="AI27" s="718">
        <f ca="1">IF($AG27="",0,COUNTIF(TieBreak!$U$25:$U$30,$AG27))</f>
        <v>0</v>
      </c>
      <c r="AJ27" s="471"/>
    </row>
    <row r="28" spans="2:36" ht="24" customHeight="1" x14ac:dyDescent="0.2">
      <c r="B28" s="528">
        <f t="array" aca="1" ref="B28" ca="1">ROW(77:77)-SUM(((Planung!$L$6:$L$65="")+(Planung!$N$6:$N$65="")&gt;0)*1)-SUM((($H$12:$H27="")+($J$12:$J27="")&gt;0)*1)</f>
        <v>54</v>
      </c>
      <c r="C28" s="173">
        <f t="array" aca="1" ref="C28" ca="1">IF(Planung!$V$15,"",$C$12+QUOTIENT(($B28-$B$12),Planung!$V$11)*(Planung!$S$7+Planung!$S$9)/1440+SUM($R$12:$R27)/1440)</f>
        <v>0.69097222222222221</v>
      </c>
      <c r="D28" s="175">
        <f ca="1">IF(Planung!$V$15,"",MOD($B28-$B$12,Planung!$V$11)+1)</f>
        <v>2</v>
      </c>
      <c r="E28" s="424" t="s">
        <v>362</v>
      </c>
      <c r="F28" s="425" t="s">
        <v>4</v>
      </c>
      <c r="G28" s="426" t="s">
        <v>277</v>
      </c>
      <c r="H28" s="516" t="str">
        <f t="shared" ca="1" si="0"/>
        <v>VFB Essenheim</v>
      </c>
      <c r="I28" s="517"/>
      <c r="J28" s="518" t="str">
        <f t="shared" ca="1" si="1"/>
        <v>FSV Rauen</v>
      </c>
      <c r="K28" s="431">
        <v>25</v>
      </c>
      <c r="L28" s="432" t="str">
        <f>Sprache!$E$90</f>
        <v>:</v>
      </c>
      <c r="M28" s="513">
        <v>20</v>
      </c>
      <c r="N28" s="239">
        <v>25</v>
      </c>
      <c r="O28" s="730" t="str">
        <f>Sprache!$E$90</f>
        <v>:</v>
      </c>
      <c r="P28" s="706">
        <v>11</v>
      </c>
      <c r="Q28" s="349"/>
      <c r="R28" s="776"/>
      <c r="T28" s="617">
        <f ca="1">IF(CalcE4!$K$13=0,"",IF(VLOOKUP(CalcE4!$B$6,CalcE4!$C$4:$E$12,3,0)=MAX($T26:$T27),VLOOKUP(CalcE4!$B$6,CalcE4!$C$4:$E$12,3,0),CalcE4!$B$6))</f>
        <v>3</v>
      </c>
      <c r="U28" s="386" t="str">
        <f ca="1">IF(OR(Calc1!$F$14&lt;3,AG31=1),"",IF(CalcE4!$K$13=0,CalcE4!$C64,VLOOKUP(CalcE4!$B6,CalcE4!$C$4:$N$12,4,0)))</f>
        <v>1. FC Nürnberg</v>
      </c>
      <c r="V28" s="222">
        <f ca="1">IF(CalcE4!$K$13=0,"",VLOOKUP(CalcE4!$B$6,CalcE4!$C$4:$N$12,9,0))</f>
        <v>3</v>
      </c>
      <c r="W28" s="197">
        <f ca="1">IF(CalcE4!$K$13=0,"",VLOOKUP(CalcE4!$B$6,CalcE4!$C$4:$N$12,10,0))</f>
        <v>0</v>
      </c>
      <c r="X28" s="197">
        <f ca="1">IF(CalcE4!$K$13=0,"",VLOOKUP(CalcE4!$B$6,CalcE4!$C$4:$N$12,11,0))</f>
        <v>3</v>
      </c>
      <c r="Y28" s="197">
        <f ca="1">IF(CalcE4!$K$13=0,"",VLOOKUP(CalcE4!$B$6,CalcE4!$C$4:$N$12,12,0))</f>
        <v>0</v>
      </c>
      <c r="Z28" s="612">
        <f ca="1">IF(CalcE4!$K$13=0,"",VLOOKUP(CalcE4!$B$6,CalcE4!$C$4:$N$12,5,0))</f>
        <v>131</v>
      </c>
      <c r="AA28" s="613" t="str">
        <f>Sprache!$E$90</f>
        <v>:</v>
      </c>
      <c r="AB28" s="439">
        <f ca="1">IF(CalcE4!$K$13=0,"",VLOOKUP(CalcE4!$B$6,CalcE4!$C$4:$N$12,6,0))</f>
        <v>134</v>
      </c>
      <c r="AC28" s="197">
        <f ca="1">IF(CalcE4!$K$13=0,"",IF(VLOOKUP(CalcE4!B6,CalcE4!$C$4:$AR$12,42,0)=Einstellungen!$F$7,"max",VLOOKUP(CalcE4!B6,CalcE4!$C$4:$AR$12,42,0)))</f>
        <v>-3</v>
      </c>
      <c r="AD28" s="221">
        <f ca="1">IF(CalcE4!$K$13=0,"",VLOOKUP(CalcE4!$B$6,CalcE4!$C$4:$N$12,8,0))</f>
        <v>3</v>
      </c>
      <c r="AF28" s="590" t="s">
        <v>283</v>
      </c>
      <c r="AG28" s="474" t="str">
        <f ca="1">IF(Vorrunde!$R$35="","",Vorrunde!$R$35)</f>
        <v>1. FC Nürnberg</v>
      </c>
      <c r="AH28" s="716"/>
      <c r="AI28" s="718">
        <f ca="1">IF($AG28="",0,COUNTIF(TieBreak!$U$25:$U$30,$AG28))</f>
        <v>0</v>
      </c>
      <c r="AJ28" s="417"/>
    </row>
    <row r="29" spans="2:36" ht="24" customHeight="1" thickBot="1" x14ac:dyDescent="0.25">
      <c r="B29" s="528">
        <f t="array" aca="1" ref="B29" ca="1">ROW(78:78)-SUM(((Planung!$L$6:$L$65="")+(Planung!$N$6:$N$65="")&gt;0)*1)-SUM((($H$12:$H28="")+($J$12:$J28="")&gt;0)*1)</f>
        <v>55</v>
      </c>
      <c r="C29" s="173">
        <f t="array" aca="1" ref="C29" ca="1">IF(Planung!$V$15,"",$C$12+QUOTIENT(($B29-$B$12),Planung!$V$11)*(Planung!$S$7+Planung!$S$9)/1440+SUM($R$12:$R28)/1440)</f>
        <v>0.69097222222222221</v>
      </c>
      <c r="D29" s="175">
        <f ca="1">IF(Planung!$V$15,"",MOD($B29-$B$12,Planung!$V$11)+1)</f>
        <v>3</v>
      </c>
      <c r="E29" s="424" t="s">
        <v>272</v>
      </c>
      <c r="F29" s="425" t="s">
        <v>4</v>
      </c>
      <c r="G29" s="426" t="s">
        <v>274</v>
      </c>
      <c r="H29" s="516" t="str">
        <f t="shared" ca="1" si="0"/>
        <v>1. FC Riedwald</v>
      </c>
      <c r="I29" s="517"/>
      <c r="J29" s="518" t="str">
        <f t="shared" ca="1" si="1"/>
        <v>Kickers Rodendorf</v>
      </c>
      <c r="K29" s="431">
        <v>25</v>
      </c>
      <c r="L29" s="432" t="str">
        <f>Sprache!$E$90</f>
        <v>:</v>
      </c>
      <c r="M29" s="513">
        <v>12</v>
      </c>
      <c r="N29" s="239">
        <v>25</v>
      </c>
      <c r="O29" s="730" t="str">
        <f>Sprache!$E$90</f>
        <v>:</v>
      </c>
      <c r="P29" s="706">
        <v>17</v>
      </c>
      <c r="Q29" s="349"/>
      <c r="R29" s="776"/>
      <c r="T29" s="618">
        <f ca="1">IF(CalcE4!$K$13=0,"",IF(VLOOKUP(CalcE4!$B$7,CalcE4!$C$4:$E$12,3,0)=MAX($T26:$T28),VLOOKUP(CalcE4!$B$7,CalcE4!$C$4:$E$12,3,0),CalcE4!$B$7))</f>
        <v>4</v>
      </c>
      <c r="U29" s="388" t="str">
        <f ca="1">IF(OR(Calc1!$F$14&lt;3,AG32=1),"",IF(CalcE4!$K$13=0,CalcE4!$C65,VLOOKUP(CalcE4!$B7,CalcE4!$C$4:$N$12,4,0)))</f>
        <v>Inter Mailand</v>
      </c>
      <c r="V29" s="233">
        <f ca="1">IF(CalcE4!$K$13=0,"",VLOOKUP(CalcE4!$B$7,CalcE4!$C$4:$N$12,9,0))</f>
        <v>3</v>
      </c>
      <c r="W29" s="227">
        <f ca="1">IF(CalcE4!$K$13=0,"",VLOOKUP(CalcE4!$B$7,CalcE4!$C$4:$N$12,10,0))</f>
        <v>0</v>
      </c>
      <c r="X29" s="227">
        <f ca="1">IF(CalcE4!$K$13=0,"",VLOOKUP(CalcE4!$B$7,CalcE4!$C$4:$N$12,11,0))</f>
        <v>2</v>
      </c>
      <c r="Y29" s="227">
        <f ca="1">IF(CalcE4!$K$13=0,"",VLOOKUP(CalcE4!$B$7,CalcE4!$C$4:$N$12,12,0))</f>
        <v>1</v>
      </c>
      <c r="Z29" s="614">
        <f ca="1">IF(CalcE4!$K$13=0,"",VLOOKUP(CalcE4!$B$7,CalcE4!$C$4:$N$12,5,0))</f>
        <v>131</v>
      </c>
      <c r="AA29" s="615" t="str">
        <f>Sprache!$E$90</f>
        <v>:</v>
      </c>
      <c r="AB29" s="441">
        <f ca="1">IF(CalcE4!$K$13=0,"",VLOOKUP(CalcE4!$B$7,CalcE4!$C$4:$N$12,6,0))</f>
        <v>131</v>
      </c>
      <c r="AC29" s="227">
        <f ca="1">IF(CalcE4!$K$13=0,"",IF(VLOOKUP(CalcE4!B7,CalcE4!$C$4:$AR$12,42,0)=Einstellungen!$F$7,"max",VLOOKUP(CalcE4!B7,CalcE4!$C$4:$AR$12,42,0)))</f>
        <v>0</v>
      </c>
      <c r="AD29" s="232">
        <f ca="1">IF(CalcE4!$K$13=0,"",VLOOKUP(CalcE4!$B$7,CalcE4!$C$4:$N$12,8,0))</f>
        <v>2</v>
      </c>
      <c r="AF29" s="414" t="s">
        <v>331</v>
      </c>
      <c r="AG29" s="475" t="str">
        <f ca="1">IF(Vorrunde!$R$45="","",Vorrunde!$R$45)</f>
        <v>RB Leipzig</v>
      </c>
      <c r="AH29" s="716"/>
      <c r="AI29" s="719">
        <f ca="1">IF($AG29="",0,COUNTIF(TieBreak!$U$25:$U$30,$AG29))</f>
        <v>0</v>
      </c>
      <c r="AJ29" s="506"/>
    </row>
    <row r="30" spans="2:36" ht="24" customHeight="1" thickTop="1" x14ac:dyDescent="0.2">
      <c r="B30" s="528">
        <f t="array" aca="1" ref="B30" ca="1">ROW(79:79)-SUM(((Planung!$L$6:$L$65="")+(Planung!$N$6:$N$65="")&gt;0)*1)-SUM((($H$12:$H29="")+($J$12:$J29="")&gt;0)*1)</f>
        <v>56</v>
      </c>
      <c r="C30" s="173">
        <f t="array" aca="1" ref="C30" ca="1">IF(Planung!$V$15,"",$C$12+QUOTIENT(($B30-$B$12),Planung!$V$11)*(Planung!$S$7+Planung!$S$9)/1440+SUM($R$12:$R29)/1440)</f>
        <v>0.69097222222222221</v>
      </c>
      <c r="D30" s="175">
        <f ca="1">IF(Planung!$V$15,"",MOD($B30-$B$12,Planung!$V$11)+1)</f>
        <v>4</v>
      </c>
      <c r="E30" s="424" t="s">
        <v>333</v>
      </c>
      <c r="F30" s="425" t="s">
        <v>4</v>
      </c>
      <c r="G30" s="426" t="s">
        <v>288</v>
      </c>
      <c r="H30" s="516" t="str">
        <f t="shared" ca="1" si="0"/>
        <v/>
      </c>
      <c r="I30" s="517"/>
      <c r="J30" s="518" t="str">
        <f t="shared" ca="1" si="1"/>
        <v/>
      </c>
      <c r="K30" s="431"/>
      <c r="L30" s="432" t="str">
        <f>Sprache!$E$90</f>
        <v>:</v>
      </c>
      <c r="M30" s="513"/>
      <c r="N30" s="239"/>
      <c r="O30" s="730" t="str">
        <f>Sprache!$E$90</f>
        <v>:</v>
      </c>
      <c r="P30" s="706"/>
      <c r="Q30" s="349"/>
      <c r="R30" s="776"/>
      <c r="AG30" s="627">
        <f t="array" aca="1" ref="AG30" ca="1">SUM((AG26:AG29&lt;&gt;"")*1)</f>
        <v>4</v>
      </c>
      <c r="AH30" s="627"/>
      <c r="AI30" s="469"/>
      <c r="AJ30" s="506"/>
    </row>
    <row r="31" spans="2:36" ht="24" customHeight="1" thickBot="1" x14ac:dyDescent="0.45">
      <c r="B31" s="528">
        <f t="array" aca="1" ref="B31" ca="1">ROW(80:80)-SUM(((Planung!$L$6:$L$65="")+(Planung!$N$6:$N$65="")&gt;0)*1)-SUM((($H$12:$H30="")+($J$12:$J30="")&gt;0)*1)</f>
        <v>56</v>
      </c>
      <c r="C31" s="173">
        <f t="array" aca="1" ref="C31" ca="1">IF(Planung!$V$15,"",$C$12+QUOTIENT(($B31-$B$12),Planung!$V$11)*(Planung!$S$7+Planung!$S$9)/1440+SUM($R$12:$R30)/1440)</f>
        <v>0.69097222222222221</v>
      </c>
      <c r="D31" s="175">
        <f ca="1">IF(Planung!$V$15,"",MOD($B31-$B$12,Planung!$V$11)+1)</f>
        <v>4</v>
      </c>
      <c r="E31" s="424" t="s">
        <v>332</v>
      </c>
      <c r="F31" s="425" t="s">
        <v>4</v>
      </c>
      <c r="G31" s="423" t="s">
        <v>285</v>
      </c>
      <c r="H31" s="516" t="str">
        <f t="shared" ca="1" si="0"/>
        <v>HSV</v>
      </c>
      <c r="I31" s="517"/>
      <c r="J31" s="518" t="str">
        <f t="shared" ca="1" si="1"/>
        <v>Manchester City</v>
      </c>
      <c r="K31" s="431">
        <v>25</v>
      </c>
      <c r="L31" s="432" t="str">
        <f>Sprache!$E$90</f>
        <v>:</v>
      </c>
      <c r="M31" s="513">
        <v>23</v>
      </c>
      <c r="N31" s="239">
        <v>25</v>
      </c>
      <c r="O31" s="730" t="str">
        <f>Sprache!$E$90</f>
        <v>:</v>
      </c>
      <c r="P31" s="706">
        <v>19</v>
      </c>
      <c r="Q31" s="349"/>
      <c r="R31" s="776"/>
      <c r="T31" s="958" t="str">
        <f>Sprache!$E$61</f>
        <v>Gruppendritte</v>
      </c>
      <c r="U31" s="958"/>
      <c r="V31" s="958"/>
      <c r="W31" s="958"/>
      <c r="X31" s="958"/>
      <c r="Y31" s="958"/>
      <c r="Z31" s="198"/>
      <c r="AA31" s="198"/>
      <c r="AB31" s="198"/>
      <c r="AC31" s="198"/>
      <c r="AD31" s="198"/>
      <c r="AF31" s="843" t="str">
        <f>Sprache!$E$61</f>
        <v>Gruppendritte</v>
      </c>
      <c r="AG31" s="843"/>
      <c r="AH31" s="691"/>
      <c r="AI31" s="469"/>
      <c r="AJ31" s="506"/>
    </row>
    <row r="32" spans="2:36" ht="24" customHeight="1" thickTop="1" thickBot="1" x14ac:dyDescent="0.25">
      <c r="B32" s="528">
        <f t="array" aca="1" ref="B32" ca="1">ROW(81:81)-SUM(((Planung!$L$6:$L$65="")+(Planung!$N$6:$N$65="")&gt;0)*1)-SUM((($H$12:$H31="")+($J$12:$J31="")&gt;0)*1)</f>
        <v>57</v>
      </c>
      <c r="C32" s="173">
        <f t="array" aca="1" ref="C32" ca="1">IF(Planung!$V$15,"",$C$12+QUOTIENT(($B32-$B$12),Planung!$V$11)*(Planung!$S$7+Planung!$S$9)/1440+SUM($R$12:$R31)/1440)</f>
        <v>0.71527777777777779</v>
      </c>
      <c r="D32" s="175">
        <f ca="1">IF(Planung!$V$15,"",MOD($B32-$B$12,Planung!$V$11)+1)</f>
        <v>1</v>
      </c>
      <c r="E32" s="424" t="s">
        <v>331</v>
      </c>
      <c r="F32" s="425" t="s">
        <v>4</v>
      </c>
      <c r="G32" s="423" t="s">
        <v>282</v>
      </c>
      <c r="H32" s="516" t="str">
        <f t="shared" ca="1" si="0"/>
        <v>RB Leipzig</v>
      </c>
      <c r="I32" s="517"/>
      <c r="J32" s="518" t="str">
        <f t="shared" ca="1" si="1"/>
        <v>Inter Mailand</v>
      </c>
      <c r="K32" s="431">
        <v>13</v>
      </c>
      <c r="L32" s="432" t="str">
        <f>Sprache!$E$90</f>
        <v>:</v>
      </c>
      <c r="M32" s="513">
        <v>25</v>
      </c>
      <c r="N32" s="239">
        <v>25</v>
      </c>
      <c r="O32" s="730" t="str">
        <f>Sprache!$E$90</f>
        <v>:</v>
      </c>
      <c r="P32" s="706">
        <v>20</v>
      </c>
      <c r="Q32" s="349"/>
      <c r="R32" s="776"/>
      <c r="T32" s="956"/>
      <c r="U32" s="957"/>
      <c r="V32" s="593" t="str">
        <f>Sprache!$E$21</f>
        <v>SP</v>
      </c>
      <c r="W32" s="201" t="str">
        <f>Sprache!$E$22</f>
        <v>G</v>
      </c>
      <c r="X32" s="201" t="str">
        <f>Sprache!$E$23</f>
        <v>U</v>
      </c>
      <c r="Y32" s="592" t="str">
        <f>Sprache!$E$24</f>
        <v>V</v>
      </c>
      <c r="Z32" s="849" t="str">
        <f>Sprache!$E$74</f>
        <v>Bälle</v>
      </c>
      <c r="AA32" s="850"/>
      <c r="AB32" s="851"/>
      <c r="AC32" s="201" t="str">
        <f>IF(Einstellungen!$G$7,Sprache!$E$26,Sprache!$E$80)</f>
        <v>Diff.</v>
      </c>
      <c r="AD32" s="203" t="str">
        <f>Sprache!$E$27</f>
        <v>Pkt</v>
      </c>
      <c r="AF32" s="443"/>
      <c r="AG32" s="472" t="str">
        <f>Sprache!$E$10</f>
        <v>Teilnehmer bzw. Mannschaft</v>
      </c>
      <c r="AH32" s="711"/>
      <c r="AI32" s="715"/>
      <c r="AJ32" s="506"/>
    </row>
    <row r="33" spans="2:36" ht="24" customHeight="1" x14ac:dyDescent="0.2">
      <c r="B33" s="528">
        <f t="array" aca="1" ref="B33" ca="1">ROW(82:82)-SUM(((Planung!$L$6:$L$65="")+(Planung!$N$6:$N$65="")&gt;0)*1)-SUM((($H$12:$H32="")+($J$12:$J32="")&gt;0)*1)</f>
        <v>58</v>
      </c>
      <c r="C33" s="173">
        <f t="array" aca="1" ref="C33" ca="1">IF(Planung!$V$15,"",$C$12+QUOTIENT(($B33-$B$12),Planung!$V$11)*(Planung!$S$7+Planung!$S$9)/1440+SUM($R$12:$R32)/1440)</f>
        <v>0.71527777777777779</v>
      </c>
      <c r="D33" s="175">
        <f ca="1">IF(Planung!$V$15,"",MOD($B33-$B$12,Planung!$V$11)+1)</f>
        <v>2</v>
      </c>
      <c r="E33" s="424" t="s">
        <v>330</v>
      </c>
      <c r="F33" s="425" t="s">
        <v>4</v>
      </c>
      <c r="G33" s="423" t="s">
        <v>279</v>
      </c>
      <c r="H33" s="516" t="str">
        <f t="shared" ca="1" si="0"/>
        <v>SV Oberredenburg</v>
      </c>
      <c r="I33" s="517"/>
      <c r="J33" s="518" t="str">
        <f t="shared" ca="1" si="1"/>
        <v>FC Grönlingen</v>
      </c>
      <c r="K33" s="431">
        <v>19</v>
      </c>
      <c r="L33" s="432" t="str">
        <f>Sprache!$E$90</f>
        <v>:</v>
      </c>
      <c r="M33" s="513">
        <v>25</v>
      </c>
      <c r="N33" s="239">
        <v>25</v>
      </c>
      <c r="O33" s="730" t="str">
        <f>Sprache!$E$90</f>
        <v>:</v>
      </c>
      <c r="P33" s="706">
        <v>21</v>
      </c>
      <c r="Q33" s="349"/>
      <c r="R33" s="776"/>
      <c r="T33" s="616">
        <f ca="1">IF(CalcE3!$K$13=0,"",1)</f>
        <v>1</v>
      </c>
      <c r="U33" s="384" t="str">
        <f ca="1">IF(Calc1!$F$14&lt;3,"",IF(AND(CalcE3!$K$13=0,AG37&lt;&gt;1),CalcE3!$C$62,VLOOKUP(CalcE3!$B$4,CalcE3!$C$4:$N$12,4,0)))</f>
        <v>Eintracht Frankfurt</v>
      </c>
      <c r="V33" s="607">
        <f ca="1">IF(CalcE3!$K$13=0,"",VLOOKUP(CalcE3!$B$4,CalcE3!$C$4:$N$12,9,0))</f>
        <v>3</v>
      </c>
      <c r="W33" s="207">
        <f ca="1">IF(CalcE3!$K$13=0,"",VLOOKUP(CalcE3!$B$4,CalcE3!$C$4:$N$12,10,0))</f>
        <v>2</v>
      </c>
      <c r="X33" s="207">
        <f ca="1">IF(CalcE3!$K$13=0,"",VLOOKUP(CalcE3!$B$4,CalcE3!$C$4:$N$12,11,0))</f>
        <v>1</v>
      </c>
      <c r="Y33" s="207">
        <f ca="1">IF(CalcE3!$K$13=0,"",VLOOKUP(CalcE3!$B$4,CalcE3!$C$4:$N$12,12,0))</f>
        <v>0</v>
      </c>
      <c r="Z33" s="610">
        <f ca="1">IF(CalcE3!$K$13=0,"",VLOOKUP(CalcE3!$B$4,CalcE3!$C$4:$N$12,5,0))</f>
        <v>145</v>
      </c>
      <c r="AA33" s="611" t="str">
        <f>Sprache!$E$90</f>
        <v>:</v>
      </c>
      <c r="AB33" s="608">
        <f ca="1">IF(CalcE3!$K$13=0,"",VLOOKUP(CalcE3!$B$4,CalcE3!$C$4:$N$12,6,0))</f>
        <v>128</v>
      </c>
      <c r="AC33" s="207">
        <f ca="1">IF(CalcE3!$K$13=0,"",IF(VLOOKUP(CalcE3!B4,CalcE3!$C$4:$AR$12,42,0)=Einstellungen!$F$7,"max",VLOOKUP(CalcE3!B4,CalcE3!$C$4:$AR$12,42,0)))</f>
        <v>17</v>
      </c>
      <c r="AD33" s="212">
        <f ca="1">IF(CalcE3!$K$13=0,"",VLOOKUP(CalcE3!$B$4,CalcE3!$C$4:$N$12,8,0))</f>
        <v>5</v>
      </c>
      <c r="AF33" s="591" t="s">
        <v>278</v>
      </c>
      <c r="AG33" s="473" t="str">
        <f ca="1">IF(Vorrunde!$R$14="","",Vorrunde!$R$14)</f>
        <v>Eintracht Frankfurt</v>
      </c>
      <c r="AH33" s="716"/>
      <c r="AI33" s="717">
        <f ca="1">IF($AG33="",0,COUNTIF(TieBreak!$U$25:$U$30,$AG33))</f>
        <v>0</v>
      </c>
      <c r="AJ33" s="292"/>
    </row>
    <row r="34" spans="2:36" ht="24" customHeight="1" x14ac:dyDescent="0.2">
      <c r="B34" s="528">
        <f t="array" aca="1" ref="B34" ca="1">ROW(83:83)-SUM(((Planung!$L$6:$L$65="")+(Planung!$N$6:$N$65="")&gt;0)*1)-SUM((($H$12:$H33="")+($J$12:$J33="")&gt;0)*1)</f>
        <v>59</v>
      </c>
      <c r="C34" s="173">
        <f t="array" aca="1" ref="C34" ca="1">IF(Planung!$V$15,"",$C$12+QUOTIENT(($B34-$B$12),Planung!$V$11)*(Planung!$S$7+Planung!$S$9)/1440+SUM($R$12:$R33)/1440)</f>
        <v>0.71527777777777779</v>
      </c>
      <c r="D34" s="175">
        <f ca="1">IF(Planung!$V$15,"",MOD($B34-$B$12,Planung!$V$11)+1)</f>
        <v>3</v>
      </c>
      <c r="E34" s="424" t="s">
        <v>329</v>
      </c>
      <c r="F34" s="425" t="s">
        <v>4</v>
      </c>
      <c r="G34" s="426" t="s">
        <v>276</v>
      </c>
      <c r="H34" s="516" t="str">
        <f t="shared" ca="1" si="0"/>
        <v>Paris St. Germain</v>
      </c>
      <c r="I34" s="517"/>
      <c r="J34" s="518" t="str">
        <f t="shared" ca="1" si="1"/>
        <v>SSV Wildbach</v>
      </c>
      <c r="K34" s="431">
        <v>17</v>
      </c>
      <c r="L34" s="432" t="str">
        <f>Sprache!$E$90</f>
        <v>:</v>
      </c>
      <c r="M34" s="513">
        <v>25</v>
      </c>
      <c r="N34" s="239">
        <v>25</v>
      </c>
      <c r="O34" s="730" t="str">
        <f>Sprache!$E$90</f>
        <v>:</v>
      </c>
      <c r="P34" s="706">
        <v>22</v>
      </c>
      <c r="Q34" s="349"/>
      <c r="R34" s="776"/>
      <c r="T34" s="617">
        <f ca="1">IF(CalcE3!$K$13=0,"",IF(VLOOKUP(CalcE3!$B$5,CalcE3!$C$4:$E$12,3,0)=MAX($T33:$T33),VLOOKUP(CalcE3!$B$5,CalcE3!$C$4:$E$12,3,0),CalcE3!$B$5))</f>
        <v>2</v>
      </c>
      <c r="U34" s="386" t="str">
        <f ca="1">IF(OR(Calc1!$F$14&lt;3,AG37=1),"",IF(CalcE3!$K$13=0,CalcE3!$C63,VLOOKUP(CalcE3!$B5,CalcE3!$C$4:$N$12,4,0)))</f>
        <v>SV Oberredenburg</v>
      </c>
      <c r="V34" s="222">
        <f ca="1">IF(CalcE3!$K$13=0,"",VLOOKUP(CalcE3!$B$5,CalcE3!$C$4:$N$12,9,0))</f>
        <v>3</v>
      </c>
      <c r="W34" s="197">
        <f ca="1">IF(CalcE3!$K$13=0,"",VLOOKUP(CalcE3!$B$5,CalcE3!$C$4:$N$12,10,0))</f>
        <v>0</v>
      </c>
      <c r="X34" s="197">
        <f ca="1">IF(CalcE3!$K$13=0,"",VLOOKUP(CalcE3!$B$5,CalcE3!$C$4:$N$12,11,0))</f>
        <v>3</v>
      </c>
      <c r="Y34" s="197">
        <f ca="1">IF(CalcE3!$K$13=0,"",VLOOKUP(CalcE3!$B$5,CalcE3!$C$4:$N$12,12,0))</f>
        <v>0</v>
      </c>
      <c r="Z34" s="612">
        <f ca="1">IF(CalcE3!$K$13=0,"",VLOOKUP(CalcE3!$B$5,CalcE3!$C$4:$N$12,5,0))</f>
        <v>136</v>
      </c>
      <c r="AA34" s="613" t="str">
        <f>Sprache!$E$90</f>
        <v>:</v>
      </c>
      <c r="AB34" s="439">
        <f ca="1">IF(CalcE3!$K$13=0,"",VLOOKUP(CalcE3!$B$5,CalcE3!$C$4:$N$12,6,0))</f>
        <v>130</v>
      </c>
      <c r="AC34" s="197">
        <f ca="1">IF(CalcE3!$K$13=0,"",IF(VLOOKUP(CalcE3!B5,CalcE3!$C$4:$AR$12,42,0)=Einstellungen!$F$7,"max",VLOOKUP(CalcE3!B5,CalcE3!$C$4:$AR$12,42,0)))</f>
        <v>6</v>
      </c>
      <c r="AD34" s="221">
        <f ca="1">IF(CalcE3!$K$13=0,"",VLOOKUP(CalcE3!$B$5,CalcE3!$C$4:$N$12,8,0))</f>
        <v>3</v>
      </c>
      <c r="AF34" s="442" t="s">
        <v>279</v>
      </c>
      <c r="AG34" s="474" t="str">
        <f ca="1">IF(Vorrunde!$R$24="","",Vorrunde!$R$24)</f>
        <v>FC Grönlingen</v>
      </c>
      <c r="AH34" s="716"/>
      <c r="AI34" s="718">
        <f ca="1">IF($AG34="",0,COUNTIF(TieBreak!$U$25:$U$30,$AG34))</f>
        <v>0</v>
      </c>
      <c r="AJ34" s="292"/>
    </row>
    <row r="35" spans="2:36" ht="24" customHeight="1" x14ac:dyDescent="0.2">
      <c r="B35" s="528">
        <f t="array" aca="1" ref="B35" ca="1">ROW(84:84)-SUM(((Planung!$L$6:$L$65="")+(Planung!$N$6:$N$65="")&gt;0)*1)-SUM((($H$12:$H34="")+($J$12:$J34="")&gt;0)*1)</f>
        <v>60</v>
      </c>
      <c r="C35" s="173">
        <f t="array" aca="1" ref="C35" ca="1">IF(Planung!$V$15,"",$C$12+QUOTIENT(($B35-$B$12),Planung!$V$11)*(Planung!$S$7+Planung!$S$9)/1440+SUM($R$12:$R34)/1440)</f>
        <v>0.71527777777777779</v>
      </c>
      <c r="D35" s="175">
        <f ca="1">IF(Planung!$V$15,"",MOD($B35-$B$12,Planung!$V$11)+1)</f>
        <v>4</v>
      </c>
      <c r="E35" s="424" t="s">
        <v>328</v>
      </c>
      <c r="F35" s="425" t="s">
        <v>4</v>
      </c>
      <c r="G35" s="426" t="s">
        <v>273</v>
      </c>
      <c r="H35" s="516" t="str">
        <f t="shared" ca="1" si="0"/>
        <v>TSG Saalberg eV</v>
      </c>
      <c r="I35" s="517"/>
      <c r="J35" s="518" t="str">
        <f t="shared" ca="1" si="1"/>
        <v>Mainz 05</v>
      </c>
      <c r="K35" s="431">
        <v>14</v>
      </c>
      <c r="L35" s="432" t="str">
        <f>Sprache!$E$90</f>
        <v>:</v>
      </c>
      <c r="M35" s="513">
        <v>25</v>
      </c>
      <c r="N35" s="239">
        <v>25</v>
      </c>
      <c r="O35" s="730" t="str">
        <f>Sprache!$E$90</f>
        <v>:</v>
      </c>
      <c r="P35" s="706">
        <v>23</v>
      </c>
      <c r="Q35" s="349"/>
      <c r="R35" s="776"/>
      <c r="T35" s="617">
        <f ca="1">IF(CalcE3!$K$13=0,"",IF(VLOOKUP(CalcE3!$B$6,CalcE3!$C$4:$E$12,3,0)=MAX($T33:$T34),VLOOKUP(CalcE3!$B$6,CalcE3!$C$4:$E$12,3,0),CalcE3!$B$6))</f>
        <v>3</v>
      </c>
      <c r="U35" s="386" t="str">
        <f ca="1">IF(OR(Calc1!$F$14&lt;3,AG38=1),"",IF(CalcE3!$K$13=0,CalcE3!$C64,VLOOKUP(CalcE3!$B6,CalcE3!$C$4:$N$12,4,0)))</f>
        <v>Borussia Dortmund</v>
      </c>
      <c r="V35" s="222">
        <f ca="1">IF(CalcE3!$K$13=0,"",VLOOKUP(CalcE3!$B$6,CalcE3!$C$4:$N$12,9,0))</f>
        <v>3</v>
      </c>
      <c r="W35" s="197">
        <f ca="1">IF(CalcE3!$K$13=0,"",VLOOKUP(CalcE3!$B$6,CalcE3!$C$4:$N$12,10,0))</f>
        <v>0</v>
      </c>
      <c r="X35" s="197">
        <f ca="1">IF(CalcE3!$K$13=0,"",VLOOKUP(CalcE3!$B$6,CalcE3!$C$4:$N$12,11,0))</f>
        <v>2</v>
      </c>
      <c r="Y35" s="197">
        <f ca="1">IF(CalcE3!$K$13=0,"",VLOOKUP(CalcE3!$B$6,CalcE3!$C$4:$N$12,12,0))</f>
        <v>1</v>
      </c>
      <c r="Z35" s="612">
        <f ca="1">IF(CalcE3!$K$13=0,"",VLOOKUP(CalcE3!$B$6,CalcE3!$C$4:$N$12,5,0))</f>
        <v>128</v>
      </c>
      <c r="AA35" s="613" t="str">
        <f>Sprache!$E$90</f>
        <v>:</v>
      </c>
      <c r="AB35" s="439">
        <f ca="1">IF(CalcE3!$K$13=0,"",VLOOKUP(CalcE3!$B$6,CalcE3!$C$4:$N$12,6,0))</f>
        <v>137</v>
      </c>
      <c r="AC35" s="197">
        <f ca="1">IF(CalcE3!$K$13=0,"",IF(VLOOKUP(CalcE3!B6,CalcE3!$C$4:$AR$12,42,0)=Einstellungen!$F$7,"max",VLOOKUP(CalcE3!B6,CalcE3!$C$4:$AR$12,42,0)))</f>
        <v>-9</v>
      </c>
      <c r="AD35" s="221">
        <f ca="1">IF(CalcE3!$K$13=0,"",VLOOKUP(CalcE3!$B$6,CalcE3!$C$4:$N$12,8,0))</f>
        <v>2</v>
      </c>
      <c r="AF35" s="590" t="s">
        <v>280</v>
      </c>
      <c r="AG35" s="474" t="str">
        <f ca="1">IF(Vorrunde!$R$34="","",Vorrunde!$R$34)</f>
        <v>Borussia Dortmund</v>
      </c>
      <c r="AH35" s="716"/>
      <c r="AI35" s="718">
        <f ca="1">IF($AG35="",0,COUNTIF(TieBreak!$U$25:$U$30,$AG35))</f>
        <v>0</v>
      </c>
      <c r="AJ35" s="292"/>
    </row>
    <row r="36" spans="2:36" ht="24" customHeight="1" thickBot="1" x14ac:dyDescent="0.25">
      <c r="B36" s="528">
        <f t="array" aca="1" ref="B36" ca="1">ROW(85:85)-SUM(((Planung!$L$6:$L$65="")+(Planung!$N$6:$N$65="")&gt;0)*1)-SUM((($H$12:$H35="")+($J$12:$J35="")&gt;0)*1)</f>
        <v>61</v>
      </c>
      <c r="C36" s="173">
        <f t="array" aca="1" ref="C36" ca="1">IF(Planung!$V$15,"",$C$12+QUOTIENT(($B36-$B$12),Planung!$V$11)*(Planung!$S$7+Planung!$S$9)/1440+SUM($R$12:$R35)/1440)</f>
        <v>0.73958333333333337</v>
      </c>
      <c r="D36" s="175">
        <f ca="1">IF(Planung!$V$15,"",MOD($B36-$B$12,Planung!$V$11)+1)</f>
        <v>1</v>
      </c>
      <c r="E36" s="424" t="s">
        <v>333</v>
      </c>
      <c r="F36" s="425" t="s">
        <v>4</v>
      </c>
      <c r="G36" s="426" t="s">
        <v>287</v>
      </c>
      <c r="H36" s="516" t="str">
        <f t="shared" ca="1" si="0"/>
        <v/>
      </c>
      <c r="I36" s="517"/>
      <c r="J36" s="518" t="str">
        <f t="shared" ca="1" si="1"/>
        <v/>
      </c>
      <c r="K36" s="431"/>
      <c r="L36" s="432" t="str">
        <f>Sprache!$E$90</f>
        <v>:</v>
      </c>
      <c r="M36" s="513"/>
      <c r="N36" s="239"/>
      <c r="O36" s="730" t="str">
        <f>Sprache!$E$90</f>
        <v>:</v>
      </c>
      <c r="P36" s="706"/>
      <c r="Q36" s="349"/>
      <c r="R36" s="776"/>
      <c r="T36" s="618">
        <f ca="1">IF(CalcE3!$K$13=0,"",IF(VLOOKUP(CalcE3!$B$7,CalcE3!$C$4:$E$12,3,0)=MAX($T33:$T35),VLOOKUP(CalcE3!$B$7,CalcE3!$C$4:$E$12,3,0),CalcE3!$B$7))</f>
        <v>4</v>
      </c>
      <c r="U36" s="388" t="str">
        <f ca="1">IF(OR(Calc1!$F$14&lt;3,AG39=1),"",IF(CalcE3!$K$13=0,CalcE3!$C65,VLOOKUP(CalcE3!$B7,CalcE3!$C$4:$N$12,4,0)))</f>
        <v>FC Grönlingen</v>
      </c>
      <c r="V36" s="233">
        <f ca="1">IF(CalcE3!$K$13=0,"",VLOOKUP(CalcE3!$B$7,CalcE3!$C$4:$N$12,9,0))</f>
        <v>3</v>
      </c>
      <c r="W36" s="227">
        <f ca="1">IF(CalcE3!$K$13=0,"",VLOOKUP(CalcE3!$B$7,CalcE3!$C$4:$N$12,10,0))</f>
        <v>0</v>
      </c>
      <c r="X36" s="227">
        <f ca="1">IF(CalcE3!$K$13=0,"",VLOOKUP(CalcE3!$B$7,CalcE3!$C$4:$N$12,11,0))</f>
        <v>2</v>
      </c>
      <c r="Y36" s="227">
        <f ca="1">IF(CalcE3!$K$13=0,"",VLOOKUP(CalcE3!$B$7,CalcE3!$C$4:$N$12,12,0))</f>
        <v>1</v>
      </c>
      <c r="Z36" s="614">
        <f ca="1">IF(CalcE3!$K$13=0,"",VLOOKUP(CalcE3!$B$7,CalcE3!$C$4:$N$12,5,0))</f>
        <v>124</v>
      </c>
      <c r="AA36" s="615" t="str">
        <f>Sprache!$E$90</f>
        <v>:</v>
      </c>
      <c r="AB36" s="441">
        <f ca="1">IF(CalcE3!$K$13=0,"",VLOOKUP(CalcE3!$B$7,CalcE3!$C$4:$N$12,6,0))</f>
        <v>138</v>
      </c>
      <c r="AC36" s="227">
        <f ca="1">IF(CalcE3!$K$13=0,"",IF(VLOOKUP(CalcE3!B7,CalcE3!$C$4:$AR$12,42,0)=Einstellungen!$F$7,"max",VLOOKUP(CalcE3!B7,CalcE3!$C$4:$AR$12,42,0)))</f>
        <v>-14</v>
      </c>
      <c r="AD36" s="232">
        <f ca="1">IF(CalcE3!$K$13=0,"",VLOOKUP(CalcE3!$B$7,CalcE3!$C$4:$N$12,8,0))</f>
        <v>2</v>
      </c>
      <c r="AF36" s="414" t="s">
        <v>330</v>
      </c>
      <c r="AG36" s="475" t="str">
        <f ca="1">IF(Vorrunde!$R$44="","",Vorrunde!$R$44)</f>
        <v>SV Oberredenburg</v>
      </c>
      <c r="AH36" s="716"/>
      <c r="AI36" s="719">
        <f ca="1">IF($AG36="",0,COUNTIF(TieBreak!$U$25:$U$30,$AG36))</f>
        <v>0</v>
      </c>
      <c r="AJ36" s="292"/>
    </row>
    <row r="37" spans="2:36" ht="24" customHeight="1" thickTop="1" x14ac:dyDescent="0.2">
      <c r="B37" s="528">
        <f t="array" aca="1" ref="B37" ca="1">ROW(86:86)-SUM(((Planung!$L$6:$L$65="")+(Planung!$N$6:$N$65="")&gt;0)*1)-SUM((($H$12:$H36="")+($J$12:$J36="")&gt;0)*1)</f>
        <v>61</v>
      </c>
      <c r="C37" s="173">
        <f t="array" aca="1" ref="C37" ca="1">IF(Planung!$V$15,"",$C$12+QUOTIENT(($B37-$B$12),Planung!$V$11)*(Planung!$S$7+Planung!$S$9)/1440+SUM($R$12:$R36)/1440)</f>
        <v>0.73958333333333337</v>
      </c>
      <c r="D37" s="175">
        <f ca="1">IF(Planung!$V$15,"",MOD($B37-$B$12,Planung!$V$11)+1)</f>
        <v>1</v>
      </c>
      <c r="E37" s="424" t="s">
        <v>332</v>
      </c>
      <c r="F37" s="425" t="s">
        <v>4</v>
      </c>
      <c r="G37" s="426" t="s">
        <v>284</v>
      </c>
      <c r="H37" s="516" t="str">
        <f t="shared" ca="1" si="0"/>
        <v>HSV</v>
      </c>
      <c r="I37" s="517"/>
      <c r="J37" s="518" t="str">
        <f t="shared" ca="1" si="1"/>
        <v>FC Barcelona</v>
      </c>
      <c r="K37" s="431">
        <v>19</v>
      </c>
      <c r="L37" s="432" t="str">
        <f>Sprache!$E$90</f>
        <v>:</v>
      </c>
      <c r="M37" s="513">
        <v>25</v>
      </c>
      <c r="N37" s="239">
        <v>25</v>
      </c>
      <c r="O37" s="730" t="str">
        <f>Sprache!$E$90</f>
        <v>:</v>
      </c>
      <c r="P37" s="706">
        <v>18</v>
      </c>
      <c r="Q37" s="349"/>
      <c r="R37" s="776"/>
      <c r="AG37" s="627">
        <f t="array" aca="1" ref="AG37" ca="1">SUM((AG33:AG36&lt;&gt;"")*1)</f>
        <v>4</v>
      </c>
      <c r="AH37" s="627"/>
      <c r="AI37" s="292"/>
    </row>
    <row r="38" spans="2:36" ht="24" customHeight="1" thickBot="1" x14ac:dyDescent="0.45">
      <c r="B38" s="528">
        <f t="array" aca="1" ref="B38" ca="1">ROW(87:87)-SUM(((Planung!$L$6:$L$65="")+(Planung!$N$6:$N$65="")&gt;0)*1)-SUM((($H$12:$H37="")+($J$12:$J37="")&gt;0)*1)</f>
        <v>62</v>
      </c>
      <c r="C38" s="173">
        <f t="array" aca="1" ref="C38" ca="1">IF(Planung!$V$15,"",$C$12+QUOTIENT(($B38-$B$12),Planung!$V$11)*(Planung!$S$7+Planung!$S$9)/1440+SUM($R$12:$R37)/1440)</f>
        <v>0.73958333333333337</v>
      </c>
      <c r="D38" s="175">
        <f ca="1">IF(Planung!$V$15,"",MOD($B38-$B$12,Planung!$V$11)+1)</f>
        <v>2</v>
      </c>
      <c r="E38" s="424" t="s">
        <v>331</v>
      </c>
      <c r="F38" s="425" t="s">
        <v>4</v>
      </c>
      <c r="G38" s="426" t="s">
        <v>281</v>
      </c>
      <c r="H38" s="516" t="str">
        <f t="shared" ca="1" si="0"/>
        <v>RB Leipzig</v>
      </c>
      <c r="I38" s="517"/>
      <c r="J38" s="518" t="str">
        <f t="shared" ca="1" si="1"/>
        <v>Maibach 1822 eV</v>
      </c>
      <c r="K38" s="431">
        <v>22</v>
      </c>
      <c r="L38" s="432" t="str">
        <f>Sprache!$E$90</f>
        <v>:</v>
      </c>
      <c r="M38" s="513">
        <v>25</v>
      </c>
      <c r="N38" s="239">
        <v>25</v>
      </c>
      <c r="O38" s="730" t="str">
        <f>Sprache!$E$90</f>
        <v>:</v>
      </c>
      <c r="P38" s="706">
        <v>19</v>
      </c>
      <c r="Q38" s="349"/>
      <c r="R38" s="776"/>
      <c r="T38" s="958" t="str">
        <f>Sprache!$E$60</f>
        <v>Gruppenzweite</v>
      </c>
      <c r="U38" s="958"/>
      <c r="V38" s="958"/>
      <c r="W38" s="958"/>
      <c r="X38" s="958"/>
      <c r="Y38" s="958"/>
      <c r="Z38" s="198"/>
      <c r="AA38" s="198"/>
      <c r="AB38" s="198"/>
      <c r="AC38" s="198"/>
      <c r="AD38" s="198"/>
      <c r="AF38" s="843" t="str">
        <f>Sprache!$E$60</f>
        <v>Gruppenzweite</v>
      </c>
      <c r="AG38" s="843"/>
      <c r="AH38" s="691"/>
      <c r="AI38" s="292"/>
    </row>
    <row r="39" spans="2:36" ht="24" customHeight="1" thickTop="1" thickBot="1" x14ac:dyDescent="0.25">
      <c r="B39" s="528">
        <f t="array" aca="1" ref="B39" ca="1">ROW(88:88)-SUM(((Planung!$L$6:$L$65="")+(Planung!$N$6:$N$65="")&gt;0)*1)-SUM((($H$12:$H38="")+($J$12:$J38="")&gt;0)*1)</f>
        <v>63</v>
      </c>
      <c r="C39" s="173">
        <f t="array" aca="1" ref="C39" ca="1">IF(Planung!$V$15,"",$C$12+QUOTIENT(($B39-$B$12),Planung!$V$11)*(Planung!$S$7+Planung!$S$9)/1440+SUM($R$12:$R38)/1440)</f>
        <v>0.73958333333333337</v>
      </c>
      <c r="D39" s="175">
        <f ca="1">IF(Planung!$V$15,"",MOD($B39-$B$12,Planung!$V$11)+1)</f>
        <v>3</v>
      </c>
      <c r="E39" s="424" t="s">
        <v>330</v>
      </c>
      <c r="F39" s="425" t="s">
        <v>4</v>
      </c>
      <c r="G39" s="426" t="s">
        <v>278</v>
      </c>
      <c r="H39" s="516" t="str">
        <f t="shared" ca="1" si="0"/>
        <v>SV Oberredenburg</v>
      </c>
      <c r="I39" s="517"/>
      <c r="J39" s="518" t="str">
        <f t="shared" ca="1" si="1"/>
        <v>Eintracht Frankfurt</v>
      </c>
      <c r="K39" s="431">
        <v>19</v>
      </c>
      <c r="L39" s="432" t="str">
        <f>Sprache!$E$90</f>
        <v>:</v>
      </c>
      <c r="M39" s="513">
        <v>25</v>
      </c>
      <c r="N39" s="239">
        <v>25</v>
      </c>
      <c r="O39" s="730" t="str">
        <f>Sprache!$E$90</f>
        <v>:</v>
      </c>
      <c r="P39" s="706">
        <v>20</v>
      </c>
      <c r="Q39" s="349"/>
      <c r="R39" s="776"/>
      <c r="T39" s="956"/>
      <c r="U39" s="957"/>
      <c r="V39" s="593" t="str">
        <f>Sprache!$E$21</f>
        <v>SP</v>
      </c>
      <c r="W39" s="201" t="str">
        <f>Sprache!$E$22</f>
        <v>G</v>
      </c>
      <c r="X39" s="201" t="str">
        <f>Sprache!$E$23</f>
        <v>U</v>
      </c>
      <c r="Y39" s="592" t="str">
        <f>Sprache!$E$24</f>
        <v>V</v>
      </c>
      <c r="Z39" s="849" t="str">
        <f>Sprache!$E$74</f>
        <v>Bälle</v>
      </c>
      <c r="AA39" s="850"/>
      <c r="AB39" s="851"/>
      <c r="AC39" s="201" t="str">
        <f>IF(Einstellungen!$G$7,Sprache!$E$26,Sprache!$E$80)</f>
        <v>Diff.</v>
      </c>
      <c r="AD39" s="203" t="str">
        <f>Sprache!$E$27</f>
        <v>Pkt</v>
      </c>
      <c r="AF39" s="443"/>
      <c r="AG39" s="472" t="str">
        <f>Sprache!$E$10</f>
        <v>Teilnehmer bzw. Mannschaft</v>
      </c>
      <c r="AH39" s="711"/>
      <c r="AI39" s="715"/>
    </row>
    <row r="40" spans="2:36" ht="24" customHeight="1" x14ac:dyDescent="0.2">
      <c r="B40" s="528">
        <f t="array" aca="1" ref="B40" ca="1">ROW(89:89)-SUM(((Planung!$L$6:$L$65="")+(Planung!$N$6:$N$65="")&gt;0)*1)-SUM((($H$12:$H39="")+($J$12:$J39="")&gt;0)*1)</f>
        <v>64</v>
      </c>
      <c r="C40" s="173">
        <f t="array" aca="1" ref="C40" ca="1">IF(Planung!$V$15,"",$C$12+QUOTIENT(($B40-$B$12),Planung!$V$11)*(Planung!$S$7+Planung!$S$9)/1440+SUM($R$12:$R39)/1440)</f>
        <v>0.73958333333333337</v>
      </c>
      <c r="D40" s="175">
        <f ca="1">IF(Planung!$V$15,"",MOD($B40-$B$12,Planung!$V$11)+1)</f>
        <v>4</v>
      </c>
      <c r="E40" s="424" t="s">
        <v>329</v>
      </c>
      <c r="F40" s="425" t="s">
        <v>4</v>
      </c>
      <c r="G40" s="426" t="s">
        <v>275</v>
      </c>
      <c r="H40" s="516" t="str">
        <f t="shared" ca="1" si="0"/>
        <v>Paris St. Germain</v>
      </c>
      <c r="I40" s="517"/>
      <c r="J40" s="518" t="str">
        <f t="shared" ca="1" si="1"/>
        <v>VFB Essenheim</v>
      </c>
      <c r="K40" s="431">
        <v>17</v>
      </c>
      <c r="L40" s="432" t="str">
        <f>Sprache!$E$90</f>
        <v>:</v>
      </c>
      <c r="M40" s="513">
        <v>25</v>
      </c>
      <c r="N40" s="239">
        <v>17</v>
      </c>
      <c r="O40" s="730" t="str">
        <f>Sprache!$E$90</f>
        <v>:</v>
      </c>
      <c r="P40" s="706">
        <v>21</v>
      </c>
      <c r="Q40" s="349"/>
      <c r="R40" s="776"/>
      <c r="T40" s="616">
        <f ca="1">IF(CalcE2!$K$13=0,"",1)</f>
        <v>1</v>
      </c>
      <c r="U40" s="384" t="str">
        <f ca="1">IF(Calc1!$F$14&lt;3,"",IF(AND(CalcE2!$K$13=0,AG44&lt;&gt;1),CalcE2!$C$62,VLOOKUP(CalcE2!$B$4,CalcE2!$C$4:$N$12,4,0)))</f>
        <v>VFB Essenheim</v>
      </c>
      <c r="V40" s="607">
        <f ca="1">IF(CalcE2!$K$13=0,"",VLOOKUP(CalcE2!$B$4,CalcE2!$C$4:$N$12,9,0))</f>
        <v>3</v>
      </c>
      <c r="W40" s="207">
        <f ca="1">IF(CalcE2!$K$13=0,"",VLOOKUP(CalcE2!$B$4,CalcE2!$C$4:$N$12,10,0))</f>
        <v>3</v>
      </c>
      <c r="X40" s="207">
        <f ca="1">IF(CalcE2!$K$13=0,"",VLOOKUP(CalcE2!$B$4,CalcE2!$C$4:$N$12,11,0))</f>
        <v>0</v>
      </c>
      <c r="Y40" s="207">
        <f ca="1">IF(CalcE2!$K$13=0,"",VLOOKUP(CalcE2!$B$4,CalcE2!$C$4:$N$12,12,0))</f>
        <v>0</v>
      </c>
      <c r="Z40" s="610">
        <f ca="1">IF(CalcE2!$K$13=0,"",VLOOKUP(CalcE2!$B$4,CalcE2!$C$4:$N$12,5,0))</f>
        <v>146</v>
      </c>
      <c r="AA40" s="611" t="str">
        <f>Sprache!$E$90</f>
        <v>:</v>
      </c>
      <c r="AB40" s="608">
        <f ca="1">IF(CalcE2!$K$13=0,"",VLOOKUP(CalcE2!$B$4,CalcE2!$C$4:$N$12,6,0))</f>
        <v>106</v>
      </c>
      <c r="AC40" s="207">
        <f ca="1">IF(CalcE2!$K$13=0,"",IF(VLOOKUP(CalcE2!B4,CalcE2!$C$4:$AR$12,42,0)=Einstellungen!$F$7,"max",VLOOKUP(CalcE2!B4,CalcE2!$C$4:$AR$12,42,0)))</f>
        <v>40</v>
      </c>
      <c r="AD40" s="212">
        <f ca="1">IF(CalcE2!$K$13=0,"",VLOOKUP(CalcE2!$B$4,CalcE2!$C$4:$N$12,8,0))</f>
        <v>6</v>
      </c>
      <c r="AF40" s="591" t="s">
        <v>275</v>
      </c>
      <c r="AG40" s="473" t="str">
        <f ca="1">IF(Vorrunde!$R$13="","",Vorrunde!$R$13)</f>
        <v>VFB Essenheim</v>
      </c>
      <c r="AH40" s="716"/>
      <c r="AI40" s="717">
        <f ca="1">IF($AG40="",0,COUNTIF(TieBreak!$U$25:$U$30,$AG40))</f>
        <v>0</v>
      </c>
    </row>
    <row r="41" spans="2:36" ht="24" customHeight="1" x14ac:dyDescent="0.2">
      <c r="B41" s="528">
        <f t="array" aca="1" ref="B41" ca="1">ROW(90:90)-SUM(((Planung!$L$6:$L$65="")+(Planung!$N$6:$N$65="")&gt;0)*1)-SUM((($H$12:$H40="")+($J$12:$J40="")&gt;0)*1)</f>
        <v>65</v>
      </c>
      <c r="C41" s="173">
        <f t="array" aca="1" ref="C41" ca="1">IF(Planung!$V$15,"",$C$12+QUOTIENT(($B41-$B$12),Planung!$V$11)*(Planung!$S$7+Planung!$S$9)/1440+SUM($R$12:$R40)/1440)</f>
        <v>0.76388888888888895</v>
      </c>
      <c r="D41" s="175">
        <f ca="1">IF(Planung!$V$15,"",MOD($B41-$B$12,Planung!$V$11)+1)</f>
        <v>1</v>
      </c>
      <c r="E41" s="424" t="s">
        <v>328</v>
      </c>
      <c r="F41" s="425" t="s">
        <v>4</v>
      </c>
      <c r="G41" s="426" t="s">
        <v>272</v>
      </c>
      <c r="H41" s="516" t="str">
        <f t="shared" ca="1" si="0"/>
        <v>TSG Saalberg eV</v>
      </c>
      <c r="I41" s="517"/>
      <c r="J41" s="518" t="str">
        <f t="shared" ca="1" si="1"/>
        <v>1. FC Riedwald</v>
      </c>
      <c r="K41" s="431">
        <v>14</v>
      </c>
      <c r="L41" s="432" t="str">
        <f>Sprache!$E$90</f>
        <v>:</v>
      </c>
      <c r="M41" s="513">
        <v>25</v>
      </c>
      <c r="N41" s="239">
        <v>25</v>
      </c>
      <c r="O41" s="730" t="str">
        <f>Sprache!$E$90</f>
        <v>:</v>
      </c>
      <c r="P41" s="706">
        <v>22</v>
      </c>
      <c r="Q41" s="349"/>
      <c r="R41" s="776"/>
      <c r="T41" s="617">
        <f ca="1">IF(CalcE2!$K$13=0,"",IF(VLOOKUP(CalcE2!$B$5,CalcE2!$C$4:$E$12,3,0)=MAX($T40:$T40),VLOOKUP(CalcE2!$B$5,CalcE2!$C$4:$E$12,3,0),CalcE2!$B$5))</f>
        <v>2</v>
      </c>
      <c r="U41" s="386" t="str">
        <f ca="1">IF(OR(Calc1!$F$14&lt;3,AG44=1),"",IF(CalcE2!$K$13=0,CalcE2!$C63,VLOOKUP(CalcE2!$B5,CalcE2!$C$4:$N$12,4,0)))</f>
        <v>SSV Wildbach</v>
      </c>
      <c r="V41" s="222">
        <f ca="1">IF(CalcE2!$K$13=0,"",VLOOKUP(CalcE2!$B$5,CalcE2!$C$4:$N$12,9,0))</f>
        <v>3</v>
      </c>
      <c r="W41" s="197">
        <f ca="1">IF(CalcE2!$K$13=0,"",VLOOKUP(CalcE2!$B$5,CalcE2!$C$4:$N$12,10,0))</f>
        <v>1</v>
      </c>
      <c r="X41" s="197">
        <f ca="1">IF(CalcE2!$K$13=0,"",VLOOKUP(CalcE2!$B$5,CalcE2!$C$4:$N$12,11,0))</f>
        <v>1</v>
      </c>
      <c r="Y41" s="197">
        <f ca="1">IF(CalcE2!$K$13=0,"",VLOOKUP(CalcE2!$B$5,CalcE2!$C$4:$N$12,12,0))</f>
        <v>1</v>
      </c>
      <c r="Z41" s="612">
        <f ca="1">IF(CalcE2!$K$13=0,"",VLOOKUP(CalcE2!$B$5,CalcE2!$C$4:$N$12,5,0))</f>
        <v>138</v>
      </c>
      <c r="AA41" s="613" t="str">
        <f>Sprache!$E$90</f>
        <v>:</v>
      </c>
      <c r="AB41" s="439">
        <f ca="1">IF(CalcE2!$K$13=0,"",VLOOKUP(CalcE2!$B$5,CalcE2!$C$4:$N$12,6,0))</f>
        <v>133</v>
      </c>
      <c r="AC41" s="197">
        <f ca="1">IF(CalcE2!$K$13=0,"",IF(VLOOKUP(CalcE2!B5,CalcE2!$C$4:$AR$12,42,0)=Einstellungen!$F$7,"max",VLOOKUP(CalcE2!B5,CalcE2!$C$4:$AR$12,42,0)))</f>
        <v>5</v>
      </c>
      <c r="AD41" s="221">
        <f ca="1">IF(CalcE2!$K$13=0,"",VLOOKUP(CalcE2!$B$5,CalcE2!$C$4:$N$12,8,0))</f>
        <v>3</v>
      </c>
      <c r="AF41" s="442" t="s">
        <v>276</v>
      </c>
      <c r="AG41" s="474" t="str">
        <f ca="1">IF(Vorrunde!$R$23="","",Vorrunde!$R$23)</f>
        <v>SSV Wildbach</v>
      </c>
      <c r="AH41" s="716"/>
      <c r="AI41" s="718">
        <f ca="1">IF($AG41="",0,COUNTIF(TieBreak!$U$25:$U$30,$AG41))</f>
        <v>0</v>
      </c>
    </row>
    <row r="42" spans="2:36" ht="24" customHeight="1" x14ac:dyDescent="0.2">
      <c r="B42" s="528">
        <f t="array" aca="1" ref="B42" ca="1">ROW(91:91)-SUM(((Planung!$L$6:$L$65="")+(Planung!$N$6:$N$65="")&gt;0)*1)-SUM((($H$12:$H41="")+($J$12:$J41="")&gt;0)*1)</f>
        <v>66</v>
      </c>
      <c r="C42" s="173">
        <f t="array" aca="1" ref="C42" ca="1">IF(Planung!$V$15,"",$C$12+QUOTIENT(($B42-$B$12),Planung!$V$11)*(Planung!$S$7+Planung!$S$9)/1440+SUM($R$12:$R41)/1440)</f>
        <v>0.76388888888888895</v>
      </c>
      <c r="D42" s="175">
        <f ca="1">IF(Planung!$V$15,"",MOD($B42-$B$12,Planung!$V$11)+1)</f>
        <v>2</v>
      </c>
      <c r="E42" s="424" t="s">
        <v>288</v>
      </c>
      <c r="F42" s="425" t="s">
        <v>4</v>
      </c>
      <c r="G42" s="426" t="s">
        <v>289</v>
      </c>
      <c r="H42" s="516" t="str">
        <f t="shared" ca="1" si="0"/>
        <v/>
      </c>
      <c r="I42" s="517"/>
      <c r="J42" s="518" t="str">
        <f t="shared" ca="1" si="1"/>
        <v/>
      </c>
      <c r="K42" s="431"/>
      <c r="L42" s="432" t="str">
        <f>Sprache!$E$90</f>
        <v>:</v>
      </c>
      <c r="M42" s="513"/>
      <c r="N42" s="239"/>
      <c r="O42" s="730" t="str">
        <f>Sprache!$E$90</f>
        <v>:</v>
      </c>
      <c r="P42" s="706"/>
      <c r="Q42" s="349"/>
      <c r="R42" s="776"/>
      <c r="T42" s="617">
        <f ca="1">IF(CalcE2!$K$13=0,"",IF(VLOOKUP(CalcE2!$B$6,CalcE2!$C$4:$E$12,3,0)=MAX($T40:$T41),VLOOKUP(CalcE2!$B$6,CalcE2!$C$4:$E$12,3,0),CalcE2!$B$6))</f>
        <v>3</v>
      </c>
      <c r="U42" s="386" t="str">
        <f ca="1">IF(OR(Calc1!$F$14&lt;3,AG45=1),"",IF(CalcE2!$K$13=0,CalcE2!$C64,VLOOKUP(CalcE2!$B6,CalcE2!$C$4:$N$12,4,0)))</f>
        <v>Paris St. Germain</v>
      </c>
      <c r="V42" s="222">
        <f ca="1">IF(CalcE2!$K$13=0,"",VLOOKUP(CalcE2!$B$6,CalcE2!$C$4:$N$12,9,0))</f>
        <v>3</v>
      </c>
      <c r="W42" s="197">
        <f ca="1">IF(CalcE2!$K$13=0,"",VLOOKUP(CalcE2!$B$6,CalcE2!$C$4:$N$12,10,0))</f>
        <v>0</v>
      </c>
      <c r="X42" s="197">
        <f ca="1">IF(CalcE2!$K$13=0,"",VLOOKUP(CalcE2!$B$6,CalcE2!$C$4:$N$12,11,0))</f>
        <v>2</v>
      </c>
      <c r="Y42" s="197">
        <f ca="1">IF(CalcE2!$K$13=0,"",VLOOKUP(CalcE2!$B$6,CalcE2!$C$4:$N$12,12,0))</f>
        <v>1</v>
      </c>
      <c r="Z42" s="612">
        <f ca="1">IF(CalcE2!$K$13=0,"",VLOOKUP(CalcE2!$B$6,CalcE2!$C$4:$N$12,5,0))</f>
        <v>118</v>
      </c>
      <c r="AA42" s="613" t="str">
        <f>Sprache!$E$90</f>
        <v>:</v>
      </c>
      <c r="AB42" s="439">
        <f ca="1">IF(CalcE2!$K$13=0,"",VLOOKUP(CalcE2!$B$6,CalcE2!$C$4:$N$12,6,0))</f>
        <v>138</v>
      </c>
      <c r="AC42" s="197">
        <f ca="1">IF(CalcE2!$K$13=0,"",IF(VLOOKUP(CalcE2!B6,CalcE2!$C$4:$AR$12,42,0)=Einstellungen!$F$7,"max",VLOOKUP(CalcE2!B6,CalcE2!$C$4:$AR$12,42,0)))</f>
        <v>-20</v>
      </c>
      <c r="AD42" s="221">
        <f ca="1">IF(CalcE2!$K$13=0,"",VLOOKUP(CalcE2!$B$6,CalcE2!$C$4:$N$12,8,0))</f>
        <v>2</v>
      </c>
      <c r="AF42" s="590" t="s">
        <v>277</v>
      </c>
      <c r="AG42" s="474" t="str">
        <f ca="1">IF(Vorrunde!$R$33="","",Vorrunde!$R$33)</f>
        <v>FSV Rauen</v>
      </c>
      <c r="AH42" s="716"/>
      <c r="AI42" s="718">
        <f ca="1">IF($AG42="",0,COUNTIF(TieBreak!$U$25:$U$30,$AG42))</f>
        <v>0</v>
      </c>
    </row>
    <row r="43" spans="2:36" ht="24" customHeight="1" thickBot="1" x14ac:dyDescent="0.25">
      <c r="B43" s="528">
        <f t="array" aca="1" ref="B43" ca="1">ROW(92:92)-SUM(((Planung!$L$6:$L$65="")+(Planung!$N$6:$N$65="")&gt;0)*1)-SUM((($H$12:$H42="")+($J$12:$J42="")&gt;0)*1)</f>
        <v>66</v>
      </c>
      <c r="C43" s="173">
        <f t="array" aca="1" ref="C43" ca="1">IF(Planung!$V$15,"",$C$12+QUOTIENT(($B43-$B$12),Planung!$V$11)*(Planung!$S$7+Planung!$S$9)/1440+SUM($R$12:$R42)/1440)</f>
        <v>0.76388888888888895</v>
      </c>
      <c r="D43" s="175">
        <f ca="1">IF(Planung!$V$15,"",MOD($B43-$B$12,Planung!$V$11)+1)</f>
        <v>2</v>
      </c>
      <c r="E43" s="424" t="s">
        <v>285</v>
      </c>
      <c r="F43" s="425" t="s">
        <v>4</v>
      </c>
      <c r="G43" s="426" t="s">
        <v>286</v>
      </c>
      <c r="H43" s="516" t="str">
        <f t="shared" ca="1" si="0"/>
        <v>Manchester City</v>
      </c>
      <c r="I43" s="517"/>
      <c r="J43" s="518" t="str">
        <f t="shared" ca="1" si="1"/>
        <v>Real Madrid</v>
      </c>
      <c r="K43" s="431">
        <v>19</v>
      </c>
      <c r="L43" s="432" t="str">
        <f>Sprache!$E$90</f>
        <v>:</v>
      </c>
      <c r="M43" s="513">
        <v>25</v>
      </c>
      <c r="N43" s="239">
        <v>25</v>
      </c>
      <c r="O43" s="730" t="str">
        <f>Sprache!$E$90</f>
        <v>:</v>
      </c>
      <c r="P43" s="706">
        <v>17</v>
      </c>
      <c r="Q43" s="349"/>
      <c r="R43" s="776"/>
      <c r="T43" s="618">
        <f ca="1">IF(CalcE2!$K$13=0,"",IF(VLOOKUP(CalcE2!$B$7,CalcE2!$C$4:$E$12,3,0)=MAX($T40:$T42),VLOOKUP(CalcE2!$B$7,CalcE2!$C$4:$E$12,3,0),CalcE2!$B$7))</f>
        <v>4</v>
      </c>
      <c r="U43" s="388" t="str">
        <f ca="1">IF(OR(Calc1!$F$14&lt;3,AG46=1),"",IF(CalcE2!$K$13=0,CalcE2!$C65,VLOOKUP(CalcE2!$B7,CalcE2!$C$4:$N$12,4,0)))</f>
        <v>FSV Rauen</v>
      </c>
      <c r="V43" s="233">
        <f ca="1">IF(CalcE2!$K$13=0,"",VLOOKUP(CalcE2!$B$7,CalcE2!$C$4:$N$12,9,0))</f>
        <v>3</v>
      </c>
      <c r="W43" s="227">
        <f ca="1">IF(CalcE2!$K$13=0,"",VLOOKUP(CalcE2!$B$7,CalcE2!$C$4:$N$12,10,0))</f>
        <v>0</v>
      </c>
      <c r="X43" s="227">
        <f ca="1">IF(CalcE2!$K$13=0,"",VLOOKUP(CalcE2!$B$7,CalcE2!$C$4:$N$12,11,0))</f>
        <v>1</v>
      </c>
      <c r="Y43" s="227">
        <f ca="1">IF(CalcE2!$K$13=0,"",VLOOKUP(CalcE2!$B$7,CalcE2!$C$4:$N$12,12,0))</f>
        <v>2</v>
      </c>
      <c r="Z43" s="614">
        <f ca="1">IF(CalcE2!$K$13=0,"",VLOOKUP(CalcE2!$B$7,CalcE2!$C$4:$N$12,5,0))</f>
        <v>117</v>
      </c>
      <c r="AA43" s="615" t="str">
        <f>Sprache!$E$90</f>
        <v>:</v>
      </c>
      <c r="AB43" s="441">
        <f ca="1">IF(CalcE2!$K$13=0,"",VLOOKUP(CalcE2!$B$7,CalcE2!$C$4:$N$12,6,0))</f>
        <v>142</v>
      </c>
      <c r="AC43" s="227">
        <f ca="1">IF(CalcE2!$K$13=0,"",IF(VLOOKUP(CalcE2!B7,CalcE2!$C$4:$AR$12,42,0)=Einstellungen!$F$7,"max",VLOOKUP(CalcE2!B7,CalcE2!$C$4:$AR$12,42,0)))</f>
        <v>-25</v>
      </c>
      <c r="AD43" s="232">
        <f ca="1">IF(CalcE2!$K$13=0,"",VLOOKUP(CalcE2!$B$7,CalcE2!$C$4:$N$12,8,0))</f>
        <v>1</v>
      </c>
      <c r="AF43" s="414" t="s">
        <v>329</v>
      </c>
      <c r="AG43" s="475" t="str">
        <f ca="1">IF(Vorrunde!$R$43="","",Vorrunde!$R$43)</f>
        <v>Paris St. Germain</v>
      </c>
      <c r="AH43" s="716"/>
      <c r="AI43" s="719">
        <f ca="1">IF($AG43="",0,COUNTIF(TieBreak!$U$25:$U$30,$AG43))</f>
        <v>0</v>
      </c>
    </row>
    <row r="44" spans="2:36" ht="24" customHeight="1" thickTop="1" x14ac:dyDescent="0.2">
      <c r="B44" s="528">
        <f t="array" aca="1" ref="B44" ca="1">ROW(93:93)-SUM(((Planung!$L$6:$L$65="")+(Planung!$N$6:$N$65="")&gt;0)*1)-SUM((($H$12:$H43="")+($J$12:$J43="")&gt;0)*1)</f>
        <v>67</v>
      </c>
      <c r="C44" s="173">
        <f t="array" aca="1" ref="C44" ca="1">IF(Planung!$V$15,"",$C$12+QUOTIENT(($B44-$B$12),Planung!$V$11)*(Planung!$S$7+Planung!$S$9)/1440+SUM($R$12:$R43)/1440)</f>
        <v>0.76388888888888895</v>
      </c>
      <c r="D44" s="175">
        <f ca="1">IF(Planung!$V$15,"",MOD($B44-$B$12,Planung!$V$11)+1)</f>
        <v>3</v>
      </c>
      <c r="E44" s="424" t="s">
        <v>282</v>
      </c>
      <c r="F44" s="425" t="s">
        <v>4</v>
      </c>
      <c r="G44" s="426" t="s">
        <v>283</v>
      </c>
      <c r="H44" s="516" t="str">
        <f t="shared" ca="1" si="0"/>
        <v>Inter Mailand</v>
      </c>
      <c r="I44" s="517"/>
      <c r="J44" s="518" t="str">
        <f t="shared" ca="1" si="1"/>
        <v>1. FC Nürnberg</v>
      </c>
      <c r="K44" s="431">
        <v>17</v>
      </c>
      <c r="L44" s="432" t="str">
        <f>Sprache!$E$90</f>
        <v>:</v>
      </c>
      <c r="M44" s="513">
        <v>25</v>
      </c>
      <c r="N44" s="239">
        <v>25</v>
      </c>
      <c r="O44" s="730" t="str">
        <f>Sprache!$E$90</f>
        <v>:</v>
      </c>
      <c r="P44" s="706">
        <v>18</v>
      </c>
      <c r="Q44" s="349"/>
      <c r="R44" s="776"/>
      <c r="AG44" s="627">
        <f t="array" aca="1" ref="AG44" ca="1">SUM((AG40:AG43&lt;&gt;"")*1)</f>
        <v>4</v>
      </c>
      <c r="AH44" s="627"/>
      <c r="AI44" s="470"/>
    </row>
    <row r="45" spans="2:36" ht="24" customHeight="1" thickBot="1" x14ac:dyDescent="0.45">
      <c r="B45" s="528">
        <f t="array" aca="1" ref="B45" ca="1">ROW(94:94)-SUM(((Planung!$L$6:$L$65="")+(Planung!$N$6:$N$65="")&gt;0)*1)-SUM((($H$12:$H44="")+($J$12:$J44="")&gt;0)*1)</f>
        <v>68</v>
      </c>
      <c r="C45" s="173">
        <f t="array" aca="1" ref="C45" ca="1">IF(Planung!$V$15,"",$C$12+QUOTIENT(($B45-$B$12),Planung!$V$11)*(Planung!$S$7+Planung!$S$9)/1440+SUM($R$12:$R44)/1440)</f>
        <v>0.76388888888888895</v>
      </c>
      <c r="D45" s="175">
        <f ca="1">IF(Planung!$V$15,"",MOD($B45-$B$12,Planung!$V$11)+1)</f>
        <v>4</v>
      </c>
      <c r="E45" s="424" t="s">
        <v>279</v>
      </c>
      <c r="F45" s="425" t="s">
        <v>4</v>
      </c>
      <c r="G45" s="426" t="s">
        <v>280</v>
      </c>
      <c r="H45" s="516" t="str">
        <f t="shared" ca="1" si="0"/>
        <v>FC Grönlingen</v>
      </c>
      <c r="I45" s="517"/>
      <c r="J45" s="518" t="str">
        <f t="shared" ca="1" si="1"/>
        <v>Borussia Dortmund</v>
      </c>
      <c r="K45" s="431">
        <v>14</v>
      </c>
      <c r="L45" s="432" t="str">
        <f>Sprache!$E$90</f>
        <v>:</v>
      </c>
      <c r="M45" s="513">
        <v>25</v>
      </c>
      <c r="N45" s="239">
        <v>25</v>
      </c>
      <c r="O45" s="730" t="str">
        <f>Sprache!$E$90</f>
        <v>:</v>
      </c>
      <c r="P45" s="706">
        <v>19</v>
      </c>
      <c r="Q45" s="349"/>
      <c r="R45" s="776"/>
      <c r="T45" s="958" t="str">
        <f>Sprache!$E$59</f>
        <v>Gruppenerste</v>
      </c>
      <c r="U45" s="958"/>
      <c r="V45" s="958"/>
      <c r="W45" s="958"/>
      <c r="X45" s="958"/>
      <c r="Y45" s="958"/>
      <c r="Z45" s="198"/>
      <c r="AA45" s="198"/>
      <c r="AB45" s="198"/>
      <c r="AC45" s="198"/>
      <c r="AD45" s="198"/>
      <c r="AF45" s="843" t="str">
        <f>Sprache!$E$59</f>
        <v>Gruppenerste</v>
      </c>
      <c r="AG45" s="843"/>
      <c r="AH45" s="691"/>
      <c r="AI45" s="470"/>
    </row>
    <row r="46" spans="2:36" ht="24" customHeight="1" thickTop="1" thickBot="1" x14ac:dyDescent="0.25">
      <c r="B46" s="528">
        <f t="array" aca="1" ref="B46" ca="1">ROW(95:95)-SUM(((Planung!$L$6:$L$65="")+(Planung!$N$6:$N$65="")&gt;0)*1)-SUM((($H$12:$H45="")+($J$12:$J45="")&gt;0)*1)</f>
        <v>69</v>
      </c>
      <c r="C46" s="173">
        <f t="array" aca="1" ref="C46" ca="1">IF(Planung!$V$15,"",$C$12+QUOTIENT(($B46-$B$12),Planung!$V$11)*(Planung!$S$7+Planung!$S$9)/1440+SUM($R$12:$R45)/1440)</f>
        <v>0.78819444444444442</v>
      </c>
      <c r="D46" s="175">
        <f ca="1">IF(Planung!$V$15,"",MOD($B46-$B$12,Planung!$V$11)+1)</f>
        <v>1</v>
      </c>
      <c r="E46" s="424" t="s">
        <v>276</v>
      </c>
      <c r="F46" s="425" t="s">
        <v>4</v>
      </c>
      <c r="G46" s="426" t="s">
        <v>277</v>
      </c>
      <c r="H46" s="516" t="str">
        <f t="shared" ca="1" si="0"/>
        <v>SSV Wildbach</v>
      </c>
      <c r="I46" s="517"/>
      <c r="J46" s="518" t="str">
        <f t="shared" ca="1" si="1"/>
        <v>FSV Rauen</v>
      </c>
      <c r="K46" s="431">
        <v>25</v>
      </c>
      <c r="L46" s="432" t="str">
        <f>Sprache!$E$90</f>
        <v>:</v>
      </c>
      <c r="M46" s="513">
        <v>21</v>
      </c>
      <c r="N46" s="239">
        <v>25</v>
      </c>
      <c r="O46" s="730" t="str">
        <f>Sprache!$E$90</f>
        <v>:</v>
      </c>
      <c r="P46" s="706">
        <v>20</v>
      </c>
      <c r="Q46" s="349"/>
      <c r="R46" s="795"/>
      <c r="T46" s="956"/>
      <c r="U46" s="957"/>
      <c r="V46" s="593" t="str">
        <f>Sprache!$E$21</f>
        <v>SP</v>
      </c>
      <c r="W46" s="201" t="str">
        <f>Sprache!$E$22</f>
        <v>G</v>
      </c>
      <c r="X46" s="201" t="str">
        <f>Sprache!$E$23</f>
        <v>U</v>
      </c>
      <c r="Y46" s="592" t="str">
        <f>Sprache!$E$24</f>
        <v>V</v>
      </c>
      <c r="Z46" s="849" t="str">
        <f>Sprache!$E$74</f>
        <v>Bälle</v>
      </c>
      <c r="AA46" s="850"/>
      <c r="AB46" s="851"/>
      <c r="AC46" s="201" t="str">
        <f>IF(Einstellungen!$G$7,Sprache!$E$26,Sprache!$E$80)</f>
        <v>Diff.</v>
      </c>
      <c r="AD46" s="203" t="str">
        <f>Sprache!$E$27</f>
        <v>Pkt</v>
      </c>
      <c r="AF46" s="443"/>
      <c r="AG46" s="472" t="str">
        <f>Sprache!$E$10</f>
        <v>Teilnehmer bzw. Mannschaft</v>
      </c>
      <c r="AH46" s="711"/>
      <c r="AI46" s="715"/>
    </row>
    <row r="47" spans="2:36" ht="24" customHeight="1" thickBot="1" x14ac:dyDescent="0.3">
      <c r="B47" s="529">
        <f t="array" aca="1" ref="B47" ca="1">ROW(96:96)-SUM(((Planung!$L$6:$L$65="")+(Planung!$N$6:$N$65="")&gt;0)*1)-SUM((($H$12:$H46="")+($J$12:$J46="")&gt;0)*1)</f>
        <v>70</v>
      </c>
      <c r="C47" s="176">
        <f t="array" aca="1" ref="C47" ca="1">IF(Planung!$V$15,"",$C$12+QUOTIENT(($B47-$B$12),Planung!$V$11)*(Planung!$S$7+Planung!$S$9)/1440+SUM($R$12:$R46)/1440)</f>
        <v>0.78819444444444442</v>
      </c>
      <c r="D47" s="177">
        <f ca="1">IF(Planung!$V$15,"",MOD($B47-$B$12,Planung!$V$11)+1)</f>
        <v>2</v>
      </c>
      <c r="E47" s="427" t="s">
        <v>273</v>
      </c>
      <c r="F47" s="702" t="s">
        <v>4</v>
      </c>
      <c r="G47" s="429" t="s">
        <v>274</v>
      </c>
      <c r="H47" s="507" t="str">
        <f t="shared" ca="1" si="0"/>
        <v>Mainz 05</v>
      </c>
      <c r="I47" s="508"/>
      <c r="J47" s="519" t="str">
        <f t="shared" ca="1" si="1"/>
        <v>Kickers Rodendorf</v>
      </c>
      <c r="K47" s="433">
        <v>25</v>
      </c>
      <c r="L47" s="373" t="str">
        <f>Sprache!$E$90</f>
        <v>:</v>
      </c>
      <c r="M47" s="514">
        <v>19</v>
      </c>
      <c r="N47" s="246">
        <v>25</v>
      </c>
      <c r="O47" s="731" t="str">
        <f>Sprache!$E$90</f>
        <v>:</v>
      </c>
      <c r="P47" s="794">
        <v>21</v>
      </c>
      <c r="Q47" s="374"/>
      <c r="R47" s="796"/>
      <c r="T47" s="616">
        <f ca="1">IF(CalcE1!$K$13=0,"",1)</f>
        <v>1</v>
      </c>
      <c r="U47" s="384" t="str">
        <f ca="1">IF(Calc1!$F$14&lt;3,"",IF(CalcE1!$K$13=0,CalcE1!$C$62,VLOOKUP(CalcE1!$B$4,CalcE1!$C$4:$N$12,4,0)))</f>
        <v>1. FC Riedwald</v>
      </c>
      <c r="V47" s="607">
        <f ca="1">IF(CalcE1!$K$13=0,"",VLOOKUP(CalcE1!$B$4,CalcE1!$C$4:$N$12,9,0))</f>
        <v>3</v>
      </c>
      <c r="W47" s="207">
        <f ca="1">IF(CalcE1!$K$13=0,"",VLOOKUP(CalcE1!$B$4,CalcE1!$C$4:$N$12,10,0))</f>
        <v>2</v>
      </c>
      <c r="X47" s="207">
        <f ca="1">IF(CalcE1!$K$13=0,"",VLOOKUP(CalcE1!$B$4,CalcE1!$C$4:$N$12,11,0))</f>
        <v>1</v>
      </c>
      <c r="Y47" s="207">
        <f ca="1">IF(CalcE1!$K$13=0,"",VLOOKUP(CalcE1!$B$4,CalcE1!$C$4:$N$12,12,0))</f>
        <v>0</v>
      </c>
      <c r="Z47" s="610">
        <f ca="1">IF(CalcE1!$K$13=0,"",VLOOKUP(CalcE1!$B$4,CalcE1!$C$4:$N$12,5,0))</f>
        <v>147</v>
      </c>
      <c r="AA47" s="611" t="str">
        <f>Sprache!$E$90</f>
        <v>:</v>
      </c>
      <c r="AB47" s="608">
        <f ca="1">IF(CalcE1!$K$13=0,"",VLOOKUP(CalcE1!$B$4,CalcE1!$C$4:$N$12,6,0))</f>
        <v>104</v>
      </c>
      <c r="AC47" s="207">
        <f ca="1">IF(CalcE1!$K$13=0,"",IF(VLOOKUP(CalcE1!B4,CalcE1!$C$4:$AR$12,42,0)=Einstellungen!$F$7,"max",VLOOKUP(CalcE1!B4,CalcE1!$C$4:$AR$12,42,0)))</f>
        <v>43</v>
      </c>
      <c r="AD47" s="212">
        <f ca="1">IF(CalcE1!$K$13=0,"",VLOOKUP(CalcE1!$B$4,CalcE1!$C$4:$N$12,8,0))</f>
        <v>5</v>
      </c>
      <c r="AF47" s="591" t="s">
        <v>272</v>
      </c>
      <c r="AG47" s="473" t="str">
        <f ca="1">IF(Vorrunde!$R$12="","",Vorrunde!$R$12)</f>
        <v>1. FC Riedwald</v>
      </c>
      <c r="AH47" s="716"/>
      <c r="AI47" s="717">
        <f ca="1">IF($AG47="",0,COUNTIF(TieBreak!$U$25:$U$30,$AG47))</f>
        <v>0</v>
      </c>
    </row>
    <row r="48" spans="2:36" ht="24" customHeight="1" thickTop="1" x14ac:dyDescent="0.2">
      <c r="B48" s="415"/>
      <c r="C48" s="415"/>
      <c r="D48" s="415"/>
      <c r="E48" s="415"/>
      <c r="F48" s="415"/>
      <c r="G48" s="415"/>
      <c r="H48" s="524"/>
      <c r="I48" s="482"/>
      <c r="J48" s="524"/>
      <c r="K48" s="415"/>
      <c r="L48" s="415"/>
      <c r="M48" s="415"/>
      <c r="N48" s="415"/>
      <c r="O48" s="415"/>
      <c r="P48" s="415"/>
      <c r="Q48" s="415"/>
      <c r="R48" s="415"/>
      <c r="T48" s="617">
        <f ca="1">IF(CalcE1!$K$13=0,"",IF(VLOOKUP(CalcE1!$B$5,CalcE1!$C$4:$E$12,3,0)=MAX($T47:$T47),VLOOKUP(CalcE1!$B$5,CalcE1!$C$4:$E$12,3,0),CalcE1!$B$5))</f>
        <v>2</v>
      </c>
      <c r="U48" s="386" t="str">
        <f ca="1">IF(Calc1!$F$14&lt;3,"",IF(CalcE1!$K$13=0,CalcE1!$C63,VLOOKUP(CalcE1!$B5,CalcE1!$C$4:$N$12,4,0)))</f>
        <v>Mainz 05</v>
      </c>
      <c r="V48" s="222">
        <f ca="1">IF(CalcE1!$K$13=0,"",VLOOKUP(CalcE1!$B$5,CalcE1!$C$4:$N$12,9,0))</f>
        <v>3</v>
      </c>
      <c r="W48" s="197">
        <f ca="1">IF(CalcE1!$K$13=0,"",VLOOKUP(CalcE1!$B$5,CalcE1!$C$4:$N$12,10,0))</f>
        <v>1</v>
      </c>
      <c r="X48" s="197">
        <f ca="1">IF(CalcE1!$K$13=0,"",VLOOKUP(CalcE1!$B$5,CalcE1!$C$4:$N$12,11,0))</f>
        <v>1</v>
      </c>
      <c r="Y48" s="197">
        <f ca="1">IF(CalcE1!$K$13=0,"",VLOOKUP(CalcE1!$B$5,CalcE1!$C$4:$N$12,12,0))</f>
        <v>1</v>
      </c>
      <c r="Z48" s="612">
        <f ca="1">IF(CalcE1!$K$13=0,"",VLOOKUP(CalcE1!$B$5,CalcE1!$C$4:$N$12,5,0))</f>
        <v>134</v>
      </c>
      <c r="AA48" s="613" t="str">
        <f>Sprache!$E$90</f>
        <v>:</v>
      </c>
      <c r="AB48" s="439">
        <f ca="1">IF(CalcE1!$K$13=0,"",VLOOKUP(CalcE1!$B$5,CalcE1!$C$4:$N$12,6,0))</f>
        <v>129</v>
      </c>
      <c r="AC48" s="197">
        <f ca="1">IF(CalcE1!$K$13=0,"",IF(VLOOKUP(CalcE1!B5,CalcE1!$C$4:$AR$12,42,0)=Einstellungen!$F$7,"max",VLOOKUP(CalcE1!B5,CalcE1!$C$4:$AR$12,42,0)))</f>
        <v>5</v>
      </c>
      <c r="AD48" s="221">
        <f ca="1">IF(CalcE1!$K$13=0,"",VLOOKUP(CalcE1!$B$5,CalcE1!$C$4:$N$12,8,0))</f>
        <v>3</v>
      </c>
      <c r="AF48" s="442" t="s">
        <v>273</v>
      </c>
      <c r="AG48" s="474" t="str">
        <f ca="1">IF(Vorrunde!$R$22="","",Vorrunde!$R$22)</f>
        <v>Mainz 05</v>
      </c>
      <c r="AH48" s="716"/>
      <c r="AI48" s="718">
        <f ca="1">IF($AG48="",0,COUNTIF(TieBreak!$U$25:$U$30,$AG48))</f>
        <v>0</v>
      </c>
    </row>
    <row r="49" spans="2:35" ht="24" customHeight="1" x14ac:dyDescent="0.25">
      <c r="B49" s="605"/>
      <c r="C49" s="605"/>
      <c r="D49" s="605"/>
      <c r="E49" s="605"/>
      <c r="F49" s="605"/>
      <c r="G49" s="605"/>
      <c r="H49" s="603"/>
      <c r="I49" s="604"/>
      <c r="J49" s="603"/>
      <c r="K49" s="606"/>
      <c r="L49" s="606"/>
      <c r="M49" s="606"/>
      <c r="N49" s="606"/>
      <c r="O49" s="606"/>
      <c r="P49" s="606"/>
      <c r="Q49" s="606"/>
      <c r="R49" s="485"/>
      <c r="T49" s="617">
        <f ca="1">IF(CalcE1!$K$13=0,"",IF(VLOOKUP(CalcE1!$B$6,CalcE1!$C$4:$E$12,3,0)=MAX($T47:$T48),VLOOKUP(CalcE1!$B$6,CalcE1!$C$4:$E$12,3,0),CalcE1!$B$6))</f>
        <v>3</v>
      </c>
      <c r="U49" s="386" t="str">
        <f ca="1">IF(Calc1!$F$14&lt;3,"",IF(CalcE1!$K$13=0,CalcE1!$C64,VLOOKUP(CalcE1!$B6,CalcE1!$C$4:$N$12,4,0)))</f>
        <v>TSG Saalberg eV</v>
      </c>
      <c r="V49" s="222">
        <f ca="1">IF(CalcE1!$K$13=0,"",VLOOKUP(CalcE1!$B$6,CalcE1!$C$4:$N$12,9,0))</f>
        <v>3</v>
      </c>
      <c r="W49" s="197">
        <f ca="1">IF(CalcE1!$K$13=0,"",VLOOKUP(CalcE1!$B$6,CalcE1!$C$4:$N$12,10,0))</f>
        <v>0</v>
      </c>
      <c r="X49" s="197">
        <f ca="1">IF(CalcE1!$K$13=0,"",VLOOKUP(CalcE1!$B$6,CalcE1!$C$4:$N$12,11,0))</f>
        <v>3</v>
      </c>
      <c r="Y49" s="197">
        <f ca="1">IF(CalcE1!$K$13=0,"",VLOOKUP(CalcE1!$B$6,CalcE1!$C$4:$N$12,12,0))</f>
        <v>0</v>
      </c>
      <c r="Z49" s="612">
        <f ca="1">IF(CalcE1!$K$13=0,"",VLOOKUP(CalcE1!$B$6,CalcE1!$C$4:$N$12,5,0))</f>
        <v>121</v>
      </c>
      <c r="AA49" s="613" t="str">
        <f>Sprache!$E$90</f>
        <v>:</v>
      </c>
      <c r="AB49" s="439">
        <f ca="1">IF(CalcE1!$K$13=0,"",VLOOKUP(CalcE1!$B$6,CalcE1!$C$4:$N$12,6,0))</f>
        <v>139</v>
      </c>
      <c r="AC49" s="197">
        <f ca="1">IF(CalcE1!$K$13=0,"",IF(VLOOKUP(CalcE1!B6,CalcE1!$C$4:$AR$12,42,0)=Einstellungen!$F$7,"max",VLOOKUP(CalcE1!B6,CalcE1!$C$4:$AR$12,42,0)))</f>
        <v>-18</v>
      </c>
      <c r="AD49" s="221">
        <f ca="1">IF(CalcE1!$K$13=0,"",VLOOKUP(CalcE1!$B$6,CalcE1!$C$4:$N$12,8,0))</f>
        <v>3</v>
      </c>
      <c r="AF49" s="590" t="s">
        <v>274</v>
      </c>
      <c r="AG49" s="474" t="str">
        <f ca="1">IF(Vorrunde!$R$32="","",Vorrunde!$R$32)</f>
        <v>Kickers Rodendorf</v>
      </c>
      <c r="AH49" s="716"/>
      <c r="AI49" s="718">
        <f ca="1">IF($AG49="",0,COUNTIF(TieBreak!$U$25:$U$30,$AG49))</f>
        <v>0</v>
      </c>
    </row>
    <row r="50" spans="2:35" ht="24" customHeight="1" thickBot="1" x14ac:dyDescent="0.25">
      <c r="B50" s="955" t="str">
        <f>Sprache!$E$29</f>
        <v>Turnierende:</v>
      </c>
      <c r="C50" s="955"/>
      <c r="D50" s="955"/>
      <c r="E50" s="955"/>
      <c r="F50" s="955"/>
      <c r="G50" s="955"/>
      <c r="H50" s="955"/>
      <c r="I50" s="954">
        <f ca="1">IF(Planung!$S$13="","",$C$47+Planung!$S$7/1440)</f>
        <v>0.80902777777777779</v>
      </c>
      <c r="J50" s="954"/>
      <c r="K50" s="954"/>
      <c r="L50" s="954"/>
      <c r="M50" s="954"/>
      <c r="N50" s="954"/>
      <c r="O50" s="954"/>
      <c r="P50" s="954"/>
      <c r="Q50" s="954"/>
      <c r="R50" s="954"/>
      <c r="T50" s="618">
        <f ca="1">IF(CalcE1!$K$13=0,"",IF(VLOOKUP(CalcE1!$B$7,CalcE1!$C$4:$E$12,3,0)=MAX($T47:$T49),VLOOKUP(CalcE1!$B$7,CalcE1!$C$4:$E$12,3,0),CalcE1!$B$7))</f>
        <v>4</v>
      </c>
      <c r="U50" s="388" t="str">
        <f ca="1">IF(Calc1!$F$14&lt;3,"",IF(CalcE1!$K$13=0,CalcE1!$C65,VLOOKUP(CalcE1!$B7,CalcE1!$C$4:$N$12,4,0)))</f>
        <v>Kickers Rodendorf</v>
      </c>
      <c r="V50" s="233">
        <f ca="1">IF(CalcE1!$K$13=0,"",VLOOKUP(CalcE1!$B$7,CalcE1!$C$4:$N$12,9,0))</f>
        <v>3</v>
      </c>
      <c r="W50" s="227">
        <f ca="1">IF(CalcE1!$K$13=0,"",VLOOKUP(CalcE1!$B$7,CalcE1!$C$4:$N$12,10,0))</f>
        <v>0</v>
      </c>
      <c r="X50" s="227">
        <f ca="1">IF(CalcE1!$K$13=0,"",VLOOKUP(CalcE1!$B$7,CalcE1!$C$4:$N$12,11,0))</f>
        <v>1</v>
      </c>
      <c r="Y50" s="227">
        <f ca="1">IF(CalcE1!$K$13=0,"",VLOOKUP(CalcE1!$B$7,CalcE1!$C$4:$N$12,12,0))</f>
        <v>2</v>
      </c>
      <c r="Z50" s="614">
        <f ca="1">IF(CalcE1!$K$13=0,"",VLOOKUP(CalcE1!$B$7,CalcE1!$C$4:$N$12,5,0))</f>
        <v>113</v>
      </c>
      <c r="AA50" s="615" t="str">
        <f>Sprache!$E$90</f>
        <v>:</v>
      </c>
      <c r="AB50" s="441">
        <f ca="1">IF(CalcE1!$K$13=0,"",VLOOKUP(CalcE1!$B$7,CalcE1!$C$4:$N$12,6,0))</f>
        <v>143</v>
      </c>
      <c r="AC50" s="227">
        <f ca="1">IF(CalcE1!$K$13=0,"",IF(VLOOKUP(CalcE1!B7,CalcE1!$C$4:$AR$12,42,0)=Einstellungen!$F$7,"max",VLOOKUP(CalcE1!B7,CalcE1!$C$4:$AR$12,42,0)))</f>
        <v>-30</v>
      </c>
      <c r="AD50" s="232">
        <f ca="1">IF(CalcE1!$K$13=0,"",VLOOKUP(CalcE1!$B$7,CalcE1!$C$4:$N$12,8,0))</f>
        <v>1</v>
      </c>
      <c r="AF50" s="414" t="s">
        <v>328</v>
      </c>
      <c r="AG50" s="475" t="str">
        <f ca="1">IF(Vorrunde!$R$42="","",Vorrunde!$R$42)</f>
        <v>TSG Saalberg eV</v>
      </c>
      <c r="AH50" s="716"/>
      <c r="AI50" s="719">
        <f ca="1">IF($AG50="",0,COUNTIF(TieBreak!$U$25:$U$30,$AG50))</f>
        <v>0</v>
      </c>
    </row>
    <row r="51" spans="2:35" ht="24" customHeight="1" thickTop="1" thickBot="1" x14ac:dyDescent="0.25">
      <c r="K51" s="541"/>
      <c r="L51" s="541"/>
      <c r="AH51" s="415"/>
      <c r="AI51" s="290"/>
    </row>
    <row r="52" spans="2:35" ht="24" customHeight="1" thickBot="1" x14ac:dyDescent="0.25">
      <c r="E52" s="622"/>
      <c r="F52" s="623"/>
      <c r="G52" s="595" t="str">
        <f>Sprache!$E$98</f>
        <v>Rang</v>
      </c>
      <c r="H52" s="601" t="str">
        <f>Sprache!$E$10</f>
        <v>Teilnehmer bzw. Mannschaft</v>
      </c>
      <c r="I52" s="601"/>
      <c r="J52" s="602"/>
      <c r="K52" s="553"/>
      <c r="L52" s="553"/>
      <c r="M52" s="169"/>
      <c r="N52" s="169"/>
      <c r="O52" s="169"/>
      <c r="P52" s="169"/>
      <c r="Q52" s="169"/>
      <c r="R52" s="169"/>
      <c r="AG52" s="47" t="s">
        <v>157</v>
      </c>
      <c r="AH52" s="415"/>
      <c r="AI52" s="290"/>
    </row>
    <row r="53" spans="2:35" ht="24" customHeight="1" thickTop="1" x14ac:dyDescent="0.2">
      <c r="E53" s="624"/>
      <c r="F53" s="624"/>
      <c r="G53" s="596">
        <v>1</v>
      </c>
      <c r="H53" s="909" t="str">
        <f ca="1">IF(CalcE1!$K$13=0,"",$U$47)</f>
        <v>1. FC Riedwald</v>
      </c>
      <c r="I53" s="909"/>
      <c r="J53" s="910"/>
      <c r="K53" s="553"/>
      <c r="L53" s="553"/>
      <c r="M53" s="169"/>
      <c r="N53" s="169"/>
      <c r="O53" s="169"/>
      <c r="P53" s="169"/>
      <c r="Q53" s="169"/>
      <c r="R53" s="169"/>
      <c r="AI53" s="469"/>
    </row>
    <row r="54" spans="2:35" ht="24" customHeight="1" x14ac:dyDescent="0.2">
      <c r="E54" s="624"/>
      <c r="F54" s="624"/>
      <c r="G54" s="597">
        <v>2</v>
      </c>
      <c r="H54" s="911" t="str">
        <f ca="1">IF(CalcE1!$K$13=0,"",$U$48)</f>
        <v>Mainz 05</v>
      </c>
      <c r="I54" s="911"/>
      <c r="J54" s="912"/>
      <c r="K54" s="553"/>
      <c r="L54" s="553"/>
      <c r="M54" s="169"/>
      <c r="N54" s="169"/>
      <c r="O54" s="169"/>
      <c r="P54" s="169"/>
      <c r="Q54" s="169"/>
      <c r="R54" s="169"/>
      <c r="AI54" s="469"/>
    </row>
    <row r="55" spans="2:35" ht="24" customHeight="1" x14ac:dyDescent="0.2">
      <c r="E55" s="624"/>
      <c r="F55" s="624"/>
      <c r="G55" s="598">
        <v>3</v>
      </c>
      <c r="H55" s="913" t="str">
        <f ca="1">IF(CalcE1!$K$13=0,"",$U$49)</f>
        <v>TSG Saalberg eV</v>
      </c>
      <c r="I55" s="913"/>
      <c r="J55" s="914"/>
      <c r="K55" s="553"/>
      <c r="L55" s="553"/>
      <c r="M55" s="169"/>
      <c r="N55" s="169"/>
      <c r="O55" s="169"/>
      <c r="P55" s="169"/>
      <c r="Q55" s="169"/>
      <c r="R55" s="169"/>
      <c r="AI55" s="469"/>
    </row>
    <row r="56" spans="2:35" ht="24" customHeight="1" x14ac:dyDescent="0.2">
      <c r="E56" s="624"/>
      <c r="F56" s="624"/>
      <c r="G56" s="599">
        <v>4</v>
      </c>
      <c r="H56" s="899" t="str">
        <f ca="1">IF(CalcE1!$K$13=0,"",$U$50)</f>
        <v>Kickers Rodendorf</v>
      </c>
      <c r="I56" s="899"/>
      <c r="J56" s="900"/>
      <c r="K56" s="553"/>
      <c r="L56" s="553"/>
      <c r="M56" s="169"/>
      <c r="N56" s="169"/>
      <c r="O56" s="169"/>
      <c r="P56" s="169"/>
      <c r="Q56" s="169"/>
      <c r="R56" s="169"/>
      <c r="AI56" s="292"/>
    </row>
    <row r="57" spans="2:35" ht="24" customHeight="1" x14ac:dyDescent="0.2">
      <c r="E57" s="624"/>
      <c r="F57" s="624"/>
      <c r="G57" s="599">
        <v>5</v>
      </c>
      <c r="H57" s="899" t="str">
        <f ca="1">IF(AND(CalcE2!$K$13=0,CalcE2!$F$13&lt;&gt;1),"",$U$40)</f>
        <v>VFB Essenheim</v>
      </c>
      <c r="I57" s="899"/>
      <c r="J57" s="900"/>
      <c r="K57" s="553"/>
      <c r="L57" s="553"/>
      <c r="M57" s="169"/>
      <c r="N57" s="169"/>
      <c r="O57" s="169"/>
      <c r="P57" s="169"/>
      <c r="Q57" s="169"/>
      <c r="R57" s="169"/>
      <c r="AI57" s="292"/>
    </row>
    <row r="58" spans="2:35" ht="24" customHeight="1" x14ac:dyDescent="0.25">
      <c r="B58" s="495"/>
      <c r="E58" s="624"/>
      <c r="F58" s="624"/>
      <c r="G58" s="599">
        <v>6</v>
      </c>
      <c r="H58" s="899" t="str">
        <f ca="1">IF(CalcE2!$K$13=0,"",$U$41)</f>
        <v>SSV Wildbach</v>
      </c>
      <c r="I58" s="899"/>
      <c r="J58" s="900"/>
      <c r="K58" s="553"/>
      <c r="L58" s="553"/>
      <c r="M58" s="484"/>
      <c r="N58" s="484"/>
      <c r="O58" s="484"/>
      <c r="P58" s="484"/>
      <c r="Q58" s="484"/>
      <c r="R58" s="485"/>
      <c r="AI58" s="292"/>
    </row>
    <row r="59" spans="2:35" ht="24" customHeight="1" x14ac:dyDescent="0.25">
      <c r="B59" s="495"/>
      <c r="E59" s="624"/>
      <c r="F59" s="624"/>
      <c r="G59" s="599">
        <v>7</v>
      </c>
      <c r="H59" s="899" t="str">
        <f ca="1">IF(CalcE2!$K$13=0,"",$U$42)</f>
        <v>Paris St. Germain</v>
      </c>
      <c r="I59" s="899"/>
      <c r="J59" s="900"/>
      <c r="K59" s="553"/>
      <c r="L59" s="553"/>
      <c r="M59" s="484"/>
      <c r="N59" s="484"/>
      <c r="O59" s="484"/>
      <c r="P59" s="484"/>
      <c r="Q59" s="484"/>
      <c r="R59" s="485"/>
      <c r="AI59" s="292"/>
    </row>
    <row r="60" spans="2:35" ht="24" customHeight="1" x14ac:dyDescent="0.25">
      <c r="B60" s="495"/>
      <c r="E60" s="624"/>
      <c r="F60" s="624"/>
      <c r="G60" s="599">
        <v>8</v>
      </c>
      <c r="H60" s="899" t="str">
        <f ca="1">IF(CalcE2!$K$13=0,"",$U$43)</f>
        <v>FSV Rauen</v>
      </c>
      <c r="I60" s="899"/>
      <c r="J60" s="900"/>
      <c r="K60" s="553"/>
      <c r="L60" s="553"/>
      <c r="M60" s="484"/>
      <c r="N60" s="484"/>
      <c r="O60" s="484"/>
      <c r="P60" s="484"/>
      <c r="Q60" s="484"/>
      <c r="R60" s="485"/>
      <c r="AG60" s="169"/>
      <c r="AH60" s="169"/>
      <c r="AI60" s="292"/>
    </row>
    <row r="61" spans="2:35" ht="24" customHeight="1" x14ac:dyDescent="0.25">
      <c r="B61" s="495"/>
      <c r="E61" s="624"/>
      <c r="F61" s="624"/>
      <c r="G61" s="599">
        <v>9</v>
      </c>
      <c r="H61" s="899" t="str">
        <f ca="1">IF(AND(CalcE3!$K$13=0,CalcE3!$F$13&lt;&gt;1),"",$U$33)</f>
        <v>Eintracht Frankfurt</v>
      </c>
      <c r="I61" s="899"/>
      <c r="J61" s="900"/>
      <c r="K61" s="553"/>
      <c r="L61" s="553"/>
      <c r="M61" s="484"/>
      <c r="N61" s="484"/>
      <c r="O61" s="484"/>
      <c r="P61" s="484"/>
      <c r="Q61" s="484"/>
      <c r="R61" s="485"/>
      <c r="AG61" s="169"/>
      <c r="AH61" s="169"/>
      <c r="AI61" s="292"/>
    </row>
    <row r="62" spans="2:35" ht="24" customHeight="1" x14ac:dyDescent="0.25">
      <c r="B62" s="495"/>
      <c r="E62" s="624"/>
      <c r="F62" s="624"/>
      <c r="G62" s="599">
        <v>10</v>
      </c>
      <c r="H62" s="899" t="str">
        <f ca="1">IF(CalcE3!$K$13=0,"",$U$34)</f>
        <v>SV Oberredenburg</v>
      </c>
      <c r="I62" s="899"/>
      <c r="J62" s="900"/>
      <c r="K62" s="553"/>
      <c r="L62" s="553"/>
      <c r="M62" s="484"/>
      <c r="N62" s="484"/>
      <c r="O62" s="484"/>
      <c r="P62" s="484"/>
      <c r="Q62" s="484"/>
      <c r="R62" s="485"/>
      <c r="AG62" s="169"/>
      <c r="AH62" s="169"/>
      <c r="AI62" s="470"/>
    </row>
    <row r="63" spans="2:35" ht="24" customHeight="1" x14ac:dyDescent="0.25">
      <c r="B63" s="495"/>
      <c r="E63" s="624"/>
      <c r="F63" s="624"/>
      <c r="G63" s="599">
        <v>11</v>
      </c>
      <c r="H63" s="899" t="str">
        <f ca="1">IF(CalcE3!$K$13=0,"",$U$35)</f>
        <v>Borussia Dortmund</v>
      </c>
      <c r="I63" s="899"/>
      <c r="J63" s="900"/>
      <c r="K63" s="553"/>
      <c r="L63" s="553"/>
      <c r="M63" s="484"/>
      <c r="N63" s="484"/>
      <c r="O63" s="484"/>
      <c r="P63" s="484"/>
      <c r="Q63" s="484"/>
      <c r="R63" s="485"/>
      <c r="AF63" s="416"/>
      <c r="AG63" s="446"/>
      <c r="AH63" s="446"/>
      <c r="AI63" s="470"/>
    </row>
    <row r="64" spans="2:35" ht="24" customHeight="1" x14ac:dyDescent="0.25">
      <c r="B64" s="495"/>
      <c r="E64" s="624"/>
      <c r="F64" s="624"/>
      <c r="G64" s="599">
        <v>12</v>
      </c>
      <c r="H64" s="899" t="str">
        <f ca="1">IF(CalcE3!$K$13=0,"",$U$36)</f>
        <v>FC Grönlingen</v>
      </c>
      <c r="I64" s="899"/>
      <c r="J64" s="900"/>
      <c r="K64" s="553"/>
      <c r="L64" s="553"/>
      <c r="M64" s="484"/>
      <c r="N64" s="484"/>
      <c r="O64" s="484"/>
      <c r="P64" s="484"/>
      <c r="Q64" s="484"/>
      <c r="R64" s="485"/>
      <c r="AF64" s="416"/>
      <c r="AG64" s="446"/>
      <c r="AH64" s="446"/>
      <c r="AI64" s="290"/>
    </row>
    <row r="65" spans="5:36" ht="24" customHeight="1" x14ac:dyDescent="0.2">
      <c r="E65" s="624"/>
      <c r="F65" s="624"/>
      <c r="G65" s="599">
        <v>13</v>
      </c>
      <c r="H65" s="899" t="str">
        <f ca="1">IF(AND(CalcE4!$K$13=0,CalcE4!$F$13&lt;&gt;1),"",$U$26)</f>
        <v>Maibach 1822 eV</v>
      </c>
      <c r="I65" s="899"/>
      <c r="J65" s="900"/>
      <c r="K65" s="553"/>
      <c r="L65" s="553"/>
      <c r="M65" s="169"/>
      <c r="N65" s="169"/>
      <c r="O65" s="169"/>
      <c r="P65" s="169"/>
      <c r="Q65" s="169"/>
      <c r="R65" s="169"/>
      <c r="AG65" s="169"/>
      <c r="AH65" s="169"/>
      <c r="AI65" s="469"/>
    </row>
    <row r="66" spans="5:36" ht="24" customHeight="1" x14ac:dyDescent="0.2">
      <c r="E66" s="624"/>
      <c r="F66" s="624"/>
      <c r="G66" s="599">
        <v>14</v>
      </c>
      <c r="H66" s="899" t="str">
        <f ca="1">IF(CalcE4!$K$13=0,"",$U$27)</f>
        <v>RB Leipzig</v>
      </c>
      <c r="I66" s="899"/>
      <c r="J66" s="900"/>
      <c r="K66" s="553"/>
      <c r="L66" s="553"/>
      <c r="M66" s="169"/>
      <c r="N66" s="169"/>
      <c r="O66" s="169"/>
      <c r="P66" s="169"/>
      <c r="Q66" s="169"/>
      <c r="R66" s="169"/>
      <c r="AG66" s="169"/>
      <c r="AH66" s="169"/>
      <c r="AI66" s="292"/>
    </row>
    <row r="67" spans="5:36" ht="24" customHeight="1" x14ac:dyDescent="0.2">
      <c r="E67" s="624"/>
      <c r="F67" s="624"/>
      <c r="G67" s="599">
        <v>15</v>
      </c>
      <c r="H67" s="899" t="str">
        <f ca="1">IF(CalcE4!$K$13=0,"",$U$28)</f>
        <v>1. FC Nürnberg</v>
      </c>
      <c r="I67" s="899"/>
      <c r="J67" s="900"/>
      <c r="K67" s="553"/>
      <c r="L67" s="553"/>
      <c r="M67" s="169"/>
      <c r="N67" s="169"/>
      <c r="O67" s="169"/>
      <c r="P67" s="169"/>
      <c r="Q67" s="169"/>
      <c r="R67" s="169"/>
      <c r="AG67" s="169"/>
      <c r="AH67" s="169"/>
      <c r="AI67" s="292"/>
    </row>
    <row r="68" spans="5:36" ht="24" customHeight="1" x14ac:dyDescent="0.2">
      <c r="E68" s="624"/>
      <c r="F68" s="624"/>
      <c r="G68" s="599">
        <v>16</v>
      </c>
      <c r="H68" s="899" t="str">
        <f ca="1">IF(CalcE4!$K$13=0,"",$U$29)</f>
        <v>Inter Mailand</v>
      </c>
      <c r="I68" s="899"/>
      <c r="J68" s="900"/>
      <c r="K68" s="553"/>
      <c r="L68" s="553"/>
      <c r="M68" s="169"/>
      <c r="N68" s="169"/>
      <c r="O68" s="169"/>
      <c r="P68" s="169"/>
      <c r="Q68" s="169"/>
      <c r="R68" s="169"/>
      <c r="AI68" s="292"/>
    </row>
    <row r="69" spans="5:36" ht="24" customHeight="1" x14ac:dyDescent="0.2">
      <c r="E69" s="624"/>
      <c r="F69" s="624"/>
      <c r="G69" s="599">
        <v>17</v>
      </c>
      <c r="H69" s="899" t="str">
        <f ca="1">IF(AND(CalcE5!$K$13=0,CalcE5!$F$13&lt;&gt;1),"",$U$19)</f>
        <v>Real Madrid</v>
      </c>
      <c r="I69" s="899"/>
      <c r="J69" s="900"/>
      <c r="K69" s="553"/>
      <c r="L69" s="553"/>
      <c r="M69" s="169"/>
      <c r="N69" s="169"/>
      <c r="O69" s="169"/>
      <c r="P69" s="169"/>
      <c r="Q69" s="169"/>
      <c r="R69" s="169"/>
      <c r="AI69" s="292"/>
    </row>
    <row r="70" spans="5:36" ht="24" customHeight="1" x14ac:dyDescent="0.2">
      <c r="E70" s="624"/>
      <c r="F70" s="624"/>
      <c r="G70" s="599">
        <v>18</v>
      </c>
      <c r="H70" s="899" t="str">
        <f ca="1">IF(CalcE5!$K$13=0,"",$U$20)</f>
        <v>Manchester City</v>
      </c>
      <c r="I70" s="899"/>
      <c r="J70" s="900"/>
      <c r="K70" s="553"/>
      <c r="L70" s="553"/>
      <c r="M70" s="169"/>
      <c r="N70" s="169"/>
      <c r="O70" s="169"/>
      <c r="P70" s="169"/>
      <c r="Q70" s="169"/>
      <c r="R70" s="169"/>
      <c r="AI70" s="470"/>
    </row>
    <row r="71" spans="5:36" ht="24" customHeight="1" x14ac:dyDescent="0.2">
      <c r="E71" s="624"/>
      <c r="F71" s="624"/>
      <c r="G71" s="599">
        <v>19</v>
      </c>
      <c r="H71" s="899" t="str">
        <f ca="1">IF(CalcE5!$K$13=0,"",$U$21)</f>
        <v>HSV</v>
      </c>
      <c r="I71" s="899"/>
      <c r="J71" s="900"/>
      <c r="K71" s="553"/>
      <c r="L71" s="553"/>
      <c r="M71" s="169"/>
      <c r="N71" s="169"/>
      <c r="O71" s="169"/>
      <c r="P71" s="169"/>
      <c r="Q71" s="169"/>
      <c r="R71" s="169"/>
      <c r="AI71" s="470"/>
    </row>
    <row r="72" spans="5:36" ht="24" customHeight="1" x14ac:dyDescent="0.2">
      <c r="E72" s="624"/>
      <c r="F72" s="624"/>
      <c r="G72" s="599">
        <v>20</v>
      </c>
      <c r="H72" s="899" t="str">
        <f ca="1">IF(CalcE5!$K$13=0,"",$U$22)</f>
        <v>FC Barcelona</v>
      </c>
      <c r="I72" s="899"/>
      <c r="J72" s="900"/>
      <c r="K72" s="553"/>
      <c r="L72" s="553"/>
      <c r="M72" s="169"/>
      <c r="N72" s="169"/>
      <c r="O72" s="169"/>
      <c r="P72" s="169"/>
      <c r="Q72" s="169"/>
      <c r="R72" s="169"/>
      <c r="AI72" s="290"/>
      <c r="AJ72" s="290"/>
    </row>
    <row r="73" spans="5:36" ht="24" customHeight="1" x14ac:dyDescent="0.2">
      <c r="E73" s="624"/>
      <c r="F73" s="624"/>
      <c r="G73" s="599">
        <v>21</v>
      </c>
      <c r="H73" s="899" t="str">
        <f ca="1">IF(AND(CalcE6!$K$13=0,CalcE6!$F$13&lt;&gt;1),"",$U$12)</f>
        <v/>
      </c>
      <c r="I73" s="899"/>
      <c r="J73" s="900"/>
      <c r="K73" s="553"/>
      <c r="L73" s="553"/>
      <c r="M73" s="169"/>
      <c r="N73" s="169"/>
      <c r="O73" s="169"/>
      <c r="P73" s="169"/>
      <c r="Q73" s="169"/>
      <c r="R73" s="169"/>
    </row>
    <row r="74" spans="5:36" ht="24" customHeight="1" x14ac:dyDescent="0.2">
      <c r="E74" s="624"/>
      <c r="F74" s="624"/>
      <c r="G74" s="599">
        <v>22</v>
      </c>
      <c r="H74" s="899" t="str">
        <f ca="1">IF(CalcE6!$K$13=0,"",$U$13)</f>
        <v/>
      </c>
      <c r="I74" s="899"/>
      <c r="J74" s="900"/>
      <c r="K74" s="553"/>
      <c r="L74" s="553"/>
      <c r="M74" s="169"/>
      <c r="N74" s="169"/>
      <c r="O74" s="169"/>
      <c r="P74" s="169"/>
      <c r="Q74" s="169"/>
      <c r="R74" s="169"/>
    </row>
    <row r="75" spans="5:36" ht="24" customHeight="1" x14ac:dyDescent="0.2">
      <c r="E75" s="625"/>
      <c r="F75" s="625"/>
      <c r="G75" s="599">
        <v>23</v>
      </c>
      <c r="H75" s="899" t="str">
        <f ca="1">IF(CalcE6!$K$13=0,"",$U$14)</f>
        <v/>
      </c>
      <c r="I75" s="899"/>
      <c r="J75" s="900"/>
      <c r="K75" s="553"/>
      <c r="L75" s="553"/>
      <c r="M75" s="169"/>
      <c r="N75" s="169"/>
      <c r="O75" s="169"/>
      <c r="P75" s="169"/>
      <c r="Q75" s="169"/>
      <c r="R75" s="169"/>
    </row>
    <row r="76" spans="5:36" ht="24" customHeight="1" thickBot="1" x14ac:dyDescent="0.25">
      <c r="E76" s="625"/>
      <c r="F76" s="625"/>
      <c r="G76" s="600">
        <v>24</v>
      </c>
      <c r="H76" s="901" t="str">
        <f ca="1">IF(CalcE6!$K$13=0,"",$U$15)</f>
        <v/>
      </c>
      <c r="I76" s="901"/>
      <c r="J76" s="902"/>
      <c r="K76" s="169"/>
      <c r="L76" s="169"/>
      <c r="M76" s="169"/>
      <c r="N76" s="169"/>
      <c r="O76" s="169"/>
      <c r="P76" s="169"/>
      <c r="Q76" s="169"/>
      <c r="R76" s="169"/>
    </row>
    <row r="77" spans="5:36" ht="24" customHeight="1" thickTop="1" x14ac:dyDescent="0.2"/>
    <row r="78" spans="5:36" ht="24" customHeight="1" x14ac:dyDescent="0.2"/>
  </sheetData>
  <sheetProtection sheet="1" selectLockedCells="1"/>
  <mergeCells count="61">
    <mergeCell ref="H72:J72"/>
    <mergeCell ref="H73:J73"/>
    <mergeCell ref="H74:J74"/>
    <mergeCell ref="H67:J67"/>
    <mergeCell ref="H68:J68"/>
    <mergeCell ref="H69:J69"/>
    <mergeCell ref="H70:J70"/>
    <mergeCell ref="H71:J71"/>
    <mergeCell ref="H62:J62"/>
    <mergeCell ref="H63:J63"/>
    <mergeCell ref="H64:J64"/>
    <mergeCell ref="H65:J65"/>
    <mergeCell ref="H66:J66"/>
    <mergeCell ref="T25:U25"/>
    <mergeCell ref="Z25:AB25"/>
    <mergeCell ref="E11:G11"/>
    <mergeCell ref="H11:J11"/>
    <mergeCell ref="K11:M11"/>
    <mergeCell ref="T17:Y17"/>
    <mergeCell ref="T18:U18"/>
    <mergeCell ref="Z18:AB18"/>
    <mergeCell ref="T24:Y24"/>
    <mergeCell ref="B10:C10"/>
    <mergeCell ref="R10:R11"/>
    <mergeCell ref="H2:AB2"/>
    <mergeCell ref="H3:AB3"/>
    <mergeCell ref="H4:AB4"/>
    <mergeCell ref="H5:AB5"/>
    <mergeCell ref="K7:U8"/>
    <mergeCell ref="N11:P11"/>
    <mergeCell ref="AF10:AG10"/>
    <mergeCell ref="AF17:AG17"/>
    <mergeCell ref="AF24:AG24"/>
    <mergeCell ref="T10:Y10"/>
    <mergeCell ref="T11:U11"/>
    <mergeCell ref="Z11:AB11"/>
    <mergeCell ref="AF31:AG31"/>
    <mergeCell ref="T31:Y31"/>
    <mergeCell ref="T32:U32"/>
    <mergeCell ref="AF45:AG45"/>
    <mergeCell ref="Z32:AB32"/>
    <mergeCell ref="T38:Y38"/>
    <mergeCell ref="T39:U39"/>
    <mergeCell ref="Z39:AB39"/>
    <mergeCell ref="T45:Y45"/>
    <mergeCell ref="H75:J75"/>
    <mergeCell ref="H76:J76"/>
    <mergeCell ref="I50:R50"/>
    <mergeCell ref="B50:H50"/>
    <mergeCell ref="AF38:AG38"/>
    <mergeCell ref="T46:U46"/>
    <mergeCell ref="Z46:AB46"/>
    <mergeCell ref="H53:J53"/>
    <mergeCell ref="H54:J54"/>
    <mergeCell ref="H55:J55"/>
    <mergeCell ref="H56:J56"/>
    <mergeCell ref="H57:J57"/>
    <mergeCell ref="H58:J58"/>
    <mergeCell ref="H59:J59"/>
    <mergeCell ref="H60:J60"/>
    <mergeCell ref="H61:J61"/>
  </mergeCells>
  <conditionalFormatting sqref="B12:P47">
    <cfRule type="expression" dxfId="11" priority="24">
      <formula>OR($H12="",$J12="")</formula>
    </cfRule>
  </conditionalFormatting>
  <conditionalFormatting sqref="T12:AD15 T19:AD22 T26:AD29 T33:AD36 T40:AD43 T47:AD50">
    <cfRule type="expression" dxfId="10" priority="6">
      <formula>$U12=""</formula>
    </cfRule>
    <cfRule type="expression" dxfId="9" priority="7">
      <formula>OR(AND($T12=$T11,$U11&lt;&gt;""),AND($T12=$T13,$U13&lt;&gt;""))</formula>
    </cfRule>
  </conditionalFormatting>
  <conditionalFormatting sqref="K12:P47">
    <cfRule type="expression" dxfId="8" priority="5">
      <formula>OR(AND($K12&lt;&gt;"",$K12=$M12),AND($N12&lt;&gt;"",$N12=$P12))</formula>
    </cfRule>
  </conditionalFormatting>
  <dataValidations disablePrompts="1" count="1">
    <dataValidation allowBlank="1" showInputMessage="1" showErrorMessage="1" errorTitle="Unzulässige Teilnehmernummer" error="Es müssen Zahlen von 1 bis 9 eingetragen werden!" sqref="E12:E47 G12:G47" xr:uid="{84B51C47-AA23-4FA9-B3CA-CDC3BE4C28C8}"/>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5" id="{EE835FE0-8693-4CC5-A29E-9B503B75C371}">
            <xm:f>$G53&gt;4*Calc1!$F$14</xm:f>
            <x14:dxf>
              <numFmt numFmtId="165" formatCode=";;;"/>
            </x14:dxf>
          </x14:cfRule>
          <xm:sqref>G53:G76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63" t="str">
        <f>Sprache!$E$7</f>
        <v>Direkte Vergleiche</v>
      </c>
      <c r="C2" s="963"/>
      <c r="D2" s="963"/>
      <c r="E2" s="963"/>
      <c r="F2" s="963"/>
      <c r="G2" s="963"/>
      <c r="H2" s="963"/>
      <c r="I2" s="963"/>
      <c r="J2" s="963"/>
      <c r="K2" s="963"/>
      <c r="L2" s="963"/>
    </row>
    <row r="3" spans="2:13" ht="42.75" customHeight="1" x14ac:dyDescent="0.2">
      <c r="B3" s="964" t="str">
        <f>Sprache!$E$56&amp;" A"</f>
        <v>Vorrunde Gruppe A</v>
      </c>
      <c r="C3" s="964"/>
      <c r="D3" s="964"/>
      <c r="E3" s="964"/>
      <c r="F3" s="964"/>
      <c r="G3" s="964"/>
      <c r="H3" s="964"/>
      <c r="I3" s="964"/>
      <c r="J3" s="964"/>
      <c r="K3" s="964"/>
      <c r="L3" s="964"/>
    </row>
    <row r="4" spans="2:13" ht="17.25" customHeight="1" x14ac:dyDescent="0.2">
      <c r="B4" s="965" t="str">
        <f>Sprache!$E$88</f>
        <v>Rote Schrift bedeutet, dass die Rangfolge auch mit dem direkten Vergleich nicht geklärt ist. Ein Entscheidungsspiel oder Los muss hier entscheiden.</v>
      </c>
      <c r="C4" s="965"/>
      <c r="D4" s="965"/>
      <c r="E4" s="965"/>
      <c r="F4" s="965"/>
      <c r="G4" s="965"/>
      <c r="H4" s="965"/>
      <c r="I4" s="965"/>
      <c r="J4" s="965"/>
      <c r="K4" s="965"/>
      <c r="L4" s="965"/>
      <c r="M4" s="96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IF(LEN(G7)&gt;Einstellungen!$C$11,LEFT(G7,Einstellungen!$C$11)&amp;".",G7)</f>
        <v/>
      </c>
      <c r="H6" s="149" t="str">
        <f ca="1">IF(LEN(H7)&gt;Einstellungen!$C$11,LEFT(H7,Einstellungen!$C$11)&amp;".",H7)</f>
        <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7"/>
      <c r="C7" s="122" t="str">
        <f>Sprache!$E$10</f>
        <v>Teilnehmer bzw. Mannschaft</v>
      </c>
      <c r="D7" s="126" t="str">
        <f>Sprache!$E$27</f>
        <v>Pkt</v>
      </c>
      <c r="E7" s="114" t="str">
        <f>Sprache!$E$26</f>
        <v>Diff.</v>
      </c>
      <c r="F7" s="151" t="str">
        <f>Sprache!$E$49</f>
        <v>Tie-Break</v>
      </c>
      <c r="G7" s="130" t="str">
        <f ca="1">C8</f>
        <v/>
      </c>
      <c r="H7" s="131" t="str">
        <f ca="1">C9</f>
        <v/>
      </c>
      <c r="I7" s="131" t="str">
        <f ca="1">C10</f>
        <v/>
      </c>
      <c r="J7" s="131" t="str">
        <f ca="1">C11</f>
        <v/>
      </c>
      <c r="K7" s="131" t="str">
        <f ca="1">C12</f>
        <v/>
      </c>
      <c r="L7" s="155" t="str">
        <f ca="1">C13</f>
        <v/>
      </c>
    </row>
    <row r="8" spans="2:13" ht="21.95" customHeight="1" x14ac:dyDescent="0.2">
      <c r="B8" s="115" t="str">
        <f ca="1">IF($C8="","",INDEX(Calc1!$E$4:$E$12,MATCH($C8,Calc1!$F$4:$F$12,0)))</f>
        <v/>
      </c>
      <c r="C8" s="123" t="str">
        <f ca="1">IF(Calc1!$K$13=0,"",Calc1!$X4)</f>
        <v/>
      </c>
      <c r="D8" s="127" t="str">
        <f ca="1">IF($C8="","",VLOOKUP($C8,Calc1!$C$17:$AC$25,25,0))</f>
        <v/>
      </c>
      <c r="E8" s="111" t="str">
        <f ca="1">IF($C8="","",VLOOKUP($C8,Calc1!$C$17:$AC$25,26,0))</f>
        <v/>
      </c>
      <c r="F8" s="152" t="str">
        <f ca="1">IF($C8="","",VLOOKUP($C8,Vorrunde!$AO$12:$AQ$47,3,0))</f>
        <v/>
      </c>
      <c r="G8" s="135"/>
      <c r="H8" s="111" t="str">
        <f ca="1">IFERROR(VLOOKUP($C8&amp;H$7,Calc1!$Z$64:$AB$207,3,0),"")</f>
        <v/>
      </c>
      <c r="I8" s="111" t="str">
        <f ca="1">IFERROR(VLOOKUP($C8&amp;I$7,Calc1!$Z$64:$AB$207,3,0),"")</f>
        <v/>
      </c>
      <c r="J8" s="111" t="str">
        <f ca="1">IFERROR(VLOOKUP($C8&amp;J$7,Calc1!$Z$64:$AB$207,3,0),"")</f>
        <v/>
      </c>
      <c r="K8" s="111" t="str">
        <f ca="1">IFERROR(VLOOKUP($C8&amp;K$7,Calc1!$Z$64:$AB$207,3,0),"")</f>
        <v/>
      </c>
      <c r="L8" s="156" t="str">
        <f ca="1">IFERROR(VLOOKUP($C8&amp;L$7,Calc1!$Z$64:$AB$207,3,0),"")</f>
        <v/>
      </c>
      <c r="M8" s="185" t="str">
        <f t="shared" ref="M8:M13" ca="1" si="0">C8</f>
        <v/>
      </c>
    </row>
    <row r="9" spans="2:13" ht="21.95" customHeight="1" x14ac:dyDescent="0.2">
      <c r="B9" s="115" t="str">
        <f ca="1">IF($C9="","",INDEX(Calc1!$E$4:$E$12,MATCH($C9,Calc1!$F$4:$F$12,0)))</f>
        <v/>
      </c>
      <c r="C9" s="124" t="str">
        <f ca="1">IF(Calc1!$K$13=0,"",Calc1!$X5)</f>
        <v/>
      </c>
      <c r="D9" s="128" t="str">
        <f ca="1">IF($C9="","",VLOOKUP($C9,Calc1!$C$17:$AC$25,25,0))</f>
        <v/>
      </c>
      <c r="E9" s="112" t="str">
        <f ca="1">IF($C9="","",VLOOKUP($C9,Calc1!$C$17:$AC$25,26,0))</f>
        <v/>
      </c>
      <c r="F9" s="153" t="str">
        <f ca="1">IF($C9="","",VLOOKUP($C9,Vorrunde!$AO$12:$AQ$47,3,0))</f>
        <v/>
      </c>
      <c r="G9" s="136" t="str">
        <f ca="1">IFERROR(VLOOKUP($C9&amp;G$7,Calc1!$Z$64:$AB$207,3,0),"")</f>
        <v/>
      </c>
      <c r="H9" s="121"/>
      <c r="I9" s="112" t="str">
        <f ca="1">IFERROR(VLOOKUP($C9&amp;I$7,Calc1!$Z$64:$AB$207,3,0),"")</f>
        <v/>
      </c>
      <c r="J9" s="112" t="str">
        <f ca="1">IFERROR(VLOOKUP($C9&amp;J$7,Calc1!$Z$64:$AB$207,3,0),"")</f>
        <v/>
      </c>
      <c r="K9" s="112" t="str">
        <f ca="1">IFERROR(VLOOKUP($C9&amp;K$7,Calc1!$Z$64:$AB$207,3,0),"")</f>
        <v/>
      </c>
      <c r="L9" s="157" t="str">
        <f ca="1">IFERROR(VLOOKUP($C9&amp;L$7,Calc1!$Z$64:$AB$207,3,0),"")</f>
        <v/>
      </c>
      <c r="M9" s="186" t="str">
        <f t="shared" ca="1" si="0"/>
        <v/>
      </c>
    </row>
    <row r="10" spans="2:13" ht="21.95" customHeight="1" x14ac:dyDescent="0.2">
      <c r="B10" s="115" t="str">
        <f ca="1">IF($C10="","",INDEX(Calc1!$E$4:$E$12,MATCH($C10,Calc1!$F$4:$F$12,0)))</f>
        <v/>
      </c>
      <c r="C10" s="124" t="str">
        <f ca="1">IF(Calc1!$K$13=0,"",Calc1!$X6)</f>
        <v/>
      </c>
      <c r="D10" s="128" t="str">
        <f ca="1">IF($C10="","",VLOOKUP($C10,Calc1!$C$17:$AC$25,25,0))</f>
        <v/>
      </c>
      <c r="E10" s="112" t="str">
        <f ca="1">IF($C10="","",VLOOKUP($C10,Calc1!$C$17:$AC$25,26,0))</f>
        <v/>
      </c>
      <c r="F10" s="153" t="str">
        <f ca="1">IF($C10="","",VLOOKUP($C10,Vorrunde!$AO$12:$AQ$47,3,0))</f>
        <v/>
      </c>
      <c r="G10" s="136" t="str">
        <f ca="1">IFERROR(VLOOKUP($C10&amp;G$7,Calc1!$Z$64:$AB$207,3,0),"")</f>
        <v/>
      </c>
      <c r="H10" s="112" t="str">
        <f ca="1">IFERROR(VLOOKUP($C10&amp;H$7,Calc1!$Z$64:$AB$207,3,0),"")</f>
        <v/>
      </c>
      <c r="I10" s="121"/>
      <c r="J10" s="112" t="str">
        <f ca="1">IFERROR(VLOOKUP($C10&amp;J$7,Calc1!$Z$64:$AB$207,3,0),"")</f>
        <v/>
      </c>
      <c r="K10" s="112" t="str">
        <f ca="1">IFERROR(VLOOKUP($C10&amp;K$7,Calc1!$Z$64:$AB$207,3,0),"")</f>
        <v/>
      </c>
      <c r="L10" s="157" t="str">
        <f ca="1">IFERROR(VLOOKUP($C10&amp;L$7,Calc1!$Z$64:$AB$207,3,0),"")</f>
        <v/>
      </c>
      <c r="M10" s="186" t="str">
        <f t="shared" ca="1" si="0"/>
        <v/>
      </c>
    </row>
    <row r="11" spans="2:13" ht="21.95" customHeight="1" x14ac:dyDescent="0.2">
      <c r="B11" s="115" t="str">
        <f ca="1">IF($C11="","",INDEX(Calc1!$E$4:$E$12,MATCH($C11,Calc1!$F$4:$F$12,0)))</f>
        <v/>
      </c>
      <c r="C11" s="124" t="str">
        <f ca="1">IF(Calc1!$K$13=0,"",Calc1!$X7)</f>
        <v/>
      </c>
      <c r="D11" s="128" t="str">
        <f ca="1">IF($C11="","",VLOOKUP($C11,Calc1!$C$17:$AC$25,25,0))</f>
        <v/>
      </c>
      <c r="E11" s="112" t="str">
        <f ca="1">IF($C11="","",VLOOKUP($C11,Calc1!$C$17:$AC$25,26,0))</f>
        <v/>
      </c>
      <c r="F11" s="153" t="str">
        <f ca="1">IF($C11="","",VLOOKUP($C11,Vorrunde!$AO$12:$AQ$47,3,0))</f>
        <v/>
      </c>
      <c r="G11" s="136" t="str">
        <f ca="1">IFERROR(VLOOKUP($C11&amp;G$7,Calc1!$Z$64:$AB$207,3,0),"")</f>
        <v/>
      </c>
      <c r="H11" s="112" t="str">
        <f ca="1">IFERROR(VLOOKUP($C11&amp;H$7,Calc1!$Z$64:$AB$207,3,0),"")</f>
        <v/>
      </c>
      <c r="I11" s="112" t="str">
        <f ca="1">IFERROR(VLOOKUP($C11&amp;I$7,Calc1!$Z$64:$AB$207,3,0),"")</f>
        <v/>
      </c>
      <c r="J11" s="121"/>
      <c r="K11" s="112" t="str">
        <f ca="1">IFERROR(VLOOKUP($C11&amp;K$7,Calc1!$Z$64:$AB$207,3,0),"")</f>
        <v/>
      </c>
      <c r="L11" s="157" t="str">
        <f ca="1">IFERROR(VLOOKUP($C11&amp;L$7,Calc1!$Z$64:$AB$207,3,0),"")</f>
        <v/>
      </c>
      <c r="M11" s="186" t="str">
        <f t="shared" ca="1" si="0"/>
        <v/>
      </c>
    </row>
    <row r="12" spans="2:13" ht="21.95" customHeight="1" x14ac:dyDescent="0.2">
      <c r="B12" s="115" t="str">
        <f ca="1">IF($C12="","",INDEX(Calc1!$E$4:$E$12,MATCH($C12,Calc1!$F$4:$F$12,0)))</f>
        <v/>
      </c>
      <c r="C12" s="124" t="str">
        <f ca="1">IF(Calc1!$K$13=0,"",Calc1!$X8)</f>
        <v/>
      </c>
      <c r="D12" s="128" t="str">
        <f ca="1">IF($C12="","",VLOOKUP($C12,Calc1!$C$17:$AC$25,25,0))</f>
        <v/>
      </c>
      <c r="E12" s="112" t="str">
        <f ca="1">IF($C12="","",VLOOKUP($C12,Calc1!$C$17:$AC$25,26,0))</f>
        <v/>
      </c>
      <c r="F12" s="153" t="str">
        <f ca="1">IF($C12="","",VLOOKUP($C12,Vorrunde!$AO$12:$AQ$47,3,0))</f>
        <v/>
      </c>
      <c r="G12" s="136" t="str">
        <f ca="1">IFERROR(VLOOKUP($C12&amp;G$7,Calc1!$Z$64:$AB$207,3,0),"")</f>
        <v/>
      </c>
      <c r="H12" s="112" t="str">
        <f ca="1">IFERROR(VLOOKUP($C12&amp;H$7,Calc1!$Z$64:$AB$207,3,0),"")</f>
        <v/>
      </c>
      <c r="I12" s="112" t="str">
        <f ca="1">IFERROR(VLOOKUP($C12&amp;I$7,Calc1!$Z$64:$AB$207,3,0),"")</f>
        <v/>
      </c>
      <c r="J12" s="112" t="str">
        <f ca="1">IFERROR(VLOOKUP($C12&amp;J$7,Calc1!$Z$64:$AB$207,3,0),"")</f>
        <v/>
      </c>
      <c r="K12" s="121"/>
      <c r="L12" s="157" t="str">
        <f ca="1">IFERROR(VLOOKUP($C12&amp;L$7,Calc1!$Z$64:$AB$207,3,0),"")</f>
        <v/>
      </c>
      <c r="M12" s="186" t="str">
        <f t="shared" ca="1" si="0"/>
        <v/>
      </c>
    </row>
    <row r="13" spans="2:13" ht="21.95" customHeight="1" thickBot="1" x14ac:dyDescent="0.25">
      <c r="B13" s="116" t="str">
        <f ca="1">IF($C13="","",INDEX(Calc1!$E$4:$E$12,MATCH($C13,Calc1!$F$4:$F$12,0)))</f>
        <v/>
      </c>
      <c r="C13" s="125" t="str">
        <f ca="1">IF(Calc1!$K$13=0,"",Calc1!$X9)</f>
        <v/>
      </c>
      <c r="D13" s="129" t="str">
        <f ca="1">IF($C13="","",VLOOKUP($C13,Calc1!$C$17:$AC$25,25,0))</f>
        <v/>
      </c>
      <c r="E13" s="113" t="str">
        <f ca="1">IF($C13="","",VLOOKUP($C13,Calc1!$C$17:$AC$25,26,0))</f>
        <v/>
      </c>
      <c r="F13" s="154" t="str">
        <f ca="1">IF($C13="","",VLOOKUP($C13,Vorrunde!$AO$12:$AQ$47,3,0))</f>
        <v/>
      </c>
      <c r="G13" s="137" t="str">
        <f ca="1">IFERROR(VLOOKUP($C13&amp;G$7,Calc1!$Z$64:$AB$207,3,0),"")</f>
        <v/>
      </c>
      <c r="H13" s="113" t="str">
        <f ca="1">IFERROR(VLOOKUP($C13&amp;H$7,Calc1!$Z$64:$AB$207,3,0),"")</f>
        <v/>
      </c>
      <c r="I13" s="113" t="str">
        <f ca="1">IFERROR(VLOOKUP($C13&amp;I$7,Calc1!$Z$64:$AB$207,3,0),"")</f>
        <v/>
      </c>
      <c r="J13" s="113" t="str">
        <f ca="1">IFERROR(VLOOKUP($C13&amp;J$7,Calc1!$Z$64:$AB$207,3,0),"")</f>
        <v/>
      </c>
      <c r="K13" s="113" t="str">
        <f ca="1">IFERROR(VLOOKUP($C13&amp;K$7,Calc1!$Z$64:$AB$207,3,0),"")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7"/>
      <c r="C16" s="122" t="str">
        <f>Sprache!$E$10</f>
        <v>Teilnehmer bzw. Mannschaft</v>
      </c>
      <c r="D16" s="126" t="str">
        <f>Sprache!$E$27</f>
        <v>Pkt</v>
      </c>
      <c r="E16" s="114"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IF($C17="","",INDEX(Calc1!$E$4:$E$12,MATCH($C17,Calc1!$F$4:$F$12,0)))</f>
        <v/>
      </c>
      <c r="C17" s="123" t="str">
        <f ca="1">IF(Calc1!$K$13=0,"",Calc1!$AC4)</f>
        <v/>
      </c>
      <c r="D17" s="127" t="str">
        <f ca="1">IF($C17="","",VLOOKUP($C17,Calc1!$C$17:$AC$25,25,0))</f>
        <v/>
      </c>
      <c r="E17" s="111" t="str">
        <f ca="1">IF($C17="","",VLOOKUP($C17,Calc1!$C$17:$AC$25,26,0))</f>
        <v/>
      </c>
      <c r="F17" s="152" t="str">
        <f ca="1">IF($C17="","",VLOOKUP($C17,Vorrunde!$AO$12:$AQ$47,3,0))</f>
        <v/>
      </c>
      <c r="G17" s="135"/>
      <c r="H17" s="111" t="str">
        <f ca="1">IFERROR(VLOOKUP($C17&amp;H$16,Calc1!$Z$64:$AB$207,3,0),"")</f>
        <v/>
      </c>
      <c r="I17" s="111" t="str">
        <f ca="1">IFERROR(VLOOKUP($C17&amp;I$16,Calc1!$Z$64:$AB$207,3,0),"")</f>
        <v/>
      </c>
      <c r="J17" s="111" t="str">
        <f ca="1">IFERROR(VLOOKUP($C17&amp;J$16,Calc1!$Z$64:$AB$207,3,0),"")</f>
        <v/>
      </c>
      <c r="K17" s="111" t="str">
        <f ca="1">IFERROR(VLOOKUP($C17&amp;K$16,Calc1!$Z$64:$AB$207,3,0),"")</f>
        <v/>
      </c>
      <c r="L17" s="156" t="str">
        <f ca="1">IFERROR(VLOOKUP($C17&amp;L$16,Calc1!$Z$64:$AB$207,3,0),"")</f>
        <v/>
      </c>
      <c r="M17" s="185" t="str">
        <f t="shared" ref="M17:M22" ca="1" si="1">C17</f>
        <v/>
      </c>
    </row>
    <row r="18" spans="2:13" ht="21.95" customHeight="1" x14ac:dyDescent="0.2">
      <c r="B18" s="115" t="str">
        <f ca="1">IF($C18="","",INDEX(Calc1!$E$4:$E$12,MATCH($C18,Calc1!$F$4:$F$12,0)))</f>
        <v/>
      </c>
      <c r="C18" s="124" t="str">
        <f ca="1">IF(Calc1!$K$13=0,"",Calc1!$AC5)</f>
        <v/>
      </c>
      <c r="D18" s="128" t="str">
        <f ca="1">IF($C18="","",VLOOKUP($C18,Calc1!$C$17:$AC$25,25,0))</f>
        <v/>
      </c>
      <c r="E18" s="112" t="str">
        <f ca="1">IF($C18="","",VLOOKUP($C18,Calc1!$C$17:$AC$25,26,0))</f>
        <v/>
      </c>
      <c r="F18" s="153" t="str">
        <f ca="1">IF($C18="","",VLOOKUP($C18,Vorrunde!$AO$12:$AQ$47,3,0))</f>
        <v/>
      </c>
      <c r="G18" s="136" t="str">
        <f ca="1">IFERROR(VLOOKUP($C18&amp;G$16,Calc1!$Z$64:$AB$207,3,0),"")</f>
        <v/>
      </c>
      <c r="H18" s="121"/>
      <c r="I18" s="112" t="str">
        <f ca="1">IFERROR(VLOOKUP($C18&amp;I$16,Calc1!$Z$64:$AB$207,3,0),"")</f>
        <v/>
      </c>
      <c r="J18" s="112" t="str">
        <f ca="1">IFERROR(VLOOKUP($C18&amp;J$16,Calc1!$Z$64:$AB$207,3,0),"")</f>
        <v/>
      </c>
      <c r="K18" s="112" t="str">
        <f ca="1">IFERROR(VLOOKUP($C18&amp;K$16,Calc1!$Z$64:$AB$207,3,0),"")</f>
        <v/>
      </c>
      <c r="L18" s="157" t="str">
        <f ca="1">IFERROR(VLOOKUP($C18&amp;L$16,Calc1!$Z$64:$AB$207,3,0),"")</f>
        <v/>
      </c>
      <c r="M18" s="186" t="str">
        <f t="shared" ca="1" si="1"/>
        <v/>
      </c>
    </row>
    <row r="19" spans="2:13" ht="21.95" customHeight="1" x14ac:dyDescent="0.2">
      <c r="B19" s="115" t="str">
        <f ca="1">IF($C19="","",INDEX(Calc1!$E$4:$E$12,MATCH($C19,Calc1!$F$4:$F$12,0)))</f>
        <v/>
      </c>
      <c r="C19" s="124" t="str">
        <f ca="1">IF(Calc1!$K$13=0,"",Calc1!$AC6)</f>
        <v/>
      </c>
      <c r="D19" s="128" t="str">
        <f ca="1">IF($C19="","",VLOOKUP($C19,Calc1!$C$17:$AC$25,25,0))</f>
        <v/>
      </c>
      <c r="E19" s="112" t="str">
        <f ca="1">IF($C19="","",VLOOKUP($C19,Calc1!$C$17:$AC$25,26,0))</f>
        <v/>
      </c>
      <c r="F19" s="153" t="str">
        <f ca="1">IF($C19="","",VLOOKUP($C19,Vorrunde!$AO$12:$AQ$47,3,0))</f>
        <v/>
      </c>
      <c r="G19" s="136" t="str">
        <f ca="1">IFERROR(VLOOKUP($C19&amp;G$16,Calc1!$Z$64:$AB$207,3,0),"")</f>
        <v/>
      </c>
      <c r="H19" s="112" t="str">
        <f ca="1">IFERROR(VLOOKUP($C19&amp;H$16,Calc1!$Z$64:$AB$207,3,0),"")</f>
        <v/>
      </c>
      <c r="I19" s="121"/>
      <c r="J19" s="112" t="str">
        <f ca="1">IFERROR(VLOOKUP($C19&amp;J$16,Calc1!$Z$64:$AB$207,3,0),"")</f>
        <v/>
      </c>
      <c r="K19" s="112" t="str">
        <f ca="1">IFERROR(VLOOKUP($C19&amp;K$16,Calc1!$Z$64:$AB$207,3,0),"")</f>
        <v/>
      </c>
      <c r="L19" s="157" t="str">
        <f ca="1">IFERROR(VLOOKUP($C19&amp;L$16,Calc1!$Z$64:$AB$207,3,0),"")</f>
        <v/>
      </c>
      <c r="M19" s="186" t="str">
        <f t="shared" ca="1" si="1"/>
        <v/>
      </c>
    </row>
    <row r="20" spans="2:13" ht="21.95" customHeight="1" x14ac:dyDescent="0.2">
      <c r="B20" s="115" t="str">
        <f ca="1">IF($C20="","",INDEX(Calc1!$E$4:$E$12,MATCH($C20,Calc1!$F$4:$F$12,0)))</f>
        <v/>
      </c>
      <c r="C20" s="124" t="str">
        <f ca="1">IF(Calc1!$K$13=0,"",Calc1!$AC7)</f>
        <v/>
      </c>
      <c r="D20" s="128" t="str">
        <f ca="1">IF($C20="","",VLOOKUP($C20,Calc1!$C$17:$AC$25,25,0))</f>
        <v/>
      </c>
      <c r="E20" s="112" t="str">
        <f ca="1">IF($C20="","",VLOOKUP($C20,Calc1!$C$17:$AC$25,26,0))</f>
        <v/>
      </c>
      <c r="F20" s="153" t="str">
        <f ca="1">IF($C20="","",VLOOKUP($C20,Vorrunde!$AO$12:$AQ$47,3,0))</f>
        <v/>
      </c>
      <c r="G20" s="136" t="str">
        <f ca="1">IFERROR(VLOOKUP($C20&amp;G$16,Calc1!$Z$64:$AB$207,3,0),"")</f>
        <v/>
      </c>
      <c r="H20" s="112" t="str">
        <f ca="1">IFERROR(VLOOKUP($C20&amp;H$16,Calc1!$Z$64:$AB$207,3,0),"")</f>
        <v/>
      </c>
      <c r="I20" s="112" t="str">
        <f ca="1">IFERROR(VLOOKUP($C20&amp;I$16,Calc1!$Z$64:$AB$207,3,0),"")</f>
        <v/>
      </c>
      <c r="J20" s="121"/>
      <c r="K20" s="112" t="str">
        <f ca="1">IFERROR(VLOOKUP($C20&amp;K$16,Calc1!$Z$64:$AB$207,3,0),"")</f>
        <v/>
      </c>
      <c r="L20" s="157" t="str">
        <f ca="1">IFERROR(VLOOKUP($C20&amp;L$16,Calc1!$Z$64:$AB$207,3,0),"")</f>
        <v/>
      </c>
      <c r="M20" s="186" t="str">
        <f t="shared" ca="1" si="1"/>
        <v/>
      </c>
    </row>
    <row r="21" spans="2:13" ht="21.95" customHeight="1" x14ac:dyDescent="0.2">
      <c r="B21" s="115" t="str">
        <f ca="1">IF($C21="","",INDEX(Calc1!$E$4:$E$12,MATCH($C21,Calc1!$F$4:$F$12,0)))</f>
        <v/>
      </c>
      <c r="C21" s="124" t="str">
        <f ca="1">IF(Calc1!$K$13=0,"",Calc1!$AC8)</f>
        <v/>
      </c>
      <c r="D21" s="128" t="str">
        <f ca="1">IF($C21="","",VLOOKUP($C21,Calc1!$C$17:$AC$25,25,0))</f>
        <v/>
      </c>
      <c r="E21" s="112" t="str">
        <f ca="1">IF($C21="","",VLOOKUP($C21,Calc1!$C$17:$AC$25,26,0))</f>
        <v/>
      </c>
      <c r="F21" s="153" t="str">
        <f ca="1">IF($C21="","",VLOOKUP($C21,Vorrunde!$AO$12:$AQ$47,3,0))</f>
        <v/>
      </c>
      <c r="G21" s="136" t="str">
        <f ca="1">IFERROR(VLOOKUP($C21&amp;G$16,Calc1!$Z$64:$AB$207,3,0),"")</f>
        <v/>
      </c>
      <c r="H21" s="112" t="str">
        <f ca="1">IFERROR(VLOOKUP($C21&amp;H$16,Calc1!$Z$64:$AB$207,3,0),"")</f>
        <v/>
      </c>
      <c r="I21" s="112" t="str">
        <f ca="1">IFERROR(VLOOKUP($C21&amp;I$16,Calc1!$Z$64:$AB$207,3,0),"")</f>
        <v/>
      </c>
      <c r="J21" s="112" t="str">
        <f ca="1">IFERROR(VLOOKUP($C21&amp;J$16,Calc1!$Z$64:$AB$207,3,0),"")</f>
        <v/>
      </c>
      <c r="K21" s="121"/>
      <c r="L21" s="157" t="str">
        <f ca="1">IFERROR(VLOOKUP($C21&amp;L$16,Calc1!$Z$64:$AB$207,3,0),"")</f>
        <v/>
      </c>
      <c r="M21" s="186" t="str">
        <f t="shared" ca="1" si="1"/>
        <v/>
      </c>
    </row>
    <row r="22" spans="2:13" ht="21.95" customHeight="1" thickBot="1" x14ac:dyDescent="0.25">
      <c r="B22" s="116" t="str">
        <f ca="1">IF($C22="","",INDEX(Calc1!$E$4:$E$12,MATCH($C22,Calc1!$F$4:$F$12,0)))</f>
        <v/>
      </c>
      <c r="C22" s="125" t="str">
        <f ca="1">IF(Calc1!$K$13=0,"",Calc1!$AC9)</f>
        <v/>
      </c>
      <c r="D22" s="129" t="str">
        <f ca="1">IF($C22="","",VLOOKUP($C22,Calc1!$C$17:$AC$25,25,0))</f>
        <v/>
      </c>
      <c r="E22" s="113" t="str">
        <f ca="1">IF($C22="","",VLOOKUP($C22,Calc1!$C$17:$AC$25,26,0))</f>
        <v/>
      </c>
      <c r="F22" s="154" t="str">
        <f ca="1">IF($C22="","",VLOOKUP($C22,Vorrunde!$AO$12:$AQ$47,3,0))</f>
        <v/>
      </c>
      <c r="G22" s="137" t="str">
        <f ca="1">IFERROR(VLOOKUP($C22&amp;G$16,Calc1!$Z$64:$AB$207,3,0),"")</f>
        <v/>
      </c>
      <c r="H22" s="113" t="str">
        <f ca="1">IFERROR(VLOOKUP($C22&amp;H$16,Calc1!$Z$64:$AB$207,3,0),"")</f>
        <v/>
      </c>
      <c r="I22" s="113" t="str">
        <f ca="1">IFERROR(VLOOKUP($C22&amp;I$16,Calc1!$Z$64:$AB$207,3,0),"")</f>
        <v/>
      </c>
      <c r="J22" s="113" t="str">
        <f ca="1">IFERROR(VLOOKUP($C22&amp;J$16,Calc1!$Z$64:$AB$207,3,0),"")</f>
        <v/>
      </c>
      <c r="K22" s="113" t="str">
        <f ca="1">IFERROR(VLOOKUP($C22&amp;K$16,Calc1!$Z$64:$AB$207,3,0),"")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7"/>
      <c r="C25" s="122" t="str">
        <f>Sprache!$E$10</f>
        <v>Teilnehmer bzw. Mannschaft</v>
      </c>
      <c r="D25" s="126" t="str">
        <f>Sprache!$E$27</f>
        <v>Pkt</v>
      </c>
      <c r="E25" s="114"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IF($C26="","",INDEX(Calc1!$E$4:$E$12,MATCH($C26,Calc1!$F$4:$F$12,0)))</f>
        <v/>
      </c>
      <c r="C26" s="123" t="str">
        <f ca="1">IF(Calc1!$K$13=0,"",Calc1!$AH4)</f>
        <v/>
      </c>
      <c r="D26" s="127" t="str">
        <f ca="1">IF($C26="","",VLOOKUP($C26,Calc1!$C$17:$AC$25,25,0))</f>
        <v/>
      </c>
      <c r="E26" s="111" t="str">
        <f ca="1">IF($C26="","",VLOOKUP($C26,Calc1!$C$17:$AC$25,26,0))</f>
        <v/>
      </c>
      <c r="F26" s="152" t="str">
        <f ca="1">IF($C26="","",VLOOKUP($C26,Vorrunde!$AO$12:$AQ$47,3,0))</f>
        <v/>
      </c>
      <c r="G26" s="135"/>
      <c r="H26" s="111" t="str">
        <f ca="1">IFERROR(VLOOKUP($C26&amp;H$25,Calc1!$Z$64:$AB$207,3,0),"")</f>
        <v/>
      </c>
      <c r="I26" s="111" t="str">
        <f ca="1">IFERROR(VLOOKUP($C26&amp;I$25,Calc1!$Z$64:$AB$207,3,0),"")</f>
        <v/>
      </c>
      <c r="J26" s="111" t="str">
        <f ca="1">IFERROR(VLOOKUP($C26&amp;J$25,Calc1!$Z$64:$AB$207,3,0),"")</f>
        <v/>
      </c>
      <c r="K26" s="111" t="str">
        <f ca="1">IFERROR(VLOOKUP($C26&amp;K$25,Calc1!$Z$64:$AB$207,3,0),"")</f>
        <v/>
      </c>
      <c r="L26" s="156" t="str">
        <f ca="1">IFERROR(VLOOKUP($C26&amp;L$25,Calc1!$Z$64:$AB$207,3,0),"")</f>
        <v/>
      </c>
      <c r="M26" s="185" t="str">
        <f t="shared" ref="M26:M31" ca="1" si="2">C26</f>
        <v/>
      </c>
    </row>
    <row r="27" spans="2:13" ht="21.95" customHeight="1" x14ac:dyDescent="0.2">
      <c r="B27" s="115" t="str">
        <f ca="1">IF($C27="","",INDEX(Calc1!$E$4:$E$12,MATCH($C27,Calc1!$F$4:$F$12,0)))</f>
        <v/>
      </c>
      <c r="C27" s="124" t="str">
        <f ca="1">IF(Calc1!$K$13=0,"",Calc1!$AH5)</f>
        <v/>
      </c>
      <c r="D27" s="128" t="str">
        <f ca="1">IF($C27="","",VLOOKUP($C27,Calc1!$C$17:$AC$25,25,0))</f>
        <v/>
      </c>
      <c r="E27" s="112" t="str">
        <f ca="1">IF($C27="","",VLOOKUP($C27,Calc1!$C$17:$AC$25,26,0))</f>
        <v/>
      </c>
      <c r="F27" s="153" t="str">
        <f ca="1">IF($C27="","",VLOOKUP($C27,Vorrunde!$AO$12:$AQ$47,3,0))</f>
        <v/>
      </c>
      <c r="G27" s="136" t="str">
        <f ca="1">IFERROR(VLOOKUP($C27&amp;G$25,Calc1!$Z$64:$AB$207,3,0),"")</f>
        <v/>
      </c>
      <c r="H27" s="121"/>
      <c r="I27" s="112" t="str">
        <f ca="1">IFERROR(VLOOKUP($C27&amp;I$25,Calc1!$Z$64:$AB$207,3,0),"")</f>
        <v/>
      </c>
      <c r="J27" s="112" t="str">
        <f ca="1">IFERROR(VLOOKUP($C27&amp;J$25,Calc1!$Z$64:$AB$207,3,0),"")</f>
        <v/>
      </c>
      <c r="K27" s="112" t="str">
        <f ca="1">IFERROR(VLOOKUP($C27&amp;K$25,Calc1!$Z$64:$AB$207,3,0),"")</f>
        <v/>
      </c>
      <c r="L27" s="157" t="str">
        <f ca="1">IFERROR(VLOOKUP($C27&amp;L$25,Calc1!$Z$64:$AB$207,3,0),"")</f>
        <v/>
      </c>
      <c r="M27" s="186" t="str">
        <f t="shared" ca="1" si="2"/>
        <v/>
      </c>
    </row>
    <row r="28" spans="2:13" ht="21.95" customHeight="1" x14ac:dyDescent="0.2">
      <c r="B28" s="115" t="str">
        <f ca="1">IF($C28="","",INDEX(Calc1!$E$4:$E$12,MATCH($C28,Calc1!$F$4:$F$12,0)))</f>
        <v/>
      </c>
      <c r="C28" s="124" t="str">
        <f ca="1">IF(Calc1!$K$13=0,"",Calc1!$AH6)</f>
        <v/>
      </c>
      <c r="D28" s="128" t="str">
        <f ca="1">IF($C28="","",VLOOKUP($C28,Calc1!$C$17:$AC$25,25,0))</f>
        <v/>
      </c>
      <c r="E28" s="112" t="str">
        <f ca="1">IF($C28="","",VLOOKUP($C28,Calc1!$C$17:$AC$25,26,0))</f>
        <v/>
      </c>
      <c r="F28" s="153" t="str">
        <f ca="1">IF($C28="","",VLOOKUP($C28,Vorrunde!$AO$12:$AQ$47,3,0))</f>
        <v/>
      </c>
      <c r="G28" s="136" t="str">
        <f ca="1">IFERROR(VLOOKUP($C28&amp;G$25,Calc1!$Z$64:$AB$207,3,0),"")</f>
        <v/>
      </c>
      <c r="H28" s="112" t="str">
        <f ca="1">IFERROR(VLOOKUP($C28&amp;H$25,Calc1!$Z$64:$AB$207,3,0),"")</f>
        <v/>
      </c>
      <c r="I28" s="121"/>
      <c r="J28" s="112" t="str">
        <f ca="1">IFERROR(VLOOKUP($C28&amp;J$25,Calc1!$Z$64:$AB$207,3,0),"")</f>
        <v/>
      </c>
      <c r="K28" s="112" t="str">
        <f ca="1">IFERROR(VLOOKUP($C28&amp;K$25,Calc1!$Z$64:$AB$207,3,0),"")</f>
        <v/>
      </c>
      <c r="L28" s="157" t="str">
        <f ca="1">IFERROR(VLOOKUP($C28&amp;L$25,Calc1!$Z$64:$AB$207,3,0),"")</f>
        <v/>
      </c>
      <c r="M28" s="186" t="str">
        <f t="shared" ca="1" si="2"/>
        <v/>
      </c>
    </row>
    <row r="29" spans="2:13" ht="21.95" customHeight="1" x14ac:dyDescent="0.2">
      <c r="B29" s="115" t="str">
        <f ca="1">IF($C29="","",INDEX(Calc1!$E$4:$E$12,MATCH($C29,Calc1!$F$4:$F$12,0)))</f>
        <v/>
      </c>
      <c r="C29" s="124" t="str">
        <f ca="1">IF(Calc1!$K$13=0,"",Calc1!$AH7)</f>
        <v/>
      </c>
      <c r="D29" s="128" t="str">
        <f ca="1">IF($C29="","",VLOOKUP($C29,Calc1!$C$17:$AC$25,25,0))</f>
        <v/>
      </c>
      <c r="E29" s="112" t="str">
        <f ca="1">IF($C29="","",VLOOKUP($C29,Calc1!$C$17:$AC$25,26,0))</f>
        <v/>
      </c>
      <c r="F29" s="153" t="str">
        <f ca="1">IF($C29="","",VLOOKUP($C29,Vorrunde!$AO$12:$AQ$47,3,0))</f>
        <v/>
      </c>
      <c r="G29" s="136" t="str">
        <f ca="1">IFERROR(VLOOKUP($C29&amp;G$25,Calc1!$Z$64:$AB$207,3,0),"")</f>
        <v/>
      </c>
      <c r="H29" s="112" t="str">
        <f ca="1">IFERROR(VLOOKUP($C29&amp;H$25,Calc1!$Z$64:$AB$207,3,0),"")</f>
        <v/>
      </c>
      <c r="I29" s="112" t="str">
        <f ca="1">IFERROR(VLOOKUP($C29&amp;I$25,Calc1!$Z$64:$AB$207,3,0),"")</f>
        <v/>
      </c>
      <c r="J29" s="121"/>
      <c r="K29" s="112" t="str">
        <f ca="1">IFERROR(VLOOKUP($C29&amp;K$25,Calc1!$Z$64:$AB$207,3,0),"")</f>
        <v/>
      </c>
      <c r="L29" s="157" t="str">
        <f ca="1">IFERROR(VLOOKUP($C29&amp;L$25,Calc1!$Z$64:$AB$207,3,0),"")</f>
        <v/>
      </c>
      <c r="M29" s="186" t="str">
        <f t="shared" ca="1" si="2"/>
        <v/>
      </c>
    </row>
    <row r="30" spans="2:13" ht="21.95" customHeight="1" x14ac:dyDescent="0.2">
      <c r="B30" s="115" t="str">
        <f ca="1">IF($C30="","",INDEX(Calc1!$E$4:$E$12,MATCH($C30,Calc1!$F$4:$F$12,0)))</f>
        <v/>
      </c>
      <c r="C30" s="124" t="str">
        <f ca="1">IF(Calc1!$K$13=0,"",Calc1!$AH8)</f>
        <v/>
      </c>
      <c r="D30" s="128" t="str">
        <f ca="1">IF($C30="","",VLOOKUP($C30,Calc1!$C$17:$AC$25,25,0))</f>
        <v/>
      </c>
      <c r="E30" s="112" t="str">
        <f ca="1">IF($C30="","",VLOOKUP($C30,Calc1!$C$17:$AC$25,26,0))</f>
        <v/>
      </c>
      <c r="F30" s="153" t="str">
        <f ca="1">IF($C30="","",VLOOKUP($C30,Vorrunde!$AO$12:$AQ$47,3,0))</f>
        <v/>
      </c>
      <c r="G30" s="136" t="str">
        <f ca="1">IFERROR(VLOOKUP($C30&amp;G$25,Calc1!$Z$64:$AB$207,3,0),"")</f>
        <v/>
      </c>
      <c r="H30" s="112" t="str">
        <f ca="1">IFERROR(VLOOKUP($C30&amp;H$25,Calc1!$Z$64:$AB$207,3,0),"")</f>
        <v/>
      </c>
      <c r="I30" s="112" t="str">
        <f ca="1">IFERROR(VLOOKUP($C30&amp;I$25,Calc1!$Z$64:$AB$207,3,0),"")</f>
        <v/>
      </c>
      <c r="J30" s="112" t="str">
        <f ca="1">IFERROR(VLOOKUP($C30&amp;J$25,Calc1!$Z$64:$AB$207,3,0),"")</f>
        <v/>
      </c>
      <c r="K30" s="121"/>
      <c r="L30" s="157" t="str">
        <f ca="1">IFERROR(VLOOKUP($C30&amp;L$25,Calc1!$Z$64:$AB$207,3,0),"")</f>
        <v/>
      </c>
      <c r="M30" s="186" t="str">
        <f t="shared" ca="1" si="2"/>
        <v/>
      </c>
    </row>
    <row r="31" spans="2:13" ht="21.95" customHeight="1" thickBot="1" x14ac:dyDescent="0.25">
      <c r="B31" s="116" t="str">
        <f ca="1">IF($C31="","",INDEX(Calc1!$E$4:$E$12,MATCH($C31,Calc1!$F$4:$F$12,0)))</f>
        <v/>
      </c>
      <c r="C31" s="125" t="str">
        <f ca="1">IF(Calc1!$K$13=0,"",Calc1!$AH9)</f>
        <v/>
      </c>
      <c r="D31" s="129" t="str">
        <f ca="1">IF($C31="","",VLOOKUP($C31,Calc1!$C$17:$AC$25,25,0))</f>
        <v/>
      </c>
      <c r="E31" s="113" t="str">
        <f ca="1">IF($C31="","",VLOOKUP($C31,Calc1!$C$17:$AC$25,26,0))</f>
        <v/>
      </c>
      <c r="F31" s="154" t="str">
        <f ca="1">IF($C31="","",VLOOKUP($C31,Vorrunde!$AO$12:$AQ$47,3,0))</f>
        <v/>
      </c>
      <c r="G31" s="137" t="str">
        <f ca="1">IFERROR(VLOOKUP($C31&amp;G$25,Calc1!$Z$64:$AB$207,3,0),"")</f>
        <v/>
      </c>
      <c r="H31" s="113" t="str">
        <f ca="1">IFERROR(VLOOKUP($C31&amp;H$25,Calc1!$Z$64:$AB$207,3,0),"")</f>
        <v/>
      </c>
      <c r="I31" s="113" t="str">
        <f ca="1">IFERROR(VLOOKUP($C31&amp;I$25,Calc1!$Z$64:$AB$207,3,0),"")</f>
        <v/>
      </c>
      <c r="J31" s="113" t="str">
        <f ca="1">IFERROR(VLOOKUP($C31&amp;J$25,Calc1!$Z$64:$AB$207,3,0),"")</f>
        <v/>
      </c>
      <c r="K31" s="113" t="str">
        <f ca="1">IFERROR(VLOOKUP($C31&amp;K$25,Calc1!$Z$64:$AB$207,3,0),"")</f>
        <v/>
      </c>
      <c r="L31" s="158"/>
      <c r="M31" s="187"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7"/>
      <c r="C34" s="122" t="str">
        <f>Sprache!$E$10</f>
        <v>Teilnehmer bzw. Mannschaft</v>
      </c>
      <c r="D34" s="126" t="str">
        <f>Sprache!$E$27</f>
        <v>Pkt</v>
      </c>
      <c r="E34" s="114"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IF($C35="","",INDEX(Calc1!$E$4:$E$12,MATCH($C35,Calc1!$F$4:$F$12,0)))</f>
        <v/>
      </c>
      <c r="C35" s="123" t="str">
        <f ca="1">IF(Calc1!$K$13=0,"",Calc1!$AM4)</f>
        <v/>
      </c>
      <c r="D35" s="127" t="str">
        <f ca="1">IF($C35="","",VLOOKUP($C35,Calc1!$C$17:$AC$25,25,0))</f>
        <v/>
      </c>
      <c r="E35" s="111" t="str">
        <f ca="1">IF($C35="","",VLOOKUP($C35,Calc1!$C$17:$AC$25,26,0))</f>
        <v/>
      </c>
      <c r="F35" s="152" t="str">
        <f ca="1">IF($C35="","",VLOOKUP($C35,Vorrunde!$AO$12:$AQ$47,3,0))</f>
        <v/>
      </c>
      <c r="G35" s="135"/>
      <c r="H35" s="111" t="str">
        <f ca="1">IFERROR(VLOOKUP($C35&amp;H$34,Calc1!$Z$64:$AB$207,3,0),"")</f>
        <v/>
      </c>
      <c r="I35" s="111" t="str">
        <f ca="1">IFERROR(VLOOKUP($C35&amp;I$34,Calc1!$Z$64:$AB$207,3,0),"")</f>
        <v/>
      </c>
      <c r="J35" s="111" t="str">
        <f ca="1">IFERROR(VLOOKUP($C35&amp;J$34,Calc1!$Z$64:$AB$207,3,0),"")</f>
        <v/>
      </c>
      <c r="K35" s="111" t="str">
        <f ca="1">IFERROR(VLOOKUP($C35&amp;K$34,Calc1!$Z$64:$AB$207,3,0),"")</f>
        <v/>
      </c>
      <c r="L35" s="156" t="str">
        <f ca="1">IFERROR(VLOOKUP($C35&amp;L$34,Calc1!$Z$64:$AB$207,3,0),"")</f>
        <v/>
      </c>
      <c r="M35" s="185" t="str">
        <f t="shared" ref="M35:M40" ca="1" si="3">C35</f>
        <v/>
      </c>
    </row>
    <row r="36" spans="2:13" ht="21.95" customHeight="1" x14ac:dyDescent="0.2">
      <c r="B36" s="115" t="str">
        <f ca="1">IF($C36="","",INDEX(Calc1!$E$4:$E$12,MATCH($C36,Calc1!$F$4:$F$12,0)))</f>
        <v/>
      </c>
      <c r="C36" s="124" t="str">
        <f ca="1">IF(Calc1!$K$13=0,"",Calc1!$AM5)</f>
        <v/>
      </c>
      <c r="D36" s="128" t="str">
        <f ca="1">IF($C36="","",VLOOKUP($C36,Calc1!$C$17:$AC$25,25,0))</f>
        <v/>
      </c>
      <c r="E36" s="112" t="str">
        <f ca="1">IF($C36="","",VLOOKUP($C36,Calc1!$C$17:$AC$25,26,0))</f>
        <v/>
      </c>
      <c r="F36" s="153" t="str">
        <f ca="1">IF($C36="","",VLOOKUP($C36,Vorrunde!$AO$12:$AQ$47,3,0))</f>
        <v/>
      </c>
      <c r="G36" s="136" t="str">
        <f ca="1">IFERROR(VLOOKUP($C36&amp;G$34,Calc1!$Z$64:$AB$207,3,0),"")</f>
        <v/>
      </c>
      <c r="H36" s="121"/>
      <c r="I36" s="112" t="str">
        <f ca="1">IFERROR(VLOOKUP($C36&amp;I$34,Calc1!$Z$64:$AB$207,3,0),"")</f>
        <v/>
      </c>
      <c r="J36" s="112" t="str">
        <f ca="1">IFERROR(VLOOKUP($C36&amp;J$34,Calc1!$Z$64:$AB$207,3,0),"")</f>
        <v/>
      </c>
      <c r="K36" s="112" t="str">
        <f ca="1">IFERROR(VLOOKUP($C36&amp;K$34,Calc1!$Z$64:$AB$207,3,0),"")</f>
        <v/>
      </c>
      <c r="L36" s="157" t="str">
        <f ca="1">IFERROR(VLOOKUP($C36&amp;L$34,Calc1!$Z$64:$AB$207,3,0),"")</f>
        <v/>
      </c>
      <c r="M36" s="186" t="str">
        <f t="shared" ca="1" si="3"/>
        <v/>
      </c>
    </row>
    <row r="37" spans="2:13" ht="21.95" customHeight="1" x14ac:dyDescent="0.2">
      <c r="B37" s="115" t="str">
        <f ca="1">IF($C37="","",INDEX(Calc1!$E$4:$E$12,MATCH($C37,Calc1!$F$4:$F$12,0)))</f>
        <v/>
      </c>
      <c r="C37" s="124" t="str">
        <f ca="1">IF(Calc1!$K$13=0,"",Calc1!$AM6)</f>
        <v/>
      </c>
      <c r="D37" s="128" t="str">
        <f ca="1">IF($C37="","",VLOOKUP($C37,Calc1!$C$17:$AC$25,25,0))</f>
        <v/>
      </c>
      <c r="E37" s="112" t="str">
        <f ca="1">IF($C37="","",VLOOKUP($C37,Calc1!$C$17:$AC$25,26,0))</f>
        <v/>
      </c>
      <c r="F37" s="153" t="str">
        <f ca="1">IF($C37="","",VLOOKUP($C37,Vorrunde!$AO$12:$AQ$47,3,0))</f>
        <v/>
      </c>
      <c r="G37" s="136" t="str">
        <f ca="1">IFERROR(VLOOKUP($C37&amp;G$34,Calc1!$Z$64:$AB$207,3,0),"")</f>
        <v/>
      </c>
      <c r="H37" s="112" t="str">
        <f ca="1">IFERROR(VLOOKUP($C37&amp;H$34,Calc1!$Z$64:$AB$207,3,0),"")</f>
        <v/>
      </c>
      <c r="I37" s="121"/>
      <c r="J37" s="112" t="str">
        <f ca="1">IFERROR(VLOOKUP($C37&amp;J$34,Calc1!$Z$64:$AB$207,3,0),"")</f>
        <v/>
      </c>
      <c r="K37" s="112" t="str">
        <f ca="1">IFERROR(VLOOKUP($C37&amp;K$34,Calc1!$Z$64:$AB$207,3,0),"")</f>
        <v/>
      </c>
      <c r="L37" s="157" t="str">
        <f ca="1">IFERROR(VLOOKUP($C37&amp;L$34,Calc1!$Z$64:$AB$207,3,0),"")</f>
        <v/>
      </c>
      <c r="M37" s="186" t="str">
        <f t="shared" ca="1" si="3"/>
        <v/>
      </c>
    </row>
    <row r="38" spans="2:13" ht="21.95" customHeight="1" x14ac:dyDescent="0.2">
      <c r="B38" s="115" t="str">
        <f ca="1">IF($C38="","",INDEX(Calc1!$E$4:$E$12,MATCH($C38,Calc1!$F$4:$F$12,0)))</f>
        <v/>
      </c>
      <c r="C38" s="124" t="str">
        <f ca="1">IF(Calc1!$K$13=0,"",Calc1!$AM7)</f>
        <v/>
      </c>
      <c r="D38" s="128" t="str">
        <f ca="1">IF($C38="","",VLOOKUP($C38,Calc1!$C$17:$AC$25,25,0))</f>
        <v/>
      </c>
      <c r="E38" s="112" t="str">
        <f ca="1">IF($C38="","",VLOOKUP($C38,Calc1!$C$17:$AC$25,26,0))</f>
        <v/>
      </c>
      <c r="F38" s="153" t="str">
        <f ca="1">IF($C38="","",VLOOKUP($C38,Vorrunde!$AO$12:$AQ$47,3,0))</f>
        <v/>
      </c>
      <c r="G38" s="136" t="str">
        <f ca="1">IFERROR(VLOOKUP($C38&amp;G$34,Calc1!$Z$64:$AB$207,3,0),"")</f>
        <v/>
      </c>
      <c r="H38" s="112" t="str">
        <f ca="1">IFERROR(VLOOKUP($C38&amp;H$34,Calc1!$Z$64:$AB$207,3,0),"")</f>
        <v/>
      </c>
      <c r="I38" s="112" t="str">
        <f ca="1">IFERROR(VLOOKUP($C38&amp;I$34,Calc1!$Z$64:$AB$207,3,0),"")</f>
        <v/>
      </c>
      <c r="J38" s="121"/>
      <c r="K38" s="112" t="str">
        <f ca="1">IFERROR(VLOOKUP($C38&amp;K$34,Calc1!$Z$64:$AB$207,3,0),"")</f>
        <v/>
      </c>
      <c r="L38" s="157" t="str">
        <f ca="1">IFERROR(VLOOKUP($C38&amp;L$34,Calc1!$Z$64:$AB$207,3,0),"")</f>
        <v/>
      </c>
      <c r="M38" s="186" t="str">
        <f t="shared" ca="1" si="3"/>
        <v/>
      </c>
    </row>
    <row r="39" spans="2:13" ht="21.95" customHeight="1" x14ac:dyDescent="0.2">
      <c r="B39" s="115" t="str">
        <f ca="1">IF($C39="","",INDEX(Calc1!$E$4:$E$12,MATCH($C39,Calc1!$F$4:$F$12,0)))</f>
        <v/>
      </c>
      <c r="C39" s="124" t="str">
        <f ca="1">IF(Calc1!$K$13=0,"",Calc1!$AM8)</f>
        <v/>
      </c>
      <c r="D39" s="128" t="str">
        <f ca="1">IF($C39="","",VLOOKUP($C39,Calc1!$C$17:$AC$25,25,0))</f>
        <v/>
      </c>
      <c r="E39" s="112" t="str">
        <f ca="1">IF($C39="","",VLOOKUP($C39,Calc1!$C$17:$AC$25,26,0))</f>
        <v/>
      </c>
      <c r="F39" s="153" t="str">
        <f ca="1">IF($C39="","",VLOOKUP($C39,Vorrunde!$AO$12:$AQ$47,3,0))</f>
        <v/>
      </c>
      <c r="G39" s="136" t="str">
        <f ca="1">IFERROR(VLOOKUP($C39&amp;G$34,Calc1!$Z$64:$AB$207,3,0),"")</f>
        <v/>
      </c>
      <c r="H39" s="112" t="str">
        <f ca="1">IFERROR(VLOOKUP($C39&amp;H$34,Calc1!$Z$64:$AB$207,3,0),"")</f>
        <v/>
      </c>
      <c r="I39" s="112" t="str">
        <f ca="1">IFERROR(VLOOKUP($C39&amp;I$34,Calc1!$Z$64:$AB$207,3,0),"")</f>
        <v/>
      </c>
      <c r="J39" s="112" t="str">
        <f ca="1">IFERROR(VLOOKUP($C39&amp;J$34,Calc1!$Z$64:$AB$207,3,0),"")</f>
        <v/>
      </c>
      <c r="K39" s="121"/>
      <c r="L39" s="157" t="str">
        <f ca="1">IFERROR(VLOOKUP($C39&amp;L$34,Calc1!$Z$64:$AB$207,3,0),"")</f>
        <v/>
      </c>
      <c r="M39" s="186" t="str">
        <f t="shared" ca="1" si="3"/>
        <v/>
      </c>
    </row>
    <row r="40" spans="2:13" ht="21.95" customHeight="1" thickBot="1" x14ac:dyDescent="0.25">
      <c r="B40" s="116" t="str">
        <f ca="1">IF($C40="","",INDEX(Calc1!$E$4:$E$12,MATCH($C40,Calc1!$F$4:$F$12,0)))</f>
        <v/>
      </c>
      <c r="C40" s="125" t="str">
        <f ca="1">IF(Calc1!$K$13=0,"",Calc1!$AM9)</f>
        <v/>
      </c>
      <c r="D40" s="129" t="str">
        <f ca="1">IF($C40="","",VLOOKUP($C40,Calc1!$C$17:$AC$25,25,0))</f>
        <v/>
      </c>
      <c r="E40" s="113" t="str">
        <f ca="1">IF($C40="","",VLOOKUP($C40,Calc1!$C$17:$AC$25,26,0))</f>
        <v/>
      </c>
      <c r="F40" s="154" t="str">
        <f ca="1">IF($C40="","",VLOOKUP($C40,Vorrunde!$AO$12:$AQ$47,3,0))</f>
        <v/>
      </c>
      <c r="G40" s="137" t="str">
        <f ca="1">IFERROR(VLOOKUP($C40&amp;G$34,Calc1!$Z$64:$AB$207,3,0),"")</f>
        <v/>
      </c>
      <c r="H40" s="113" t="str">
        <f ca="1">IFERROR(VLOOKUP($C40&amp;H$34,Calc1!$Z$64:$AB$207,3,0),"")</f>
        <v/>
      </c>
      <c r="I40" s="113" t="str">
        <f ca="1">IFERROR(VLOOKUP($C40&amp;I$34,Calc1!$Z$64:$AB$207,3,0),"")</f>
        <v/>
      </c>
      <c r="J40" s="113" t="str">
        <f ca="1">IFERROR(VLOOKUP($C40&amp;J$34,Calc1!$Z$64:$AB$207,3,0),"")</f>
        <v/>
      </c>
      <c r="K40" s="113" t="str">
        <f ca="1">IFERROR(VLOOKUP($C40&amp;K$34,Calc1!$Z$64:$AB$207,3,0),"")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6"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63" t="str">
        <f>Sprache!$E$7</f>
        <v>Direkte Vergleiche</v>
      </c>
      <c r="C2" s="963"/>
      <c r="D2" s="963"/>
      <c r="E2" s="963"/>
      <c r="F2" s="963"/>
      <c r="G2" s="963"/>
      <c r="H2" s="963"/>
      <c r="I2" s="963"/>
      <c r="J2" s="963"/>
      <c r="K2" s="963"/>
      <c r="L2" s="963"/>
    </row>
    <row r="3" spans="2:13" ht="42.75" customHeight="1" x14ac:dyDescent="0.2">
      <c r="B3" s="964" t="str">
        <f>Sprache!$E$56&amp;" B"</f>
        <v>Vorrunde Gruppe B</v>
      </c>
      <c r="C3" s="964"/>
      <c r="D3" s="964"/>
      <c r="E3" s="964"/>
      <c r="F3" s="964"/>
      <c r="G3" s="964"/>
      <c r="H3" s="964"/>
      <c r="I3" s="964"/>
      <c r="J3" s="964"/>
      <c r="K3" s="964"/>
      <c r="L3" s="964"/>
    </row>
    <row r="4" spans="2:13" ht="17.25" customHeight="1" x14ac:dyDescent="0.2">
      <c r="B4" s="965" t="str">
        <f>Sprache!$E$88</f>
        <v>Rote Schrift bedeutet, dass die Rangfolge auch mit dem direkten Vergleich nicht geklärt ist. Ein Entscheidungsspiel oder Los muss hier entscheiden.</v>
      </c>
      <c r="C4" s="965"/>
      <c r="D4" s="965"/>
      <c r="E4" s="965"/>
      <c r="F4" s="965"/>
      <c r="G4" s="965"/>
      <c r="H4" s="965"/>
      <c r="I4" s="965"/>
      <c r="J4" s="965"/>
      <c r="K4" s="965"/>
      <c r="L4" s="965"/>
      <c r="M4" s="96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IF(LEN(G7)&gt;Einstellungen!$C$11,LEFT(G7,Einstellungen!$C$11)&amp;".",G7)</f>
        <v/>
      </c>
      <c r="H6" s="149" t="str">
        <f ca="1">IF(LEN(H7)&gt;Einstellungen!$C$11,LEFT(H7,Einstellungen!$C$11)&amp;".",H7)</f>
        <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7"/>
      <c r="C7" s="122" t="str">
        <f>Sprache!$E$10</f>
        <v>Teilnehmer bzw. Mannschaft</v>
      </c>
      <c r="D7" s="126" t="str">
        <f>Sprache!$E$27</f>
        <v>Pkt</v>
      </c>
      <c r="E7" s="114" t="str">
        <f>Sprache!$E$26</f>
        <v>Diff.</v>
      </c>
      <c r="F7" s="151" t="str">
        <f>Sprache!$E$49</f>
        <v>Tie-Break</v>
      </c>
      <c r="G7" s="130" t="str">
        <f ca="1">C8</f>
        <v/>
      </c>
      <c r="H7" s="131" t="str">
        <f ca="1">C9</f>
        <v/>
      </c>
      <c r="I7" s="131" t="str">
        <f ca="1">C10</f>
        <v/>
      </c>
      <c r="J7" s="131" t="str">
        <f ca="1">C11</f>
        <v/>
      </c>
      <c r="K7" s="131" t="str">
        <f ca="1">C12</f>
        <v/>
      </c>
      <c r="L7" s="155" t="str">
        <f ca="1">C13</f>
        <v/>
      </c>
    </row>
    <row r="8" spans="2:13" ht="21.95" customHeight="1" x14ac:dyDescent="0.2">
      <c r="B8" s="115" t="str">
        <f ca="1">IF($C8="","",INDEX(Calc2!$E$4:$E$12,MATCH($C8,Calc2!$F$4:$F$12,0)))</f>
        <v/>
      </c>
      <c r="C8" s="123" t="str">
        <f ca="1">IF(Calc2!$K$13=0,"",Calc2!$X4)</f>
        <v/>
      </c>
      <c r="D8" s="127" t="str">
        <f ca="1">IF($C8="","",VLOOKUP($C8,Calc2!$C$17:$AC$25,25,0))</f>
        <v/>
      </c>
      <c r="E8" s="111" t="str">
        <f ca="1">IF($C8="","",VLOOKUP($C8,Calc2!$C$17:$AC$25,26,0))</f>
        <v/>
      </c>
      <c r="F8" s="152" t="str">
        <f ca="1">IF($C8="","",VLOOKUP($C8,Vorrunde!$AO$12:$AQ$47,3,0))</f>
        <v/>
      </c>
      <c r="G8" s="135"/>
      <c r="H8" s="111" t="str">
        <f ca="1">IFERROR(VLOOKUP($C8&amp;H$7,Calc2!$Z$64:$AB$207,3,0),"")</f>
        <v/>
      </c>
      <c r="I8" s="111" t="str">
        <f ca="1">IFERROR(VLOOKUP($C8&amp;I$7,Calc2!$Z$64:$AB$207,3,0),"")</f>
        <v/>
      </c>
      <c r="J8" s="111" t="str">
        <f ca="1">IFERROR(VLOOKUP($C8&amp;J$7,Calc2!$Z$64:$AB$207,3,0),"")</f>
        <v/>
      </c>
      <c r="K8" s="111" t="str">
        <f ca="1">IFERROR(VLOOKUP($C8&amp;K$7,Calc2!$Z$64:$AB$207,3,0),"")</f>
        <v/>
      </c>
      <c r="L8" s="156" t="str">
        <f ca="1">IFERROR(VLOOKUP($C8&amp;L$7,Calc2!$Z$64:$AB$207,3,0),"")</f>
        <v/>
      </c>
      <c r="M8" s="185" t="str">
        <f t="shared" ref="M8:M13" ca="1" si="0">C8</f>
        <v/>
      </c>
    </row>
    <row r="9" spans="2:13" ht="21.95" customHeight="1" x14ac:dyDescent="0.2">
      <c r="B9" s="115" t="str">
        <f ca="1">IF($C9="","",INDEX(Calc2!$E$4:$E$12,MATCH($C9,Calc2!$F$4:$F$12,0)))</f>
        <v/>
      </c>
      <c r="C9" s="124" t="str">
        <f ca="1">IF(Calc2!$K$13=0,"",Calc2!$X5)</f>
        <v/>
      </c>
      <c r="D9" s="128" t="str">
        <f ca="1">IF($C9="","",VLOOKUP($C9,Calc2!$C$17:$AC$25,25,0))</f>
        <v/>
      </c>
      <c r="E9" s="112" t="str">
        <f ca="1">IF($C9="","",VLOOKUP($C9,Calc2!$C$17:$AC$25,26,0))</f>
        <v/>
      </c>
      <c r="F9" s="153" t="str">
        <f ca="1">IF($C9="","",VLOOKUP($C9,Vorrunde!$AO$12:$AQ$47,3,0))</f>
        <v/>
      </c>
      <c r="G9" s="136" t="str">
        <f ca="1">IFERROR(VLOOKUP($C9&amp;G$7,Calc2!$Z$64:$AB$207,3,0),"")</f>
        <v/>
      </c>
      <c r="H9" s="121"/>
      <c r="I9" s="112" t="str">
        <f ca="1">IFERROR(VLOOKUP($C9&amp;I$7,Calc2!$Z$64:$AB$207,3,0),"")</f>
        <v/>
      </c>
      <c r="J9" s="112" t="str">
        <f ca="1">IFERROR(VLOOKUP($C9&amp;J$7,Calc2!$Z$64:$AB$207,3,0),"")</f>
        <v/>
      </c>
      <c r="K9" s="112" t="str">
        <f ca="1">IFERROR(VLOOKUP($C9&amp;K$7,Calc2!$Z$64:$AB$207,3,0),"")</f>
        <v/>
      </c>
      <c r="L9" s="157" t="str">
        <f ca="1">IFERROR(VLOOKUP($C9&amp;L$7,Calc2!$Z$64:$AB$207,3,0),"")</f>
        <v/>
      </c>
      <c r="M9" s="186" t="str">
        <f t="shared" ca="1" si="0"/>
        <v/>
      </c>
    </row>
    <row r="10" spans="2:13" ht="21.95" customHeight="1" x14ac:dyDescent="0.2">
      <c r="B10" s="115" t="str">
        <f ca="1">IF($C10="","",INDEX(Calc2!$E$4:$E$12,MATCH($C10,Calc2!$F$4:$F$12,0)))</f>
        <v/>
      </c>
      <c r="C10" s="124" t="str">
        <f ca="1">IF(Calc2!$K$13=0,"",Calc2!$X6)</f>
        <v/>
      </c>
      <c r="D10" s="128" t="str">
        <f ca="1">IF($C10="","",VLOOKUP($C10,Calc2!$C$17:$AC$25,25,0))</f>
        <v/>
      </c>
      <c r="E10" s="112" t="str">
        <f ca="1">IF($C10="","",VLOOKUP($C10,Calc2!$C$17:$AC$25,26,0))</f>
        <v/>
      </c>
      <c r="F10" s="153" t="str">
        <f ca="1">IF($C10="","",VLOOKUP($C10,Vorrunde!$AO$12:$AQ$47,3,0))</f>
        <v/>
      </c>
      <c r="G10" s="136" t="str">
        <f ca="1">IFERROR(VLOOKUP($C10&amp;G$7,Calc2!$Z$64:$AB$207,3,0),"")</f>
        <v/>
      </c>
      <c r="H10" s="112" t="str">
        <f ca="1">IFERROR(VLOOKUP($C10&amp;H$7,Calc2!$Z$64:$AB$207,3,0),"")</f>
        <v/>
      </c>
      <c r="I10" s="121"/>
      <c r="J10" s="112" t="str">
        <f ca="1">IFERROR(VLOOKUP($C10&amp;J$7,Calc2!$Z$64:$AB$207,3,0),"")</f>
        <v/>
      </c>
      <c r="K10" s="112" t="str">
        <f ca="1">IFERROR(VLOOKUP($C10&amp;K$7,Calc2!$Z$64:$AB$207,3,0),"")</f>
        <v/>
      </c>
      <c r="L10" s="157" t="str">
        <f ca="1">IFERROR(VLOOKUP($C10&amp;L$7,Calc2!$Z$64:$AB$207,3,0),"")</f>
        <v/>
      </c>
      <c r="M10" s="186" t="str">
        <f t="shared" ca="1" si="0"/>
        <v/>
      </c>
    </row>
    <row r="11" spans="2:13" ht="21.95" customHeight="1" x14ac:dyDescent="0.2">
      <c r="B11" s="115" t="str">
        <f ca="1">IF($C11="","",INDEX(Calc2!$E$4:$E$12,MATCH($C11,Calc2!$F$4:$F$12,0)))</f>
        <v/>
      </c>
      <c r="C11" s="124" t="str">
        <f ca="1">IF(Calc2!$K$13=0,"",Calc2!$X7)</f>
        <v/>
      </c>
      <c r="D11" s="128" t="str">
        <f ca="1">IF($C11="","",VLOOKUP($C11,Calc2!$C$17:$AC$25,25,0))</f>
        <v/>
      </c>
      <c r="E11" s="112" t="str">
        <f ca="1">IF($C11="","",VLOOKUP($C11,Calc2!$C$17:$AC$25,26,0))</f>
        <v/>
      </c>
      <c r="F11" s="153" t="str">
        <f ca="1">IF($C11="","",VLOOKUP($C11,Vorrunde!$AO$12:$AQ$47,3,0))</f>
        <v/>
      </c>
      <c r="G11" s="136" t="str">
        <f ca="1">IFERROR(VLOOKUP($C11&amp;G$7,Calc2!$Z$64:$AB$207,3,0),"")</f>
        <v/>
      </c>
      <c r="H11" s="112" t="str">
        <f ca="1">IFERROR(VLOOKUP($C11&amp;H$7,Calc2!$Z$64:$AB$207,3,0),"")</f>
        <v/>
      </c>
      <c r="I11" s="112" t="str">
        <f ca="1">IFERROR(VLOOKUP($C11&amp;I$7,Calc2!$Z$64:$AB$207,3,0),"")</f>
        <v/>
      </c>
      <c r="J11" s="121"/>
      <c r="K11" s="112" t="str">
        <f ca="1">IFERROR(VLOOKUP($C11&amp;K$7,Calc2!$Z$64:$AB$207,3,0),"")</f>
        <v/>
      </c>
      <c r="L11" s="157" t="str">
        <f ca="1">IFERROR(VLOOKUP($C11&amp;L$7,Calc2!$Z$64:$AB$207,3,0),"")</f>
        <v/>
      </c>
      <c r="M11" s="186" t="str">
        <f t="shared" ca="1" si="0"/>
        <v/>
      </c>
    </row>
    <row r="12" spans="2:13" ht="21.95" customHeight="1" x14ac:dyDescent="0.2">
      <c r="B12" s="115" t="str">
        <f ca="1">IF($C12="","",INDEX(Calc2!$E$4:$E$12,MATCH($C12,Calc2!$F$4:$F$12,0)))</f>
        <v/>
      </c>
      <c r="C12" s="124" t="str">
        <f ca="1">IF(Calc2!$K$13=0,"",Calc2!$X8)</f>
        <v/>
      </c>
      <c r="D12" s="128" t="str">
        <f ca="1">IF($C12="","",VLOOKUP($C12,Calc2!$C$17:$AC$25,25,0))</f>
        <v/>
      </c>
      <c r="E12" s="112" t="str">
        <f ca="1">IF($C12="","",VLOOKUP($C12,Calc2!$C$17:$AC$25,26,0))</f>
        <v/>
      </c>
      <c r="F12" s="153" t="str">
        <f ca="1">IF($C12="","",VLOOKUP($C12,Vorrunde!$AO$12:$AQ$47,3,0))</f>
        <v/>
      </c>
      <c r="G12" s="136" t="str">
        <f ca="1">IFERROR(VLOOKUP($C12&amp;G$7,Calc2!$Z$64:$AB$207,3,0),"")</f>
        <v/>
      </c>
      <c r="H12" s="112" t="str">
        <f ca="1">IFERROR(VLOOKUP($C12&amp;H$7,Calc2!$Z$64:$AB$207,3,0),"")</f>
        <v/>
      </c>
      <c r="I12" s="112" t="str">
        <f ca="1">IFERROR(VLOOKUP($C12&amp;I$7,Calc2!$Z$64:$AB$207,3,0),"")</f>
        <v/>
      </c>
      <c r="J12" s="112" t="str">
        <f ca="1">IFERROR(VLOOKUP($C12&amp;J$7,Calc2!$Z$64:$AB$207,3,0),"")</f>
        <v/>
      </c>
      <c r="K12" s="121"/>
      <c r="L12" s="157" t="str">
        <f ca="1">IFERROR(VLOOKUP($C12&amp;L$7,Calc2!$Z$64:$AB$207,3,0),"")</f>
        <v/>
      </c>
      <c r="M12" s="186" t="str">
        <f t="shared" ca="1" si="0"/>
        <v/>
      </c>
    </row>
    <row r="13" spans="2:13" ht="21.95" customHeight="1" thickBot="1" x14ac:dyDescent="0.25">
      <c r="B13" s="116" t="str">
        <f ca="1">IF($C13="","",INDEX(Calc2!$E$4:$E$12,MATCH($C13,Calc2!$F$4:$F$12,0)))</f>
        <v/>
      </c>
      <c r="C13" s="125" t="str">
        <f ca="1">IF(Calc2!$K$13=0,"",Calc2!$X9)</f>
        <v/>
      </c>
      <c r="D13" s="129" t="str">
        <f ca="1">IF($C13="","",VLOOKUP($C13,Calc2!$C$17:$AC$25,25,0))</f>
        <v/>
      </c>
      <c r="E13" s="113" t="str">
        <f ca="1">IF($C13="","",VLOOKUP($C13,Calc2!$C$17:$AC$25,26,0))</f>
        <v/>
      </c>
      <c r="F13" s="154" t="str">
        <f ca="1">IF($C13="","",VLOOKUP($C13,Vorrunde!$AO$12:$AQ$47,3,0))</f>
        <v/>
      </c>
      <c r="G13" s="137" t="str">
        <f ca="1">IFERROR(VLOOKUP($C13&amp;G$7,Calc2!$Z$64:$AB$207,3,0),"")</f>
        <v/>
      </c>
      <c r="H13" s="113" t="str">
        <f ca="1">IFERROR(VLOOKUP($C13&amp;H$7,Calc2!$Z$64:$AB$207,3,0),"")</f>
        <v/>
      </c>
      <c r="I13" s="113" t="str">
        <f ca="1">IFERROR(VLOOKUP($C13&amp;I$7,Calc2!$Z$64:$AB$207,3,0),"")</f>
        <v/>
      </c>
      <c r="J13" s="113" t="str">
        <f ca="1">IFERROR(VLOOKUP($C13&amp;J$7,Calc2!$Z$64:$AB$207,3,0),"")</f>
        <v/>
      </c>
      <c r="K13" s="113" t="str">
        <f ca="1">IFERROR(VLOOKUP($C13&amp;K$7,Calc2!$Z$64:$AB$207,3,0),"")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7"/>
      <c r="C16" s="122" t="str">
        <f>Sprache!$E$10</f>
        <v>Teilnehmer bzw. Mannschaft</v>
      </c>
      <c r="D16" s="126" t="str">
        <f>Sprache!$E$27</f>
        <v>Pkt</v>
      </c>
      <c r="E16" s="114"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IF($C17="","",INDEX(Calc2!$E$4:$E$12,MATCH($C17,Calc2!$F$4:$F$12,0)))</f>
        <v/>
      </c>
      <c r="C17" s="123" t="str">
        <f ca="1">IF(Calc2!$K$13=0,"",Calc2!$AC4)</f>
        <v/>
      </c>
      <c r="D17" s="127" t="str">
        <f ca="1">IF($C17="","",VLOOKUP($C17,Calc2!$C$17:$AC$25,25,0))</f>
        <v/>
      </c>
      <c r="E17" s="111" t="str">
        <f ca="1">IF($C17="","",VLOOKUP($C17,Calc2!$C$17:$AC$25,26,0))</f>
        <v/>
      </c>
      <c r="F17" s="152" t="str">
        <f ca="1">IF($C17="","",VLOOKUP($C17,Vorrunde!$AO$12:$AQ$47,3,0))</f>
        <v/>
      </c>
      <c r="G17" s="135"/>
      <c r="H17" s="111" t="str">
        <f ca="1">IFERROR(VLOOKUP($C17&amp;H$16,Calc2!$Z$64:$AB$207,3,0),"")</f>
        <v/>
      </c>
      <c r="I17" s="111" t="str">
        <f ca="1">IFERROR(VLOOKUP($C17&amp;I$16,Calc2!$Z$64:$AB$207,3,0),"")</f>
        <v/>
      </c>
      <c r="J17" s="111" t="str">
        <f ca="1">IFERROR(VLOOKUP($C17&amp;J$16,Calc2!$Z$64:$AB$207,3,0),"")</f>
        <v/>
      </c>
      <c r="K17" s="111" t="str">
        <f ca="1">IFERROR(VLOOKUP($C17&amp;K$16,Calc2!$Z$64:$AB$207,3,0),"")</f>
        <v/>
      </c>
      <c r="L17" s="156" t="str">
        <f ca="1">IFERROR(VLOOKUP($C17&amp;L$16,Calc2!$Z$64:$AB$207,3,0),"")</f>
        <v/>
      </c>
      <c r="M17" s="185" t="str">
        <f t="shared" ref="M17:M22" ca="1" si="1">C17</f>
        <v/>
      </c>
    </row>
    <row r="18" spans="2:13" ht="21.95" customHeight="1" x14ac:dyDescent="0.2">
      <c r="B18" s="115" t="str">
        <f ca="1">IF($C18="","",INDEX(Calc2!$E$4:$E$12,MATCH($C18,Calc2!$F$4:$F$12,0)))</f>
        <v/>
      </c>
      <c r="C18" s="124" t="str">
        <f ca="1">IF(Calc2!$K$13=0,"",Calc2!$AC5)</f>
        <v/>
      </c>
      <c r="D18" s="128" t="str">
        <f ca="1">IF($C18="","",VLOOKUP($C18,Calc2!$C$17:$AC$25,25,0))</f>
        <v/>
      </c>
      <c r="E18" s="112" t="str">
        <f ca="1">IF($C18="","",VLOOKUP($C18,Calc2!$C$17:$AC$25,26,0))</f>
        <v/>
      </c>
      <c r="F18" s="153" t="str">
        <f ca="1">IF($C18="","",VLOOKUP($C18,Vorrunde!$AO$12:$AQ$47,3,0))</f>
        <v/>
      </c>
      <c r="G18" s="136" t="str">
        <f ca="1">IFERROR(VLOOKUP($C18&amp;G$16,Calc2!$Z$64:$AB$207,3,0),"")</f>
        <v/>
      </c>
      <c r="H18" s="121"/>
      <c r="I18" s="112" t="str">
        <f ca="1">IFERROR(VLOOKUP($C18&amp;I$16,Calc2!$Z$64:$AB$207,3,0),"")</f>
        <v/>
      </c>
      <c r="J18" s="112" t="str">
        <f ca="1">IFERROR(VLOOKUP($C18&amp;J$16,Calc2!$Z$64:$AB$207,3,0),"")</f>
        <v/>
      </c>
      <c r="K18" s="112" t="str">
        <f ca="1">IFERROR(VLOOKUP($C18&amp;K$16,Calc2!$Z$64:$AB$207,3,0),"")</f>
        <v/>
      </c>
      <c r="L18" s="157" t="str">
        <f ca="1">IFERROR(VLOOKUP($C18&amp;L$16,Calc2!$Z$64:$AB$207,3,0),"")</f>
        <v/>
      </c>
      <c r="M18" s="186" t="str">
        <f t="shared" ca="1" si="1"/>
        <v/>
      </c>
    </row>
    <row r="19" spans="2:13" ht="21.95" customHeight="1" x14ac:dyDescent="0.2">
      <c r="B19" s="115" t="str">
        <f ca="1">IF($C19="","",INDEX(Calc2!$E$4:$E$12,MATCH($C19,Calc2!$F$4:$F$12,0)))</f>
        <v/>
      </c>
      <c r="C19" s="124" t="str">
        <f ca="1">IF(Calc2!$K$13=0,"",Calc2!$AC6)</f>
        <v/>
      </c>
      <c r="D19" s="128" t="str">
        <f ca="1">IF($C19="","",VLOOKUP($C19,Calc2!$C$17:$AC$25,25,0))</f>
        <v/>
      </c>
      <c r="E19" s="112" t="str">
        <f ca="1">IF($C19="","",VLOOKUP($C19,Calc2!$C$17:$AC$25,26,0))</f>
        <v/>
      </c>
      <c r="F19" s="153" t="str">
        <f ca="1">IF($C19="","",VLOOKUP($C19,Vorrunde!$AO$12:$AQ$47,3,0))</f>
        <v/>
      </c>
      <c r="G19" s="136" t="str">
        <f ca="1">IFERROR(VLOOKUP($C19&amp;G$16,Calc2!$Z$64:$AB$207,3,0),"")</f>
        <v/>
      </c>
      <c r="H19" s="112" t="str">
        <f ca="1">IFERROR(VLOOKUP($C19&amp;H$16,Calc2!$Z$64:$AB$207,3,0),"")</f>
        <v/>
      </c>
      <c r="I19" s="121"/>
      <c r="J19" s="112" t="str">
        <f ca="1">IFERROR(VLOOKUP($C19&amp;J$16,Calc2!$Z$64:$AB$207,3,0),"")</f>
        <v/>
      </c>
      <c r="K19" s="112" t="str">
        <f ca="1">IFERROR(VLOOKUP($C19&amp;K$16,Calc2!$Z$64:$AB$207,3,0),"")</f>
        <v/>
      </c>
      <c r="L19" s="157" t="str">
        <f ca="1">IFERROR(VLOOKUP($C19&amp;L$16,Calc2!$Z$64:$AB$207,3,0),"")</f>
        <v/>
      </c>
      <c r="M19" s="186" t="str">
        <f t="shared" ca="1" si="1"/>
        <v/>
      </c>
    </row>
    <row r="20" spans="2:13" ht="21.95" customHeight="1" x14ac:dyDescent="0.2">
      <c r="B20" s="115" t="str">
        <f ca="1">IF($C20="","",INDEX(Calc2!$E$4:$E$12,MATCH($C20,Calc2!$F$4:$F$12,0)))</f>
        <v/>
      </c>
      <c r="C20" s="124" t="str">
        <f ca="1">IF(Calc2!$K$13=0,"",Calc2!$AC7)</f>
        <v/>
      </c>
      <c r="D20" s="128" t="str">
        <f ca="1">IF($C20="","",VLOOKUP($C20,Calc2!$C$17:$AC$25,25,0))</f>
        <v/>
      </c>
      <c r="E20" s="112" t="str">
        <f ca="1">IF($C20="","",VLOOKUP($C20,Calc2!$C$17:$AC$25,26,0))</f>
        <v/>
      </c>
      <c r="F20" s="153" t="str">
        <f ca="1">IF($C20="","",VLOOKUP($C20,Vorrunde!$AO$12:$AQ$47,3,0))</f>
        <v/>
      </c>
      <c r="G20" s="136" t="str">
        <f ca="1">IFERROR(VLOOKUP($C20&amp;G$16,Calc2!$Z$64:$AB$207,3,0),"")</f>
        <v/>
      </c>
      <c r="H20" s="112" t="str">
        <f ca="1">IFERROR(VLOOKUP($C20&amp;H$16,Calc2!$Z$64:$AB$207,3,0),"")</f>
        <v/>
      </c>
      <c r="I20" s="112" t="str">
        <f ca="1">IFERROR(VLOOKUP($C20&amp;I$16,Calc2!$Z$64:$AB$207,3,0),"")</f>
        <v/>
      </c>
      <c r="J20" s="121"/>
      <c r="K20" s="112" t="str">
        <f ca="1">IFERROR(VLOOKUP($C20&amp;K$16,Calc2!$Z$64:$AB$207,3,0),"")</f>
        <v/>
      </c>
      <c r="L20" s="157" t="str">
        <f ca="1">IFERROR(VLOOKUP($C20&amp;L$16,Calc2!$Z$64:$AB$207,3,0),"")</f>
        <v/>
      </c>
      <c r="M20" s="186" t="str">
        <f t="shared" ca="1" si="1"/>
        <v/>
      </c>
    </row>
    <row r="21" spans="2:13" ht="21.95" customHeight="1" x14ac:dyDescent="0.2">
      <c r="B21" s="115" t="str">
        <f ca="1">IF($C21="","",INDEX(Calc2!$E$4:$E$12,MATCH($C21,Calc2!$F$4:$F$12,0)))</f>
        <v/>
      </c>
      <c r="C21" s="124" t="str">
        <f ca="1">IF(Calc2!$K$13=0,"",Calc2!$AC8)</f>
        <v/>
      </c>
      <c r="D21" s="128" t="str">
        <f ca="1">IF($C21="","",VLOOKUP($C21,Calc2!$C$17:$AC$25,25,0))</f>
        <v/>
      </c>
      <c r="E21" s="112" t="str">
        <f ca="1">IF($C21="","",VLOOKUP($C21,Calc2!$C$17:$AC$25,26,0))</f>
        <v/>
      </c>
      <c r="F21" s="153" t="str">
        <f ca="1">IF($C21="","",VLOOKUP($C21,Vorrunde!$AO$12:$AQ$47,3,0))</f>
        <v/>
      </c>
      <c r="G21" s="136" t="str">
        <f ca="1">IFERROR(VLOOKUP($C21&amp;G$16,Calc2!$Z$64:$AB$207,3,0),"")</f>
        <v/>
      </c>
      <c r="H21" s="112" t="str">
        <f ca="1">IFERROR(VLOOKUP($C21&amp;H$16,Calc2!$Z$64:$AB$207,3,0),"")</f>
        <v/>
      </c>
      <c r="I21" s="112" t="str">
        <f ca="1">IFERROR(VLOOKUP($C21&amp;I$16,Calc2!$Z$64:$AB$207,3,0),"")</f>
        <v/>
      </c>
      <c r="J21" s="112" t="str">
        <f ca="1">IFERROR(VLOOKUP($C21&amp;J$16,Calc2!$Z$64:$AB$207,3,0),"")</f>
        <v/>
      </c>
      <c r="K21" s="121"/>
      <c r="L21" s="157" t="str">
        <f ca="1">IFERROR(VLOOKUP($C21&amp;L$16,Calc2!$Z$64:$AB$207,3,0),"")</f>
        <v/>
      </c>
      <c r="M21" s="186" t="str">
        <f t="shared" ca="1" si="1"/>
        <v/>
      </c>
    </row>
    <row r="22" spans="2:13" ht="21.95" customHeight="1" thickBot="1" x14ac:dyDescent="0.25">
      <c r="B22" s="116" t="str">
        <f ca="1">IF($C22="","",INDEX(Calc2!$E$4:$E$12,MATCH($C22,Calc2!$F$4:$F$12,0)))</f>
        <v/>
      </c>
      <c r="C22" s="125" t="str">
        <f ca="1">IF(Calc2!$K$13=0,"",Calc2!$AC9)</f>
        <v/>
      </c>
      <c r="D22" s="129" t="str">
        <f ca="1">IF($C22="","",VLOOKUP($C22,Calc2!$C$17:$AC$25,25,0))</f>
        <v/>
      </c>
      <c r="E22" s="113" t="str">
        <f ca="1">IF($C22="","",VLOOKUP($C22,Calc2!$C$17:$AC$25,26,0))</f>
        <v/>
      </c>
      <c r="F22" s="154" t="str">
        <f ca="1">IF($C22="","",VLOOKUP($C22,Vorrunde!$AO$12:$AQ$47,3,0))</f>
        <v/>
      </c>
      <c r="G22" s="137" t="str">
        <f ca="1">IFERROR(VLOOKUP($C22&amp;G$16,Calc2!$Z$64:$AB$207,3,0),"")</f>
        <v/>
      </c>
      <c r="H22" s="113" t="str">
        <f ca="1">IFERROR(VLOOKUP($C22&amp;H$16,Calc2!$Z$64:$AB$207,3,0),"")</f>
        <v/>
      </c>
      <c r="I22" s="113" t="str">
        <f ca="1">IFERROR(VLOOKUP($C22&amp;I$16,Calc2!$Z$64:$AB$207,3,0),"")</f>
        <v/>
      </c>
      <c r="J22" s="113" t="str">
        <f ca="1">IFERROR(VLOOKUP($C22&amp;J$16,Calc2!$Z$64:$AB$207,3,0),"")</f>
        <v/>
      </c>
      <c r="K22" s="113" t="str">
        <f ca="1">IFERROR(VLOOKUP($C22&amp;K$16,Calc2!$Z$64:$AB$207,3,0),"")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7"/>
      <c r="C25" s="122" t="str">
        <f>Sprache!$E$10</f>
        <v>Teilnehmer bzw. Mannschaft</v>
      </c>
      <c r="D25" s="126" t="str">
        <f>Sprache!$E$27</f>
        <v>Pkt</v>
      </c>
      <c r="E25" s="114"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IF($C26="","",INDEX(Calc2!$E$4:$E$12,MATCH($C26,Calc2!$F$4:$F$12,0)))</f>
        <v/>
      </c>
      <c r="C26" s="123" t="str">
        <f ca="1">IF(Calc2!$K$13=0,"",Calc2!$AH4)</f>
        <v/>
      </c>
      <c r="D26" s="127" t="str">
        <f ca="1">IF($C26="","",VLOOKUP($C26,Calc2!$C$17:$AC$25,25,0))</f>
        <v/>
      </c>
      <c r="E26" s="111" t="str">
        <f ca="1">IF($C26="","",VLOOKUP($C26,Calc2!$C$17:$AC$25,26,0))</f>
        <v/>
      </c>
      <c r="F26" s="152" t="str">
        <f ca="1">IF($C26="","",VLOOKUP($C26,Vorrunde!$AO$12:$AQ$47,3,0))</f>
        <v/>
      </c>
      <c r="G26" s="135"/>
      <c r="H26" s="111" t="str">
        <f ca="1">IFERROR(VLOOKUP($C26&amp;H$25,Calc2!$Z$64:$AB$207,3,0),"")</f>
        <v/>
      </c>
      <c r="I26" s="111" t="str">
        <f ca="1">IFERROR(VLOOKUP($C26&amp;I$25,Calc2!$Z$64:$AB$207,3,0),"")</f>
        <v/>
      </c>
      <c r="J26" s="111" t="str">
        <f ca="1">IFERROR(VLOOKUP($C26&amp;J$25,Calc2!$Z$64:$AB$207,3,0),"")</f>
        <v/>
      </c>
      <c r="K26" s="111" t="str">
        <f ca="1">IFERROR(VLOOKUP($C26&amp;K$25,Calc2!$Z$64:$AB$207,3,0),"")</f>
        <v/>
      </c>
      <c r="L26" s="156" t="str">
        <f ca="1">IFERROR(VLOOKUP($C26&amp;L$25,Calc2!$Z$64:$AB$207,3,0),"")</f>
        <v/>
      </c>
      <c r="M26" s="185" t="str">
        <f t="shared" ref="M26:M31" ca="1" si="2">C26</f>
        <v/>
      </c>
    </row>
    <row r="27" spans="2:13" ht="21.95" customHeight="1" x14ac:dyDescent="0.2">
      <c r="B27" s="115" t="str">
        <f ca="1">IF($C27="","",INDEX(Calc2!$E$4:$E$12,MATCH($C27,Calc2!$F$4:$F$12,0)))</f>
        <v/>
      </c>
      <c r="C27" s="124" t="str">
        <f ca="1">IF(Calc2!$K$13=0,"",Calc2!$AH5)</f>
        <v/>
      </c>
      <c r="D27" s="128" t="str">
        <f ca="1">IF($C27="","",VLOOKUP($C27,Calc2!$C$17:$AC$25,25,0))</f>
        <v/>
      </c>
      <c r="E27" s="112" t="str">
        <f ca="1">IF($C27="","",VLOOKUP($C27,Calc2!$C$17:$AC$25,26,0))</f>
        <v/>
      </c>
      <c r="F27" s="153" t="str">
        <f ca="1">IF($C27="","",VLOOKUP($C27,Vorrunde!$AO$12:$AQ$47,3,0))</f>
        <v/>
      </c>
      <c r="G27" s="136" t="str">
        <f ca="1">IFERROR(VLOOKUP($C27&amp;G$25,Calc2!$Z$64:$AB$207,3,0),"")</f>
        <v/>
      </c>
      <c r="H27" s="121"/>
      <c r="I27" s="112" t="str">
        <f ca="1">IFERROR(VLOOKUP($C27&amp;I$25,Calc2!$Z$64:$AB$207,3,0),"")</f>
        <v/>
      </c>
      <c r="J27" s="112" t="str">
        <f ca="1">IFERROR(VLOOKUP($C27&amp;J$25,Calc2!$Z$64:$AB$207,3,0),"")</f>
        <v/>
      </c>
      <c r="K27" s="112" t="str">
        <f ca="1">IFERROR(VLOOKUP($C27&amp;K$25,Calc2!$Z$64:$AB$207,3,0),"")</f>
        <v/>
      </c>
      <c r="L27" s="157" t="str">
        <f ca="1">IFERROR(VLOOKUP($C27&amp;L$25,Calc2!$Z$64:$AB$207,3,0),"")</f>
        <v/>
      </c>
      <c r="M27" s="186" t="str">
        <f t="shared" ca="1" si="2"/>
        <v/>
      </c>
    </row>
    <row r="28" spans="2:13" ht="21.95" customHeight="1" x14ac:dyDescent="0.2">
      <c r="B28" s="115" t="str">
        <f ca="1">IF($C28="","",INDEX(Calc2!$E$4:$E$12,MATCH($C28,Calc2!$F$4:$F$12,0)))</f>
        <v/>
      </c>
      <c r="C28" s="124" t="str">
        <f ca="1">IF(Calc2!$K$13=0,"",Calc2!$AH6)</f>
        <v/>
      </c>
      <c r="D28" s="128" t="str">
        <f ca="1">IF($C28="","",VLOOKUP($C28,Calc2!$C$17:$AC$25,25,0))</f>
        <v/>
      </c>
      <c r="E28" s="112" t="str">
        <f ca="1">IF($C28="","",VLOOKUP($C28,Calc2!$C$17:$AC$25,26,0))</f>
        <v/>
      </c>
      <c r="F28" s="153" t="str">
        <f ca="1">IF($C28="","",VLOOKUP($C28,Vorrunde!$AO$12:$AQ$47,3,0))</f>
        <v/>
      </c>
      <c r="G28" s="136" t="str">
        <f ca="1">IFERROR(VLOOKUP($C28&amp;G$25,Calc2!$Z$64:$AB$207,3,0),"")</f>
        <v/>
      </c>
      <c r="H28" s="112" t="str">
        <f ca="1">IFERROR(VLOOKUP($C28&amp;H$25,Calc2!$Z$64:$AB$207,3,0),"")</f>
        <v/>
      </c>
      <c r="I28" s="121"/>
      <c r="J28" s="112" t="str">
        <f ca="1">IFERROR(VLOOKUP($C28&amp;J$25,Calc2!$Z$64:$AB$207,3,0),"")</f>
        <v/>
      </c>
      <c r="K28" s="112" t="str">
        <f ca="1">IFERROR(VLOOKUP($C28&amp;K$25,Calc2!$Z$64:$AB$207,3,0),"")</f>
        <v/>
      </c>
      <c r="L28" s="157" t="str">
        <f ca="1">IFERROR(VLOOKUP($C28&amp;L$25,Calc2!$Z$64:$AB$207,3,0),"")</f>
        <v/>
      </c>
      <c r="M28" s="186" t="str">
        <f t="shared" ca="1" si="2"/>
        <v/>
      </c>
    </row>
    <row r="29" spans="2:13" ht="21.95" customHeight="1" x14ac:dyDescent="0.2">
      <c r="B29" s="115" t="str">
        <f ca="1">IF($C29="","",INDEX(Calc2!$E$4:$E$12,MATCH($C29,Calc2!$F$4:$F$12,0)))</f>
        <v/>
      </c>
      <c r="C29" s="124" t="str">
        <f ca="1">IF(Calc2!$K$13=0,"",Calc2!$AH7)</f>
        <v/>
      </c>
      <c r="D29" s="128" t="str">
        <f ca="1">IF($C29="","",VLOOKUP($C29,Calc2!$C$17:$AC$25,25,0))</f>
        <v/>
      </c>
      <c r="E29" s="112" t="str">
        <f ca="1">IF($C29="","",VLOOKUP($C29,Calc2!$C$17:$AC$25,26,0))</f>
        <v/>
      </c>
      <c r="F29" s="153" t="str">
        <f ca="1">IF($C29="","",VLOOKUP($C29,Vorrunde!$AO$12:$AQ$47,3,0))</f>
        <v/>
      </c>
      <c r="G29" s="136" t="str">
        <f ca="1">IFERROR(VLOOKUP($C29&amp;G$25,Calc2!$Z$64:$AB$207,3,0),"")</f>
        <v/>
      </c>
      <c r="H29" s="112" t="str">
        <f ca="1">IFERROR(VLOOKUP($C29&amp;H$25,Calc2!$Z$64:$AB$207,3,0),"")</f>
        <v/>
      </c>
      <c r="I29" s="112" t="str">
        <f ca="1">IFERROR(VLOOKUP($C29&amp;I$25,Calc2!$Z$64:$AB$207,3,0),"")</f>
        <v/>
      </c>
      <c r="J29" s="121"/>
      <c r="K29" s="112" t="str">
        <f ca="1">IFERROR(VLOOKUP($C29&amp;K$25,Calc2!$Z$64:$AB$207,3,0),"")</f>
        <v/>
      </c>
      <c r="L29" s="157" t="str">
        <f ca="1">IFERROR(VLOOKUP($C29&amp;L$25,Calc2!$Z$64:$AB$207,3,0),"")</f>
        <v/>
      </c>
      <c r="M29" s="186" t="str">
        <f t="shared" ca="1" si="2"/>
        <v/>
      </c>
    </row>
    <row r="30" spans="2:13" ht="21.95" customHeight="1" x14ac:dyDescent="0.2">
      <c r="B30" s="115" t="str">
        <f ca="1">IF($C30="","",INDEX(Calc2!$E$4:$E$12,MATCH($C30,Calc2!$F$4:$F$12,0)))</f>
        <v/>
      </c>
      <c r="C30" s="124" t="str">
        <f ca="1">IF(Calc2!$K$13=0,"",Calc2!$AH8)</f>
        <v/>
      </c>
      <c r="D30" s="128" t="str">
        <f ca="1">IF($C30="","",VLOOKUP($C30,Calc2!$C$17:$AC$25,25,0))</f>
        <v/>
      </c>
      <c r="E30" s="112" t="str">
        <f ca="1">IF($C30="","",VLOOKUP($C30,Calc2!$C$17:$AC$25,26,0))</f>
        <v/>
      </c>
      <c r="F30" s="153" t="str">
        <f ca="1">IF($C30="","",VLOOKUP($C30,Vorrunde!$AO$12:$AQ$47,3,0))</f>
        <v/>
      </c>
      <c r="G30" s="136" t="str">
        <f ca="1">IFERROR(VLOOKUP($C30&amp;G$25,Calc2!$Z$64:$AB$207,3,0),"")</f>
        <v/>
      </c>
      <c r="H30" s="112" t="str">
        <f ca="1">IFERROR(VLOOKUP($C30&amp;H$25,Calc2!$Z$64:$AB$207,3,0),"")</f>
        <v/>
      </c>
      <c r="I30" s="112" t="str">
        <f ca="1">IFERROR(VLOOKUP($C30&amp;I$25,Calc2!$Z$64:$AB$207,3,0),"")</f>
        <v/>
      </c>
      <c r="J30" s="112" t="str">
        <f ca="1">IFERROR(VLOOKUP($C30&amp;J$25,Calc2!$Z$64:$AB$207,3,0),"")</f>
        <v/>
      </c>
      <c r="K30" s="121"/>
      <c r="L30" s="157" t="str">
        <f ca="1">IFERROR(VLOOKUP($C30&amp;L$25,Calc2!$Z$64:$AB$207,3,0),"")</f>
        <v/>
      </c>
      <c r="M30" s="186" t="str">
        <f t="shared" ca="1" si="2"/>
        <v/>
      </c>
    </row>
    <row r="31" spans="2:13" ht="21.95" customHeight="1" thickBot="1" x14ac:dyDescent="0.25">
      <c r="B31" s="116" t="str">
        <f ca="1">IF($C31="","",INDEX(Calc2!$E$4:$E$12,MATCH($C31,Calc2!$F$4:$F$12,0)))</f>
        <v/>
      </c>
      <c r="C31" s="125" t="str">
        <f ca="1">IF(Calc2!$K$13=0,"",Calc2!$AH9)</f>
        <v/>
      </c>
      <c r="D31" s="129" t="str">
        <f ca="1">IF($C31="","",VLOOKUP($C31,Calc2!$C$17:$AC$25,25,0))</f>
        <v/>
      </c>
      <c r="E31" s="113" t="str">
        <f ca="1">IF($C31="","",VLOOKUP($C31,Calc2!$C$17:$AC$25,26,0))</f>
        <v/>
      </c>
      <c r="F31" s="154" t="str">
        <f ca="1">IF($C31="","",VLOOKUP($C31,Vorrunde!$AO$12:$AQ$47,3,0))</f>
        <v/>
      </c>
      <c r="G31" s="137" t="str">
        <f ca="1">IFERROR(VLOOKUP($C31&amp;G$25,Calc2!$Z$64:$AB$207,3,0),"")</f>
        <v/>
      </c>
      <c r="H31" s="113" t="str">
        <f ca="1">IFERROR(VLOOKUP($C31&amp;H$25,Calc2!$Z$64:$AB$207,3,0),"")</f>
        <v/>
      </c>
      <c r="I31" s="113" t="str">
        <f ca="1">IFERROR(VLOOKUP($C31&amp;I$25,Calc2!$Z$64:$AB$207,3,0),"")</f>
        <v/>
      </c>
      <c r="J31" s="113" t="str">
        <f ca="1">IFERROR(VLOOKUP($C31&amp;J$25,Calc2!$Z$64:$AB$207,3,0),"")</f>
        <v/>
      </c>
      <c r="K31" s="113" t="str">
        <f ca="1">IFERROR(VLOOKUP($C31&amp;K$25,Calc2!$Z$64:$AB$207,3,0),"")</f>
        <v/>
      </c>
      <c r="L31" s="158"/>
      <c r="M31" s="187"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7"/>
      <c r="C34" s="122" t="str">
        <f>Sprache!$E$10</f>
        <v>Teilnehmer bzw. Mannschaft</v>
      </c>
      <c r="D34" s="126" t="str">
        <f>Sprache!$E$27</f>
        <v>Pkt</v>
      </c>
      <c r="E34" s="114"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IF($C35="","",INDEX(Calc2!$E$4:$E$12,MATCH($C35,Calc2!$F$4:$F$12,0)))</f>
        <v/>
      </c>
      <c r="C35" s="123" t="str">
        <f ca="1">IF(Calc2!$K$13=0,"",Calc2!$AM4)</f>
        <v/>
      </c>
      <c r="D35" s="127" t="str">
        <f ca="1">IF($C35="","",VLOOKUP($C35,Calc2!$C$17:$AC$25,25,0))</f>
        <v/>
      </c>
      <c r="E35" s="111" t="str">
        <f ca="1">IF($C35="","",VLOOKUP($C35,Calc2!$C$17:$AC$25,26,0))</f>
        <v/>
      </c>
      <c r="F35" s="152" t="str">
        <f ca="1">IF($C35="","",VLOOKUP($C35,Vorrunde!$AO$12:$AQ$47,3,0))</f>
        <v/>
      </c>
      <c r="G35" s="135"/>
      <c r="H35" s="111" t="str">
        <f ca="1">IFERROR(VLOOKUP($C35&amp;H$34,Calc2!$Z$64:$AB$207,3,0),"")</f>
        <v/>
      </c>
      <c r="I35" s="111" t="str">
        <f ca="1">IFERROR(VLOOKUP($C35&amp;I$34,Calc2!$Z$64:$AB$207,3,0),"")</f>
        <v/>
      </c>
      <c r="J35" s="111" t="str">
        <f ca="1">IFERROR(VLOOKUP($C35&amp;J$34,Calc2!$Z$64:$AB$207,3,0),"")</f>
        <v/>
      </c>
      <c r="K35" s="111" t="str">
        <f ca="1">IFERROR(VLOOKUP($C35&amp;K$34,Calc2!$Z$64:$AB$207,3,0),"")</f>
        <v/>
      </c>
      <c r="L35" s="156" t="str">
        <f ca="1">IFERROR(VLOOKUP($C35&amp;L$34,Calc2!$Z$64:$AB$207,3,0),"")</f>
        <v/>
      </c>
      <c r="M35" s="185" t="str">
        <f t="shared" ref="M35:M40" ca="1" si="3">C35</f>
        <v/>
      </c>
    </row>
    <row r="36" spans="2:13" ht="21.95" customHeight="1" x14ac:dyDescent="0.2">
      <c r="B36" s="115" t="str">
        <f ca="1">IF($C36="","",INDEX(Calc2!$E$4:$E$12,MATCH($C36,Calc2!$F$4:$F$12,0)))</f>
        <v/>
      </c>
      <c r="C36" s="124" t="str">
        <f ca="1">IF(Calc2!$K$13=0,"",Calc2!$AM5)</f>
        <v/>
      </c>
      <c r="D36" s="128" t="str">
        <f ca="1">IF($C36="","",VLOOKUP($C36,Calc2!$C$17:$AC$25,25,0))</f>
        <v/>
      </c>
      <c r="E36" s="112" t="str">
        <f ca="1">IF($C36="","",VLOOKUP($C36,Calc2!$C$17:$AC$25,26,0))</f>
        <v/>
      </c>
      <c r="F36" s="153" t="str">
        <f ca="1">IF($C36="","",VLOOKUP($C36,Vorrunde!$AO$12:$AQ$47,3,0))</f>
        <v/>
      </c>
      <c r="G36" s="136" t="str">
        <f ca="1">IFERROR(VLOOKUP($C36&amp;G$34,Calc2!$Z$64:$AB$207,3,0),"")</f>
        <v/>
      </c>
      <c r="H36" s="121"/>
      <c r="I36" s="112" t="str">
        <f ca="1">IFERROR(VLOOKUP($C36&amp;I$34,Calc2!$Z$64:$AB$207,3,0),"")</f>
        <v/>
      </c>
      <c r="J36" s="112" t="str">
        <f ca="1">IFERROR(VLOOKUP($C36&amp;J$34,Calc2!$Z$64:$AB$207,3,0),"")</f>
        <v/>
      </c>
      <c r="K36" s="112" t="str">
        <f ca="1">IFERROR(VLOOKUP($C36&amp;K$34,Calc2!$Z$64:$AB$207,3,0),"")</f>
        <v/>
      </c>
      <c r="L36" s="157" t="str">
        <f ca="1">IFERROR(VLOOKUP($C36&amp;L$34,Calc2!$Z$64:$AB$207,3,0),"")</f>
        <v/>
      </c>
      <c r="M36" s="186" t="str">
        <f t="shared" ca="1" si="3"/>
        <v/>
      </c>
    </row>
    <row r="37" spans="2:13" ht="21.95" customHeight="1" x14ac:dyDescent="0.2">
      <c r="B37" s="115" t="str">
        <f ca="1">IF($C37="","",INDEX(Calc2!$E$4:$E$12,MATCH($C37,Calc2!$F$4:$F$12,0)))</f>
        <v/>
      </c>
      <c r="C37" s="124" t="str">
        <f ca="1">IF(Calc2!$K$13=0,"",Calc2!$AM6)</f>
        <v/>
      </c>
      <c r="D37" s="128" t="str">
        <f ca="1">IF($C37="","",VLOOKUP($C37,Calc2!$C$17:$AC$25,25,0))</f>
        <v/>
      </c>
      <c r="E37" s="112" t="str">
        <f ca="1">IF($C37="","",VLOOKUP($C37,Calc2!$C$17:$AC$25,26,0))</f>
        <v/>
      </c>
      <c r="F37" s="153" t="str">
        <f ca="1">IF($C37="","",VLOOKUP($C37,Vorrunde!$AO$12:$AQ$47,3,0))</f>
        <v/>
      </c>
      <c r="G37" s="136" t="str">
        <f ca="1">IFERROR(VLOOKUP($C37&amp;G$34,Calc2!$Z$64:$AB$207,3,0),"")</f>
        <v/>
      </c>
      <c r="H37" s="112" t="str">
        <f ca="1">IFERROR(VLOOKUP($C37&amp;H$34,Calc2!$Z$64:$AB$207,3,0),"")</f>
        <v/>
      </c>
      <c r="I37" s="121"/>
      <c r="J37" s="112" t="str">
        <f ca="1">IFERROR(VLOOKUP($C37&amp;J$34,Calc2!$Z$64:$AB$207,3,0),"")</f>
        <v/>
      </c>
      <c r="K37" s="112" t="str">
        <f ca="1">IFERROR(VLOOKUP($C37&amp;K$34,Calc2!$Z$64:$AB$207,3,0),"")</f>
        <v/>
      </c>
      <c r="L37" s="157" t="str">
        <f ca="1">IFERROR(VLOOKUP($C37&amp;L$34,Calc2!$Z$64:$AB$207,3,0),"")</f>
        <v/>
      </c>
      <c r="M37" s="186" t="str">
        <f t="shared" ca="1" si="3"/>
        <v/>
      </c>
    </row>
    <row r="38" spans="2:13" ht="21.95" customHeight="1" x14ac:dyDescent="0.2">
      <c r="B38" s="115" t="str">
        <f ca="1">IF($C38="","",INDEX(Calc2!$E$4:$E$12,MATCH($C38,Calc2!$F$4:$F$12,0)))</f>
        <v/>
      </c>
      <c r="C38" s="124" t="str">
        <f ca="1">IF(Calc2!$K$13=0,"",Calc2!$AM7)</f>
        <v/>
      </c>
      <c r="D38" s="128" t="str">
        <f ca="1">IF($C38="","",VLOOKUP($C38,Calc2!$C$17:$AC$25,25,0))</f>
        <v/>
      </c>
      <c r="E38" s="112" t="str">
        <f ca="1">IF($C38="","",VLOOKUP($C38,Calc2!$C$17:$AC$25,26,0))</f>
        <v/>
      </c>
      <c r="F38" s="153" t="str">
        <f ca="1">IF($C38="","",VLOOKUP($C38,Vorrunde!$AO$12:$AQ$47,3,0))</f>
        <v/>
      </c>
      <c r="G38" s="136" t="str">
        <f ca="1">IFERROR(VLOOKUP($C38&amp;G$34,Calc2!$Z$64:$AB$207,3,0),"")</f>
        <v/>
      </c>
      <c r="H38" s="112" t="str">
        <f ca="1">IFERROR(VLOOKUP($C38&amp;H$34,Calc2!$Z$64:$AB$207,3,0),"")</f>
        <v/>
      </c>
      <c r="I38" s="112" t="str">
        <f ca="1">IFERROR(VLOOKUP($C38&amp;I$34,Calc2!$Z$64:$AB$207,3,0),"")</f>
        <v/>
      </c>
      <c r="J38" s="121"/>
      <c r="K38" s="112" t="str">
        <f ca="1">IFERROR(VLOOKUP($C38&amp;K$34,Calc2!$Z$64:$AB$207,3,0),"")</f>
        <v/>
      </c>
      <c r="L38" s="157" t="str">
        <f ca="1">IFERROR(VLOOKUP($C38&amp;L$34,Calc2!$Z$64:$AB$207,3,0),"")</f>
        <v/>
      </c>
      <c r="M38" s="186" t="str">
        <f t="shared" ca="1" si="3"/>
        <v/>
      </c>
    </row>
    <row r="39" spans="2:13" ht="21.95" customHeight="1" x14ac:dyDescent="0.2">
      <c r="B39" s="115" t="str">
        <f ca="1">IF($C39="","",INDEX(Calc2!$E$4:$E$12,MATCH($C39,Calc2!$F$4:$F$12,0)))</f>
        <v/>
      </c>
      <c r="C39" s="124" t="str">
        <f ca="1">IF(Calc2!$K$13=0,"",Calc2!$AM8)</f>
        <v/>
      </c>
      <c r="D39" s="128" t="str">
        <f ca="1">IF($C39="","",VLOOKUP($C39,Calc2!$C$17:$AC$25,25,0))</f>
        <v/>
      </c>
      <c r="E39" s="112" t="str">
        <f ca="1">IF($C39="","",VLOOKUP($C39,Calc2!$C$17:$AC$25,26,0))</f>
        <v/>
      </c>
      <c r="F39" s="153" t="str">
        <f ca="1">IF($C39="","",VLOOKUP($C39,Vorrunde!$AO$12:$AQ$47,3,0))</f>
        <v/>
      </c>
      <c r="G39" s="136" t="str">
        <f ca="1">IFERROR(VLOOKUP($C39&amp;G$34,Calc2!$Z$64:$AB$207,3,0),"")</f>
        <v/>
      </c>
      <c r="H39" s="112" t="str">
        <f ca="1">IFERROR(VLOOKUP($C39&amp;H$34,Calc2!$Z$64:$AB$207,3,0),"")</f>
        <v/>
      </c>
      <c r="I39" s="112" t="str">
        <f ca="1">IFERROR(VLOOKUP($C39&amp;I$34,Calc2!$Z$64:$AB$207,3,0),"")</f>
        <v/>
      </c>
      <c r="J39" s="112" t="str">
        <f ca="1">IFERROR(VLOOKUP($C39&amp;J$34,Calc2!$Z$64:$AB$207,3,0),"")</f>
        <v/>
      </c>
      <c r="K39" s="121"/>
      <c r="L39" s="157" t="str">
        <f ca="1">IFERROR(VLOOKUP($C39&amp;L$34,Calc2!$Z$64:$AB$207,3,0),"")</f>
        <v/>
      </c>
      <c r="M39" s="186" t="str">
        <f t="shared" ca="1" si="3"/>
        <v/>
      </c>
    </row>
    <row r="40" spans="2:13" ht="21.95" customHeight="1" thickBot="1" x14ac:dyDescent="0.25">
      <c r="B40" s="116" t="str">
        <f ca="1">IF($C40="","",INDEX(Calc2!$E$4:$E$12,MATCH($C40,Calc2!$F$4:$F$12,0)))</f>
        <v/>
      </c>
      <c r="C40" s="125" t="str">
        <f ca="1">IF(Calc2!$K$13=0,"",Calc2!$AM9)</f>
        <v/>
      </c>
      <c r="D40" s="129" t="str">
        <f ca="1">IF($C40="","",VLOOKUP($C40,Calc2!$C$17:$AC$25,25,0))</f>
        <v/>
      </c>
      <c r="E40" s="113" t="str">
        <f ca="1">IF($C40="","",VLOOKUP($C40,Calc2!$C$17:$AC$25,26,0))</f>
        <v/>
      </c>
      <c r="F40" s="154" t="str">
        <f ca="1">IF($C40="","",VLOOKUP($C40,Vorrunde!$AO$12:$AQ$47,3,0))</f>
        <v/>
      </c>
      <c r="G40" s="137" t="str">
        <f ca="1">IFERROR(VLOOKUP($C40&amp;G$34,Calc2!$Z$64:$AB$207,3,0),"")</f>
        <v/>
      </c>
      <c r="H40" s="113" t="str">
        <f ca="1">IFERROR(VLOOKUP($C40&amp;H$34,Calc2!$Z$64:$AB$207,3,0),"")</f>
        <v/>
      </c>
      <c r="I40" s="113" t="str">
        <f ca="1">IFERROR(VLOOKUP($C40&amp;I$34,Calc2!$Z$64:$AB$207,3,0),"")</f>
        <v/>
      </c>
      <c r="J40" s="113" t="str">
        <f ca="1">IFERROR(VLOOKUP($C40&amp;J$34,Calc2!$Z$64:$AB$207,3,0),"")</f>
        <v/>
      </c>
      <c r="K40" s="113" t="str">
        <f ca="1">IFERROR(VLOOKUP($C40&amp;K$34,Calc2!$Z$64:$AB$207,3,0),"")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A4FC-536D-4FAA-9919-73E4EAD28A07}">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63" t="str">
        <f>Sprache!$E$7</f>
        <v>Direkte Vergleiche</v>
      </c>
      <c r="C2" s="963"/>
      <c r="D2" s="963"/>
      <c r="E2" s="963"/>
      <c r="F2" s="963"/>
      <c r="G2" s="963"/>
      <c r="H2" s="963"/>
      <c r="I2" s="963"/>
      <c r="J2" s="963"/>
      <c r="K2" s="963"/>
      <c r="L2" s="963"/>
    </row>
    <row r="3" spans="2:13" ht="42.75" customHeight="1" x14ac:dyDescent="0.2">
      <c r="B3" s="964" t="str">
        <f>Sprache!$E$56&amp;" C"</f>
        <v>Vorrunde Gruppe C</v>
      </c>
      <c r="C3" s="964"/>
      <c r="D3" s="964"/>
      <c r="E3" s="964"/>
      <c r="F3" s="964"/>
      <c r="G3" s="964"/>
      <c r="H3" s="964"/>
      <c r="I3" s="964"/>
      <c r="J3" s="964"/>
      <c r="K3" s="964"/>
      <c r="L3" s="964"/>
    </row>
    <row r="4" spans="2:13" ht="17.25" customHeight="1" x14ac:dyDescent="0.2">
      <c r="B4" s="965" t="str">
        <f>Sprache!$E$88</f>
        <v>Rote Schrift bedeutet, dass die Rangfolge auch mit dem direkten Vergleich nicht geklärt ist. Ein Entscheidungsspiel oder Los muss hier entscheiden.</v>
      </c>
      <c r="C4" s="965"/>
      <c r="D4" s="965"/>
      <c r="E4" s="965"/>
      <c r="F4" s="965"/>
      <c r="G4" s="965"/>
      <c r="H4" s="965"/>
      <c r="I4" s="965"/>
      <c r="J4" s="965"/>
      <c r="K4" s="965"/>
      <c r="L4" s="965"/>
      <c r="M4" s="96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IF(LEN(G7)&gt;Einstellungen!$C$11,LEFT(G7,Einstellungen!$C$11)&amp;".",G7)</f>
        <v>Borussi.</v>
      </c>
      <c r="H6" s="149" t="str">
        <f ca="1">IF(LEN(H7)&gt;Einstellungen!$C$11,LEFT(H7,Einstellungen!$C$11)&amp;".",H7)</f>
        <v>1. FC N.</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7"/>
      <c r="C7" s="122" t="str">
        <f>Sprache!$E$10</f>
        <v>Teilnehmer bzw. Mannschaft</v>
      </c>
      <c r="D7" s="126" t="str">
        <f>Sprache!$E$27</f>
        <v>Pkt</v>
      </c>
      <c r="E7" s="114" t="str">
        <f>Sprache!$E$26</f>
        <v>Diff.</v>
      </c>
      <c r="F7" s="151" t="str">
        <f>Sprache!$E$49</f>
        <v>Tie-Break</v>
      </c>
      <c r="G7" s="130" t="str">
        <f ca="1">C8</f>
        <v>Borussia Dortmund</v>
      </c>
      <c r="H7" s="131" t="str">
        <f ca="1">C9</f>
        <v>1. FC Nürnberg</v>
      </c>
      <c r="I7" s="131" t="str">
        <f ca="1">C10</f>
        <v/>
      </c>
      <c r="J7" s="131" t="str">
        <f ca="1">C11</f>
        <v/>
      </c>
      <c r="K7" s="131" t="str">
        <f ca="1">C12</f>
        <v/>
      </c>
      <c r="L7" s="155" t="str">
        <f ca="1">C13</f>
        <v/>
      </c>
    </row>
    <row r="8" spans="2:13" ht="21.95" customHeight="1" x14ac:dyDescent="0.2">
      <c r="B8" s="115">
        <f ca="1">IF($C8="","",INDEX(Calc3!$E$4:$E$12,MATCH($C8,Calc3!$F$4:$F$12,0)))</f>
        <v>3</v>
      </c>
      <c r="C8" s="123" t="str">
        <f ca="1">IF(Calc3!$K$13=0,"",Calc3!$X4)</f>
        <v>Borussia Dortmund</v>
      </c>
      <c r="D8" s="127">
        <f ca="1">IF($C8="","",VLOOKUP($C8,Calc3!$C$17:$AC$25,25,0))</f>
        <v>1</v>
      </c>
      <c r="E8" s="111">
        <f ca="1">IF($C8="","",VLOOKUP($C8,Calc3!$C$17:$AC$25,26,0))</f>
        <v>1</v>
      </c>
      <c r="F8" s="152">
        <f ca="1">IF($C8="","",VLOOKUP($C8,Vorrunde!$AO$12:$AQ$47,3,0))</f>
        <v>0</v>
      </c>
      <c r="G8" s="135"/>
      <c r="H8" s="111" t="str">
        <f ca="1">IFERROR(VLOOKUP($C8&amp;H$7,Calc3!$Z$64:$AB$207,3,0),"")</f>
        <v>42:41</v>
      </c>
      <c r="I8" s="111" t="str">
        <f ca="1">IFERROR(VLOOKUP($C8&amp;I$7,Calc3!$Z$64:$AB$207,3,0),"")</f>
        <v/>
      </c>
      <c r="J8" s="111" t="str">
        <f ca="1">IFERROR(VLOOKUP($C8&amp;J$7,Calc3!$Z$64:$AB$207,3,0),"")</f>
        <v/>
      </c>
      <c r="K8" s="111" t="str">
        <f ca="1">IFERROR(VLOOKUP($C8&amp;K$7,Calc3!$Z$64:$AB$207,3,0),"")</f>
        <v/>
      </c>
      <c r="L8" s="156" t="str">
        <f ca="1">IFERROR(VLOOKUP($C8&amp;L$7,Calc3!$Z$64:$AB$207,3,0),"")</f>
        <v/>
      </c>
      <c r="M8" s="185" t="str">
        <f t="shared" ref="M8:M13" ca="1" si="0">C8</f>
        <v>Borussia Dortmund</v>
      </c>
    </row>
    <row r="9" spans="2:13" ht="21.95" customHeight="1" x14ac:dyDescent="0.2">
      <c r="B9" s="115">
        <f ca="1">IF($C9="","",INDEX(Calc3!$E$4:$E$12,MATCH($C9,Calc3!$F$4:$F$12,0)))</f>
        <v>4</v>
      </c>
      <c r="C9" s="124" t="str">
        <f ca="1">IF(Calc3!$K$13=0,"",Calc3!$X5)</f>
        <v>1. FC Nürnberg</v>
      </c>
      <c r="D9" s="128">
        <f ca="1">IF($C9="","",VLOOKUP($C9,Calc3!$C$17:$AC$25,25,0))</f>
        <v>1</v>
      </c>
      <c r="E9" s="112">
        <f ca="1">IF($C9="","",VLOOKUP($C9,Calc3!$C$17:$AC$25,26,0))</f>
        <v>-1</v>
      </c>
      <c r="F9" s="153">
        <f ca="1">IF($C9="","",VLOOKUP($C9,Vorrunde!$AO$12:$AQ$47,3,0))</f>
        <v>0</v>
      </c>
      <c r="G9" s="136" t="str">
        <f ca="1">IFERROR(VLOOKUP($C9&amp;G$7,Calc3!$Z$64:$AB$207,3,0),"")</f>
        <v>41:42</v>
      </c>
      <c r="H9" s="121"/>
      <c r="I9" s="112" t="str">
        <f ca="1">IFERROR(VLOOKUP($C9&amp;I$7,Calc3!$Z$64:$AB$207,3,0),"")</f>
        <v/>
      </c>
      <c r="J9" s="112" t="str">
        <f ca="1">IFERROR(VLOOKUP($C9&amp;J$7,Calc3!$Z$64:$AB$207,3,0),"")</f>
        <v/>
      </c>
      <c r="K9" s="112" t="str">
        <f ca="1">IFERROR(VLOOKUP($C9&amp;K$7,Calc3!$Z$64:$AB$207,3,0),"")</f>
        <v/>
      </c>
      <c r="L9" s="157" t="str">
        <f ca="1">IFERROR(VLOOKUP($C9&amp;L$7,Calc3!$Z$64:$AB$207,3,0),"")</f>
        <v/>
      </c>
      <c r="M9" s="186" t="str">
        <f t="shared" ca="1" si="0"/>
        <v>1. FC Nürnberg</v>
      </c>
    </row>
    <row r="10" spans="2:13" ht="21.95" customHeight="1" x14ac:dyDescent="0.2">
      <c r="B10" s="115" t="str">
        <f ca="1">IF($C10="","",INDEX(Calc3!$E$4:$E$12,MATCH($C10,Calc3!$F$4:$F$12,0)))</f>
        <v/>
      </c>
      <c r="C10" s="124" t="str">
        <f ca="1">IF(Calc3!$K$13=0,"",Calc3!$X6)</f>
        <v/>
      </c>
      <c r="D10" s="128" t="str">
        <f ca="1">IF($C10="","",VLOOKUP($C10,Calc3!$C$17:$AC$25,25,0))</f>
        <v/>
      </c>
      <c r="E10" s="112" t="str">
        <f ca="1">IF($C10="","",VLOOKUP($C10,Calc3!$C$17:$AC$25,26,0))</f>
        <v/>
      </c>
      <c r="F10" s="153" t="str">
        <f ca="1">IF($C10="","",VLOOKUP($C10,Vorrunde!$AO$12:$AQ$47,3,0))</f>
        <v/>
      </c>
      <c r="G10" s="136" t="str">
        <f ca="1">IFERROR(VLOOKUP($C10&amp;G$7,Calc3!$Z$64:$AB$207,3,0),"")</f>
        <v/>
      </c>
      <c r="H10" s="112" t="str">
        <f ca="1">IFERROR(VLOOKUP($C10&amp;H$7,Calc3!$Z$64:$AB$207,3,0),"")</f>
        <v/>
      </c>
      <c r="I10" s="121"/>
      <c r="J10" s="112" t="str">
        <f ca="1">IFERROR(VLOOKUP($C10&amp;J$7,Calc3!$Z$64:$AB$207,3,0),"")</f>
        <v/>
      </c>
      <c r="K10" s="112" t="str">
        <f ca="1">IFERROR(VLOOKUP($C10&amp;K$7,Calc3!$Z$64:$AB$207,3,0),"")</f>
        <v/>
      </c>
      <c r="L10" s="157" t="str">
        <f ca="1">IFERROR(VLOOKUP($C10&amp;L$7,Calc3!$Z$64:$AB$207,3,0),"")</f>
        <v/>
      </c>
      <c r="M10" s="186" t="str">
        <f t="shared" ca="1" si="0"/>
        <v/>
      </c>
    </row>
    <row r="11" spans="2:13" ht="21.95" customHeight="1" x14ac:dyDescent="0.2">
      <c r="B11" s="115" t="str">
        <f ca="1">IF($C11="","",INDEX(Calc3!$E$4:$E$12,MATCH($C11,Calc3!$F$4:$F$12,0)))</f>
        <v/>
      </c>
      <c r="C11" s="124" t="str">
        <f ca="1">IF(Calc3!$K$13=0,"",Calc3!$X7)</f>
        <v/>
      </c>
      <c r="D11" s="128" t="str">
        <f ca="1">IF($C11="","",VLOOKUP($C11,Calc3!$C$17:$AC$25,25,0))</f>
        <v/>
      </c>
      <c r="E11" s="112" t="str">
        <f ca="1">IF($C11="","",VLOOKUP($C11,Calc3!$C$17:$AC$25,26,0))</f>
        <v/>
      </c>
      <c r="F11" s="153" t="str">
        <f ca="1">IF($C11="","",VLOOKUP($C11,Vorrunde!$AO$12:$AQ$47,3,0))</f>
        <v/>
      </c>
      <c r="G11" s="136" t="str">
        <f ca="1">IFERROR(VLOOKUP($C11&amp;G$7,Calc3!$Z$64:$AB$207,3,0),"")</f>
        <v/>
      </c>
      <c r="H11" s="112" t="str">
        <f ca="1">IFERROR(VLOOKUP($C11&amp;H$7,Calc3!$Z$64:$AB$207,3,0),"")</f>
        <v/>
      </c>
      <c r="I11" s="112" t="str">
        <f ca="1">IFERROR(VLOOKUP($C11&amp;I$7,Calc3!$Z$64:$AB$207,3,0),"")</f>
        <v/>
      </c>
      <c r="J11" s="121"/>
      <c r="K11" s="112" t="str">
        <f ca="1">IFERROR(VLOOKUP($C11&amp;K$7,Calc3!$Z$64:$AB$207,3,0),"")</f>
        <v/>
      </c>
      <c r="L11" s="157" t="str">
        <f ca="1">IFERROR(VLOOKUP($C11&amp;L$7,Calc3!$Z$64:$AB$207,3,0),"")</f>
        <v/>
      </c>
      <c r="M11" s="186" t="str">
        <f t="shared" ca="1" si="0"/>
        <v/>
      </c>
    </row>
    <row r="12" spans="2:13" ht="21.95" customHeight="1" x14ac:dyDescent="0.2">
      <c r="B12" s="115" t="str">
        <f ca="1">IF($C12="","",INDEX(Calc3!$E$4:$E$12,MATCH($C12,Calc3!$F$4:$F$12,0)))</f>
        <v/>
      </c>
      <c r="C12" s="124" t="str">
        <f ca="1">IF(Calc3!$K$13=0,"",Calc3!$X8)</f>
        <v/>
      </c>
      <c r="D12" s="128" t="str">
        <f ca="1">IF($C12="","",VLOOKUP($C12,Calc3!$C$17:$AC$25,25,0))</f>
        <v/>
      </c>
      <c r="E12" s="112" t="str">
        <f ca="1">IF($C12="","",VLOOKUP($C12,Calc3!$C$17:$AC$25,26,0))</f>
        <v/>
      </c>
      <c r="F12" s="153" t="str">
        <f ca="1">IF($C12="","",VLOOKUP($C12,Vorrunde!$AO$12:$AQ$47,3,0))</f>
        <v/>
      </c>
      <c r="G12" s="136" t="str">
        <f ca="1">IFERROR(VLOOKUP($C12&amp;G$7,Calc3!$Z$64:$AB$207,3,0),"")</f>
        <v/>
      </c>
      <c r="H12" s="112" t="str">
        <f ca="1">IFERROR(VLOOKUP($C12&amp;H$7,Calc3!$Z$64:$AB$207,3,0),"")</f>
        <v/>
      </c>
      <c r="I12" s="112" t="str">
        <f ca="1">IFERROR(VLOOKUP($C12&amp;I$7,Calc3!$Z$64:$AB$207,3,0),"")</f>
        <v/>
      </c>
      <c r="J12" s="112" t="str">
        <f ca="1">IFERROR(VLOOKUP($C12&amp;J$7,Calc3!$Z$64:$AB$207,3,0),"")</f>
        <v/>
      </c>
      <c r="K12" s="121"/>
      <c r="L12" s="157" t="str">
        <f ca="1">IFERROR(VLOOKUP($C12&amp;L$7,Calc3!$Z$64:$AB$207,3,0),"")</f>
        <v/>
      </c>
      <c r="M12" s="186" t="str">
        <f t="shared" ca="1" si="0"/>
        <v/>
      </c>
    </row>
    <row r="13" spans="2:13" ht="21.95" customHeight="1" thickBot="1" x14ac:dyDescent="0.25">
      <c r="B13" s="116" t="str">
        <f ca="1">IF($C13="","",INDEX(Calc3!$E$4:$E$12,MATCH($C13,Calc3!$F$4:$F$12,0)))</f>
        <v/>
      </c>
      <c r="C13" s="125" t="str">
        <f ca="1">IF(Calc3!$K$13=0,"",Calc3!$X9)</f>
        <v/>
      </c>
      <c r="D13" s="129" t="str">
        <f ca="1">IF($C13="","",VLOOKUP($C13,Calc3!$C$17:$AC$25,25,0))</f>
        <v/>
      </c>
      <c r="E13" s="113" t="str">
        <f ca="1">IF($C13="","",VLOOKUP($C13,Calc3!$C$17:$AC$25,26,0))</f>
        <v/>
      </c>
      <c r="F13" s="154" t="str">
        <f ca="1">IF($C13="","",VLOOKUP($C13,Vorrunde!$AO$12:$AQ$47,3,0))</f>
        <v/>
      </c>
      <c r="G13" s="137" t="str">
        <f ca="1">IFERROR(VLOOKUP($C13&amp;G$7,Calc3!$Z$64:$AB$207,3,0),"")</f>
        <v/>
      </c>
      <c r="H13" s="113" t="str">
        <f ca="1">IFERROR(VLOOKUP($C13&amp;H$7,Calc3!$Z$64:$AB$207,3,0),"")</f>
        <v/>
      </c>
      <c r="I13" s="113" t="str">
        <f ca="1">IFERROR(VLOOKUP($C13&amp;I$7,Calc3!$Z$64:$AB$207,3,0),"")</f>
        <v/>
      </c>
      <c r="J13" s="113" t="str">
        <f ca="1">IFERROR(VLOOKUP($C13&amp;J$7,Calc3!$Z$64:$AB$207,3,0),"")</f>
        <v/>
      </c>
      <c r="K13" s="113" t="str">
        <f ca="1">IFERROR(VLOOKUP($C13&amp;K$7,Calc3!$Z$64:$AB$207,3,0),"")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7"/>
      <c r="C16" s="122" t="str">
        <f>Sprache!$E$10</f>
        <v>Teilnehmer bzw. Mannschaft</v>
      </c>
      <c r="D16" s="126" t="str">
        <f>Sprache!$E$27</f>
        <v>Pkt</v>
      </c>
      <c r="E16" s="114"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IF($C17="","",INDEX(Calc3!$E$4:$E$12,MATCH($C17,Calc3!$F$4:$F$12,0)))</f>
        <v/>
      </c>
      <c r="C17" s="123" t="str">
        <f ca="1">IF(Calc3!$K$13=0,"",Calc3!$AC4)</f>
        <v/>
      </c>
      <c r="D17" s="127" t="str">
        <f ca="1">IF($C17="","",VLOOKUP($C17,Calc3!$C$17:$AC$25,25,0))</f>
        <v/>
      </c>
      <c r="E17" s="111" t="str">
        <f ca="1">IF($C17="","",VLOOKUP($C17,Calc3!$C$17:$AC$25,26,0))</f>
        <v/>
      </c>
      <c r="F17" s="152" t="str">
        <f ca="1">IF($C17="","",VLOOKUP($C17,Vorrunde!$AO$12:$AQ$47,3,0))</f>
        <v/>
      </c>
      <c r="G17" s="135"/>
      <c r="H17" s="111" t="str">
        <f ca="1">IFERROR(VLOOKUP($C17&amp;H$16,Calc3!$Z$64:$AB$207,3,0),"")</f>
        <v/>
      </c>
      <c r="I17" s="111" t="str">
        <f ca="1">IFERROR(VLOOKUP($C17&amp;I$16,Calc3!$Z$64:$AB$207,3,0),"")</f>
        <v/>
      </c>
      <c r="J17" s="111" t="str">
        <f ca="1">IFERROR(VLOOKUP($C17&amp;J$16,Calc3!$Z$64:$AB$207,3,0),"")</f>
        <v/>
      </c>
      <c r="K17" s="111" t="str">
        <f ca="1">IFERROR(VLOOKUP($C17&amp;K$16,Calc3!$Z$64:$AB$207,3,0),"")</f>
        <v/>
      </c>
      <c r="L17" s="156" t="str">
        <f ca="1">IFERROR(VLOOKUP($C17&amp;L$16,Calc3!$Z$64:$AB$207,3,0),"")</f>
        <v/>
      </c>
      <c r="M17" s="185" t="str">
        <f t="shared" ref="M17:M22" ca="1" si="1">C17</f>
        <v/>
      </c>
    </row>
    <row r="18" spans="2:13" ht="21.95" customHeight="1" x14ac:dyDescent="0.2">
      <c r="B18" s="115" t="str">
        <f ca="1">IF($C18="","",INDEX(Calc3!$E$4:$E$12,MATCH($C18,Calc3!$F$4:$F$12,0)))</f>
        <v/>
      </c>
      <c r="C18" s="124" t="str">
        <f ca="1">IF(Calc3!$K$13=0,"",Calc3!$AC5)</f>
        <v/>
      </c>
      <c r="D18" s="128" t="str">
        <f ca="1">IF($C18="","",VLOOKUP($C18,Calc3!$C$17:$AC$25,25,0))</f>
        <v/>
      </c>
      <c r="E18" s="112" t="str">
        <f ca="1">IF($C18="","",VLOOKUP($C18,Calc3!$C$17:$AC$25,26,0))</f>
        <v/>
      </c>
      <c r="F18" s="153" t="str">
        <f ca="1">IF($C18="","",VLOOKUP($C18,Vorrunde!$AO$12:$AQ$47,3,0))</f>
        <v/>
      </c>
      <c r="G18" s="136" t="str">
        <f ca="1">IFERROR(VLOOKUP($C18&amp;G$16,Calc3!$Z$64:$AB$207,3,0),"")</f>
        <v/>
      </c>
      <c r="H18" s="121"/>
      <c r="I18" s="112" t="str">
        <f ca="1">IFERROR(VLOOKUP($C18&amp;I$16,Calc3!$Z$64:$AB$207,3,0),"")</f>
        <v/>
      </c>
      <c r="J18" s="112" t="str">
        <f ca="1">IFERROR(VLOOKUP($C18&amp;J$16,Calc3!$Z$64:$AB$207,3,0),"")</f>
        <v/>
      </c>
      <c r="K18" s="112" t="str">
        <f ca="1">IFERROR(VLOOKUP($C18&amp;K$16,Calc3!$Z$64:$AB$207,3,0),"")</f>
        <v/>
      </c>
      <c r="L18" s="157" t="str">
        <f ca="1">IFERROR(VLOOKUP($C18&amp;L$16,Calc3!$Z$64:$AB$207,3,0),"")</f>
        <v/>
      </c>
      <c r="M18" s="186" t="str">
        <f t="shared" ca="1" si="1"/>
        <v/>
      </c>
    </row>
    <row r="19" spans="2:13" ht="21.95" customHeight="1" x14ac:dyDescent="0.2">
      <c r="B19" s="115" t="str">
        <f ca="1">IF($C19="","",INDEX(Calc3!$E$4:$E$12,MATCH($C19,Calc3!$F$4:$F$12,0)))</f>
        <v/>
      </c>
      <c r="C19" s="124" t="str">
        <f ca="1">IF(Calc3!$K$13=0,"",Calc3!$AC6)</f>
        <v/>
      </c>
      <c r="D19" s="128" t="str">
        <f ca="1">IF($C19="","",VLOOKUP($C19,Calc3!$C$17:$AC$25,25,0))</f>
        <v/>
      </c>
      <c r="E19" s="112" t="str">
        <f ca="1">IF($C19="","",VLOOKUP($C19,Calc3!$C$17:$AC$25,26,0))</f>
        <v/>
      </c>
      <c r="F19" s="153" t="str">
        <f ca="1">IF($C19="","",VLOOKUP($C19,Vorrunde!$AO$12:$AQ$47,3,0))</f>
        <v/>
      </c>
      <c r="G19" s="136" t="str">
        <f ca="1">IFERROR(VLOOKUP($C19&amp;G$16,Calc3!$Z$64:$AB$207,3,0),"")</f>
        <v/>
      </c>
      <c r="H19" s="112" t="str">
        <f ca="1">IFERROR(VLOOKUP($C19&amp;H$16,Calc3!$Z$64:$AB$207,3,0),"")</f>
        <v/>
      </c>
      <c r="I19" s="121"/>
      <c r="J19" s="112" t="str">
        <f ca="1">IFERROR(VLOOKUP($C19&amp;J$16,Calc3!$Z$64:$AB$207,3,0),"")</f>
        <v/>
      </c>
      <c r="K19" s="112" t="str">
        <f ca="1">IFERROR(VLOOKUP($C19&amp;K$16,Calc3!$Z$64:$AB$207,3,0),"")</f>
        <v/>
      </c>
      <c r="L19" s="157" t="str">
        <f ca="1">IFERROR(VLOOKUP($C19&amp;L$16,Calc3!$Z$64:$AB$207,3,0),"")</f>
        <v/>
      </c>
      <c r="M19" s="186" t="str">
        <f t="shared" ca="1" si="1"/>
        <v/>
      </c>
    </row>
    <row r="20" spans="2:13" ht="21.95" customHeight="1" x14ac:dyDescent="0.2">
      <c r="B20" s="115" t="str">
        <f ca="1">IF($C20="","",INDEX(Calc3!$E$4:$E$12,MATCH($C20,Calc3!$F$4:$F$12,0)))</f>
        <v/>
      </c>
      <c r="C20" s="124" t="str">
        <f ca="1">IF(Calc3!$K$13=0,"",Calc3!$AC7)</f>
        <v/>
      </c>
      <c r="D20" s="128" t="str">
        <f ca="1">IF($C20="","",VLOOKUP($C20,Calc3!$C$17:$AC$25,25,0))</f>
        <v/>
      </c>
      <c r="E20" s="112" t="str">
        <f ca="1">IF($C20="","",VLOOKUP($C20,Calc3!$C$17:$AC$25,26,0))</f>
        <v/>
      </c>
      <c r="F20" s="153" t="str">
        <f ca="1">IF($C20="","",VLOOKUP($C20,Vorrunde!$AO$12:$AQ$47,3,0))</f>
        <v/>
      </c>
      <c r="G20" s="136" t="str">
        <f ca="1">IFERROR(VLOOKUP($C20&amp;G$16,Calc3!$Z$64:$AB$207,3,0),"")</f>
        <v/>
      </c>
      <c r="H20" s="112" t="str">
        <f ca="1">IFERROR(VLOOKUP($C20&amp;H$16,Calc3!$Z$64:$AB$207,3,0),"")</f>
        <v/>
      </c>
      <c r="I20" s="112" t="str">
        <f ca="1">IFERROR(VLOOKUP($C20&amp;I$16,Calc3!$Z$64:$AB$207,3,0),"")</f>
        <v/>
      </c>
      <c r="J20" s="121"/>
      <c r="K20" s="112" t="str">
        <f ca="1">IFERROR(VLOOKUP($C20&amp;K$16,Calc3!$Z$64:$AB$207,3,0),"")</f>
        <v/>
      </c>
      <c r="L20" s="157" t="str">
        <f ca="1">IFERROR(VLOOKUP($C20&amp;L$16,Calc3!$Z$64:$AB$207,3,0),"")</f>
        <v/>
      </c>
      <c r="M20" s="186" t="str">
        <f t="shared" ca="1" si="1"/>
        <v/>
      </c>
    </row>
    <row r="21" spans="2:13" ht="21.95" customHeight="1" x14ac:dyDescent="0.2">
      <c r="B21" s="115" t="str">
        <f ca="1">IF($C21="","",INDEX(Calc3!$E$4:$E$12,MATCH($C21,Calc3!$F$4:$F$12,0)))</f>
        <v/>
      </c>
      <c r="C21" s="124" t="str">
        <f ca="1">IF(Calc3!$K$13=0,"",Calc3!$AC8)</f>
        <v/>
      </c>
      <c r="D21" s="128" t="str">
        <f ca="1">IF($C21="","",VLOOKUP($C21,Calc3!$C$17:$AC$25,25,0))</f>
        <v/>
      </c>
      <c r="E21" s="112" t="str">
        <f ca="1">IF($C21="","",VLOOKUP($C21,Calc3!$C$17:$AC$25,26,0))</f>
        <v/>
      </c>
      <c r="F21" s="153" t="str">
        <f ca="1">IF($C21="","",VLOOKUP($C21,Vorrunde!$AO$12:$AQ$47,3,0))</f>
        <v/>
      </c>
      <c r="G21" s="136" t="str">
        <f ca="1">IFERROR(VLOOKUP($C21&amp;G$16,Calc3!$Z$64:$AB$207,3,0),"")</f>
        <v/>
      </c>
      <c r="H21" s="112" t="str">
        <f ca="1">IFERROR(VLOOKUP($C21&amp;H$16,Calc3!$Z$64:$AB$207,3,0),"")</f>
        <v/>
      </c>
      <c r="I21" s="112" t="str">
        <f ca="1">IFERROR(VLOOKUP($C21&amp;I$16,Calc3!$Z$64:$AB$207,3,0),"")</f>
        <v/>
      </c>
      <c r="J21" s="112" t="str">
        <f ca="1">IFERROR(VLOOKUP($C21&amp;J$16,Calc3!$Z$64:$AB$207,3,0),"")</f>
        <v/>
      </c>
      <c r="K21" s="121"/>
      <c r="L21" s="157" t="str">
        <f ca="1">IFERROR(VLOOKUP($C21&amp;L$16,Calc3!$Z$64:$AB$207,3,0),"")</f>
        <v/>
      </c>
      <c r="M21" s="186" t="str">
        <f t="shared" ca="1" si="1"/>
        <v/>
      </c>
    </row>
    <row r="22" spans="2:13" ht="21.95" customHeight="1" thickBot="1" x14ac:dyDescent="0.25">
      <c r="B22" s="116" t="str">
        <f ca="1">IF($C22="","",INDEX(Calc3!$E$4:$E$12,MATCH($C22,Calc3!$F$4:$F$12,0)))</f>
        <v/>
      </c>
      <c r="C22" s="125" t="str">
        <f ca="1">IF(Calc3!$K$13=0,"",Calc3!$AC9)</f>
        <v/>
      </c>
      <c r="D22" s="129" t="str">
        <f ca="1">IF($C22="","",VLOOKUP($C22,Calc3!$C$17:$AC$25,25,0))</f>
        <v/>
      </c>
      <c r="E22" s="113" t="str">
        <f ca="1">IF($C22="","",VLOOKUP($C22,Calc3!$C$17:$AC$25,26,0))</f>
        <v/>
      </c>
      <c r="F22" s="154" t="str">
        <f ca="1">IF($C22="","",VLOOKUP($C22,Vorrunde!$AO$12:$AQ$47,3,0))</f>
        <v/>
      </c>
      <c r="G22" s="137" t="str">
        <f ca="1">IFERROR(VLOOKUP($C22&amp;G$16,Calc3!$Z$64:$AB$207,3,0),"")</f>
        <v/>
      </c>
      <c r="H22" s="113" t="str">
        <f ca="1">IFERROR(VLOOKUP($C22&amp;H$16,Calc3!$Z$64:$AB$207,3,0),"")</f>
        <v/>
      </c>
      <c r="I22" s="113" t="str">
        <f ca="1">IFERROR(VLOOKUP($C22&amp;I$16,Calc3!$Z$64:$AB$207,3,0),"")</f>
        <v/>
      </c>
      <c r="J22" s="113" t="str">
        <f ca="1">IFERROR(VLOOKUP($C22&amp;J$16,Calc3!$Z$64:$AB$207,3,0),"")</f>
        <v/>
      </c>
      <c r="K22" s="113" t="str">
        <f ca="1">IFERROR(VLOOKUP($C22&amp;K$16,Calc3!$Z$64:$AB$207,3,0),"")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7"/>
      <c r="C25" s="122" t="str">
        <f>Sprache!$E$10</f>
        <v>Teilnehmer bzw. Mannschaft</v>
      </c>
      <c r="D25" s="126" t="str">
        <f>Sprache!$E$27</f>
        <v>Pkt</v>
      </c>
      <c r="E25" s="114"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IF($C26="","",INDEX(Calc3!$E$4:$E$12,MATCH($C26,Calc3!$F$4:$F$12,0)))</f>
        <v/>
      </c>
      <c r="C26" s="123" t="str">
        <f ca="1">IF(Calc3!$K$13=0,"",Calc3!$AH4)</f>
        <v/>
      </c>
      <c r="D26" s="127" t="str">
        <f ca="1">IF($C26="","",VLOOKUP($C26,Calc3!$C$17:$AC$25,25,0))</f>
        <v/>
      </c>
      <c r="E26" s="111" t="str">
        <f ca="1">IF($C26="","",VLOOKUP($C26,Calc3!$C$17:$AC$25,26,0))</f>
        <v/>
      </c>
      <c r="F26" s="152" t="str">
        <f ca="1">IF($C26="","",VLOOKUP($C26,Vorrunde!$AO$12:$AQ$47,3,0))</f>
        <v/>
      </c>
      <c r="G26" s="135"/>
      <c r="H26" s="111" t="str">
        <f ca="1">IFERROR(VLOOKUP($C26&amp;H$25,Calc3!$Z$64:$AB$207,3,0),"")</f>
        <v/>
      </c>
      <c r="I26" s="111" t="str">
        <f ca="1">IFERROR(VLOOKUP($C26&amp;I$25,Calc3!$Z$64:$AB$207,3,0),"")</f>
        <v/>
      </c>
      <c r="J26" s="111" t="str">
        <f ca="1">IFERROR(VLOOKUP($C26&amp;J$25,Calc3!$Z$64:$AB$207,3,0),"")</f>
        <v/>
      </c>
      <c r="K26" s="111" t="str">
        <f ca="1">IFERROR(VLOOKUP($C26&amp;K$25,Calc3!$Z$64:$AB$207,3,0),"")</f>
        <v/>
      </c>
      <c r="L26" s="156" t="str">
        <f ca="1">IFERROR(VLOOKUP($C26&amp;L$25,Calc3!$Z$64:$AB$207,3,0),"")</f>
        <v/>
      </c>
      <c r="M26" s="185" t="str">
        <f t="shared" ref="M26:M31" ca="1" si="2">C26</f>
        <v/>
      </c>
    </row>
    <row r="27" spans="2:13" ht="21.95" customHeight="1" x14ac:dyDescent="0.2">
      <c r="B27" s="115" t="str">
        <f ca="1">IF($C27="","",INDEX(Calc3!$E$4:$E$12,MATCH($C27,Calc3!$F$4:$F$12,0)))</f>
        <v/>
      </c>
      <c r="C27" s="124" t="str">
        <f ca="1">IF(Calc3!$K$13=0,"",Calc3!$AH5)</f>
        <v/>
      </c>
      <c r="D27" s="128" t="str">
        <f ca="1">IF($C27="","",VLOOKUP($C27,Calc3!$C$17:$AC$25,25,0))</f>
        <v/>
      </c>
      <c r="E27" s="112" t="str">
        <f ca="1">IF($C27="","",VLOOKUP($C27,Calc3!$C$17:$AC$25,26,0))</f>
        <v/>
      </c>
      <c r="F27" s="153" t="str">
        <f ca="1">IF($C27="","",VLOOKUP($C27,Vorrunde!$AO$12:$AQ$47,3,0))</f>
        <v/>
      </c>
      <c r="G27" s="136" t="str">
        <f ca="1">IFERROR(VLOOKUP($C27&amp;G$25,Calc3!$Z$64:$AB$207,3,0),"")</f>
        <v/>
      </c>
      <c r="H27" s="121"/>
      <c r="I27" s="112" t="str">
        <f ca="1">IFERROR(VLOOKUP($C27&amp;I$25,Calc3!$Z$64:$AB$207,3,0),"")</f>
        <v/>
      </c>
      <c r="J27" s="112" t="str">
        <f ca="1">IFERROR(VLOOKUP($C27&amp;J$25,Calc3!$Z$64:$AB$207,3,0),"")</f>
        <v/>
      </c>
      <c r="K27" s="112" t="str">
        <f ca="1">IFERROR(VLOOKUP($C27&amp;K$25,Calc3!$Z$64:$AB$207,3,0),"")</f>
        <v/>
      </c>
      <c r="L27" s="157" t="str">
        <f ca="1">IFERROR(VLOOKUP($C27&amp;L$25,Calc3!$Z$64:$AB$207,3,0),"")</f>
        <v/>
      </c>
      <c r="M27" s="186" t="str">
        <f t="shared" ca="1" si="2"/>
        <v/>
      </c>
    </row>
    <row r="28" spans="2:13" ht="21.95" customHeight="1" x14ac:dyDescent="0.2">
      <c r="B28" s="115" t="str">
        <f ca="1">IF($C28="","",INDEX(Calc3!$E$4:$E$12,MATCH($C28,Calc3!$F$4:$F$12,0)))</f>
        <v/>
      </c>
      <c r="C28" s="124" t="str">
        <f ca="1">IF(Calc3!$K$13=0,"",Calc3!$AH6)</f>
        <v/>
      </c>
      <c r="D28" s="128" t="str">
        <f ca="1">IF($C28="","",VLOOKUP($C28,Calc3!$C$17:$AC$25,25,0))</f>
        <v/>
      </c>
      <c r="E28" s="112" t="str">
        <f ca="1">IF($C28="","",VLOOKUP($C28,Calc3!$C$17:$AC$25,26,0))</f>
        <v/>
      </c>
      <c r="F28" s="153" t="str">
        <f ca="1">IF($C28="","",VLOOKUP($C28,Vorrunde!$AO$12:$AQ$47,3,0))</f>
        <v/>
      </c>
      <c r="G28" s="136" t="str">
        <f ca="1">IFERROR(VLOOKUP($C28&amp;G$25,Calc3!$Z$64:$AB$207,3,0),"")</f>
        <v/>
      </c>
      <c r="H28" s="112" t="str">
        <f ca="1">IFERROR(VLOOKUP($C28&amp;H$25,Calc3!$Z$64:$AB$207,3,0),"")</f>
        <v/>
      </c>
      <c r="I28" s="121"/>
      <c r="J28" s="112" t="str">
        <f ca="1">IFERROR(VLOOKUP($C28&amp;J$25,Calc3!$Z$64:$AB$207,3,0),"")</f>
        <v/>
      </c>
      <c r="K28" s="112" t="str">
        <f ca="1">IFERROR(VLOOKUP($C28&amp;K$25,Calc3!$Z$64:$AB$207,3,0),"")</f>
        <v/>
      </c>
      <c r="L28" s="157" t="str">
        <f ca="1">IFERROR(VLOOKUP($C28&amp;L$25,Calc3!$Z$64:$AB$207,3,0),"")</f>
        <v/>
      </c>
      <c r="M28" s="186" t="str">
        <f t="shared" ca="1" si="2"/>
        <v/>
      </c>
    </row>
    <row r="29" spans="2:13" ht="21.95" customHeight="1" x14ac:dyDescent="0.2">
      <c r="B29" s="115" t="str">
        <f ca="1">IF($C29="","",INDEX(Calc3!$E$4:$E$12,MATCH($C29,Calc3!$F$4:$F$12,0)))</f>
        <v/>
      </c>
      <c r="C29" s="124" t="str">
        <f ca="1">IF(Calc3!$K$13=0,"",Calc3!$AH7)</f>
        <v/>
      </c>
      <c r="D29" s="128" t="str">
        <f ca="1">IF($C29="","",VLOOKUP($C29,Calc3!$C$17:$AC$25,25,0))</f>
        <v/>
      </c>
      <c r="E29" s="112" t="str">
        <f ca="1">IF($C29="","",VLOOKUP($C29,Calc3!$C$17:$AC$25,26,0))</f>
        <v/>
      </c>
      <c r="F29" s="153" t="str">
        <f ca="1">IF($C29="","",VLOOKUP($C29,Vorrunde!$AO$12:$AQ$47,3,0))</f>
        <v/>
      </c>
      <c r="G29" s="136" t="str">
        <f ca="1">IFERROR(VLOOKUP($C29&amp;G$25,Calc3!$Z$64:$AB$207,3,0),"")</f>
        <v/>
      </c>
      <c r="H29" s="112" t="str">
        <f ca="1">IFERROR(VLOOKUP($C29&amp;H$25,Calc3!$Z$64:$AB$207,3,0),"")</f>
        <v/>
      </c>
      <c r="I29" s="112" t="str">
        <f ca="1">IFERROR(VLOOKUP($C29&amp;I$25,Calc3!$Z$64:$AB$207,3,0),"")</f>
        <v/>
      </c>
      <c r="J29" s="121"/>
      <c r="K29" s="112" t="str">
        <f ca="1">IFERROR(VLOOKUP($C29&amp;K$25,Calc3!$Z$64:$AB$207,3,0),"")</f>
        <v/>
      </c>
      <c r="L29" s="157" t="str">
        <f ca="1">IFERROR(VLOOKUP($C29&amp;L$25,Calc3!$Z$64:$AB$207,3,0),"")</f>
        <v/>
      </c>
      <c r="M29" s="186" t="str">
        <f t="shared" ca="1" si="2"/>
        <v/>
      </c>
    </row>
    <row r="30" spans="2:13" ht="21.95" customHeight="1" x14ac:dyDescent="0.2">
      <c r="B30" s="115" t="str">
        <f ca="1">IF($C30="","",INDEX(Calc3!$E$4:$E$12,MATCH($C30,Calc3!$F$4:$F$12,0)))</f>
        <v/>
      </c>
      <c r="C30" s="124" t="str">
        <f ca="1">IF(Calc3!$K$13=0,"",Calc3!$AH8)</f>
        <v/>
      </c>
      <c r="D30" s="128" t="str">
        <f ca="1">IF($C30="","",VLOOKUP($C30,Calc3!$C$17:$AC$25,25,0))</f>
        <v/>
      </c>
      <c r="E30" s="112" t="str">
        <f ca="1">IF($C30="","",VLOOKUP($C30,Calc3!$C$17:$AC$25,26,0))</f>
        <v/>
      </c>
      <c r="F30" s="153" t="str">
        <f ca="1">IF($C30="","",VLOOKUP($C30,Vorrunde!$AO$12:$AQ$47,3,0))</f>
        <v/>
      </c>
      <c r="G30" s="136" t="str">
        <f ca="1">IFERROR(VLOOKUP($C30&amp;G$25,Calc3!$Z$64:$AB$207,3,0),"")</f>
        <v/>
      </c>
      <c r="H30" s="112" t="str">
        <f ca="1">IFERROR(VLOOKUP($C30&amp;H$25,Calc3!$Z$64:$AB$207,3,0),"")</f>
        <v/>
      </c>
      <c r="I30" s="112" t="str">
        <f ca="1">IFERROR(VLOOKUP($C30&amp;I$25,Calc3!$Z$64:$AB$207,3,0),"")</f>
        <v/>
      </c>
      <c r="J30" s="112" t="str">
        <f ca="1">IFERROR(VLOOKUP($C30&amp;J$25,Calc3!$Z$64:$AB$207,3,0),"")</f>
        <v/>
      </c>
      <c r="K30" s="121"/>
      <c r="L30" s="157" t="str">
        <f ca="1">IFERROR(VLOOKUP($C30&amp;L$25,Calc3!$Z$64:$AB$207,3,0),"")</f>
        <v/>
      </c>
      <c r="M30" s="186" t="str">
        <f t="shared" ca="1" si="2"/>
        <v/>
      </c>
    </row>
    <row r="31" spans="2:13" ht="21.95" customHeight="1" thickBot="1" x14ac:dyDescent="0.25">
      <c r="B31" s="116" t="str">
        <f ca="1">IF($C31="","",INDEX(Calc3!$E$4:$E$12,MATCH($C31,Calc3!$F$4:$F$12,0)))</f>
        <v/>
      </c>
      <c r="C31" s="125" t="str">
        <f ca="1">IF(Calc3!$K$13=0,"",Calc3!$AH9)</f>
        <v/>
      </c>
      <c r="D31" s="129" t="str">
        <f ca="1">IF($C31="","",VLOOKUP($C31,Calc3!$C$17:$AC$25,25,0))</f>
        <v/>
      </c>
      <c r="E31" s="113" t="str">
        <f ca="1">IF($C31="","",VLOOKUP($C31,Calc3!$C$17:$AC$25,26,0))</f>
        <v/>
      </c>
      <c r="F31" s="154" t="str">
        <f ca="1">IF($C31="","",VLOOKUP($C31,Vorrunde!$AO$12:$AQ$47,3,0))</f>
        <v/>
      </c>
      <c r="G31" s="137" t="str">
        <f ca="1">IFERROR(VLOOKUP($C31&amp;G$25,Calc3!$Z$64:$AB$207,3,0),"")</f>
        <v/>
      </c>
      <c r="H31" s="113" t="str">
        <f ca="1">IFERROR(VLOOKUP($C31&amp;H$25,Calc3!$Z$64:$AB$207,3,0),"")</f>
        <v/>
      </c>
      <c r="I31" s="113" t="str">
        <f ca="1">IFERROR(VLOOKUP($C31&amp;I$25,Calc3!$Z$64:$AB$207,3,0),"")</f>
        <v/>
      </c>
      <c r="J31" s="113" t="str">
        <f ca="1">IFERROR(VLOOKUP($C31&amp;J$25,Calc3!$Z$64:$AB$207,3,0),"")</f>
        <v/>
      </c>
      <c r="K31" s="113" t="str">
        <f ca="1">IFERROR(VLOOKUP($C31&amp;K$25,Calc3!$Z$64:$AB$207,3,0),"")</f>
        <v/>
      </c>
      <c r="L31" s="158"/>
      <c r="M31" s="187"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7"/>
      <c r="C34" s="122" t="str">
        <f>Sprache!$E$10</f>
        <v>Teilnehmer bzw. Mannschaft</v>
      </c>
      <c r="D34" s="126" t="str">
        <f>Sprache!$E$27</f>
        <v>Pkt</v>
      </c>
      <c r="E34" s="114"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IF($C35="","",INDEX(Calc3!$E$4:$E$12,MATCH($C35,Calc3!$F$4:$F$12,0)))</f>
        <v/>
      </c>
      <c r="C35" s="123" t="str">
        <f ca="1">IF(Calc3!$K$13=0,"",Calc3!$AM4)</f>
        <v/>
      </c>
      <c r="D35" s="127" t="str">
        <f ca="1">IF($C35="","",VLOOKUP($C35,Calc3!$C$17:$AC$25,25,0))</f>
        <v/>
      </c>
      <c r="E35" s="111" t="str">
        <f ca="1">IF($C35="","",VLOOKUP($C35,Calc3!$C$17:$AC$25,26,0))</f>
        <v/>
      </c>
      <c r="F35" s="152" t="str">
        <f ca="1">IF($C35="","",VLOOKUP($C35,Vorrunde!$AO$12:$AQ$47,3,0))</f>
        <v/>
      </c>
      <c r="G35" s="135"/>
      <c r="H35" s="111" t="str">
        <f ca="1">IFERROR(VLOOKUP($C35&amp;H$34,Calc3!$Z$64:$AB$207,3,0),"")</f>
        <v/>
      </c>
      <c r="I35" s="111" t="str">
        <f ca="1">IFERROR(VLOOKUP($C35&amp;I$34,Calc3!$Z$64:$AB$207,3,0),"")</f>
        <v/>
      </c>
      <c r="J35" s="111" t="str">
        <f ca="1">IFERROR(VLOOKUP($C35&amp;J$34,Calc3!$Z$64:$AB$207,3,0),"")</f>
        <v/>
      </c>
      <c r="K35" s="111" t="str">
        <f ca="1">IFERROR(VLOOKUP($C35&amp;K$34,Calc3!$Z$64:$AB$207,3,0),"")</f>
        <v/>
      </c>
      <c r="L35" s="156" t="str">
        <f ca="1">IFERROR(VLOOKUP($C35&amp;L$34,Calc3!$Z$64:$AB$207,3,0),"")</f>
        <v/>
      </c>
      <c r="M35" s="185" t="str">
        <f t="shared" ref="M35:M40" ca="1" si="3">C35</f>
        <v/>
      </c>
    </row>
    <row r="36" spans="2:13" ht="21.95" customHeight="1" x14ac:dyDescent="0.2">
      <c r="B36" s="115" t="str">
        <f ca="1">IF($C36="","",INDEX(Calc3!$E$4:$E$12,MATCH($C36,Calc3!$F$4:$F$12,0)))</f>
        <v/>
      </c>
      <c r="C36" s="124" t="str">
        <f ca="1">IF(Calc3!$K$13=0,"",Calc3!$AM5)</f>
        <v/>
      </c>
      <c r="D36" s="128" t="str">
        <f ca="1">IF($C36="","",VLOOKUP($C36,Calc3!$C$17:$AC$25,25,0))</f>
        <v/>
      </c>
      <c r="E36" s="112" t="str">
        <f ca="1">IF($C36="","",VLOOKUP($C36,Calc3!$C$17:$AC$25,26,0))</f>
        <v/>
      </c>
      <c r="F36" s="153" t="str">
        <f ca="1">IF($C36="","",VLOOKUP($C36,Vorrunde!$AO$12:$AQ$47,3,0))</f>
        <v/>
      </c>
      <c r="G36" s="136" t="str">
        <f ca="1">IFERROR(VLOOKUP($C36&amp;G$34,Calc3!$Z$64:$AB$207,3,0),"")</f>
        <v/>
      </c>
      <c r="H36" s="121"/>
      <c r="I36" s="112" t="str">
        <f ca="1">IFERROR(VLOOKUP($C36&amp;I$34,Calc3!$Z$64:$AB$207,3,0),"")</f>
        <v/>
      </c>
      <c r="J36" s="112" t="str">
        <f ca="1">IFERROR(VLOOKUP($C36&amp;J$34,Calc3!$Z$64:$AB$207,3,0),"")</f>
        <v/>
      </c>
      <c r="K36" s="112" t="str">
        <f ca="1">IFERROR(VLOOKUP($C36&amp;K$34,Calc3!$Z$64:$AB$207,3,0),"")</f>
        <v/>
      </c>
      <c r="L36" s="157" t="str">
        <f ca="1">IFERROR(VLOOKUP($C36&amp;L$34,Calc3!$Z$64:$AB$207,3,0),"")</f>
        <v/>
      </c>
      <c r="M36" s="186" t="str">
        <f t="shared" ca="1" si="3"/>
        <v/>
      </c>
    </row>
    <row r="37" spans="2:13" ht="21.95" customHeight="1" x14ac:dyDescent="0.2">
      <c r="B37" s="115" t="str">
        <f ca="1">IF($C37="","",INDEX(Calc3!$E$4:$E$12,MATCH($C37,Calc3!$F$4:$F$12,0)))</f>
        <v/>
      </c>
      <c r="C37" s="124" t="str">
        <f ca="1">IF(Calc3!$K$13=0,"",Calc3!$AM6)</f>
        <v/>
      </c>
      <c r="D37" s="128" t="str">
        <f ca="1">IF($C37="","",VLOOKUP($C37,Calc3!$C$17:$AC$25,25,0))</f>
        <v/>
      </c>
      <c r="E37" s="112" t="str">
        <f ca="1">IF($C37="","",VLOOKUP($C37,Calc3!$C$17:$AC$25,26,0))</f>
        <v/>
      </c>
      <c r="F37" s="153" t="str">
        <f ca="1">IF($C37="","",VLOOKUP($C37,Vorrunde!$AO$12:$AQ$47,3,0))</f>
        <v/>
      </c>
      <c r="G37" s="136" t="str">
        <f ca="1">IFERROR(VLOOKUP($C37&amp;G$34,Calc3!$Z$64:$AB$207,3,0),"")</f>
        <v/>
      </c>
      <c r="H37" s="112" t="str">
        <f ca="1">IFERROR(VLOOKUP($C37&amp;H$34,Calc3!$Z$64:$AB$207,3,0),"")</f>
        <v/>
      </c>
      <c r="I37" s="121"/>
      <c r="J37" s="112" t="str">
        <f ca="1">IFERROR(VLOOKUP($C37&amp;J$34,Calc3!$Z$64:$AB$207,3,0),"")</f>
        <v/>
      </c>
      <c r="K37" s="112" t="str">
        <f ca="1">IFERROR(VLOOKUP($C37&amp;K$34,Calc3!$Z$64:$AB$207,3,0),"")</f>
        <v/>
      </c>
      <c r="L37" s="157" t="str">
        <f ca="1">IFERROR(VLOOKUP($C37&amp;L$34,Calc3!$Z$64:$AB$207,3,0),"")</f>
        <v/>
      </c>
      <c r="M37" s="186" t="str">
        <f t="shared" ca="1" si="3"/>
        <v/>
      </c>
    </row>
    <row r="38" spans="2:13" ht="21.95" customHeight="1" x14ac:dyDescent="0.2">
      <c r="B38" s="115" t="str">
        <f ca="1">IF($C38="","",INDEX(Calc3!$E$4:$E$12,MATCH($C38,Calc3!$F$4:$F$12,0)))</f>
        <v/>
      </c>
      <c r="C38" s="124" t="str">
        <f ca="1">IF(Calc3!$K$13=0,"",Calc3!$AM7)</f>
        <v/>
      </c>
      <c r="D38" s="128" t="str">
        <f ca="1">IF($C38="","",VLOOKUP($C38,Calc3!$C$17:$AC$25,25,0))</f>
        <v/>
      </c>
      <c r="E38" s="112" t="str">
        <f ca="1">IF($C38="","",VLOOKUP($C38,Calc3!$C$17:$AC$25,26,0))</f>
        <v/>
      </c>
      <c r="F38" s="153" t="str">
        <f ca="1">IF($C38="","",VLOOKUP($C38,Vorrunde!$AO$12:$AQ$47,3,0))</f>
        <v/>
      </c>
      <c r="G38" s="136" t="str">
        <f ca="1">IFERROR(VLOOKUP($C38&amp;G$34,Calc3!$Z$64:$AB$207,3,0),"")</f>
        <v/>
      </c>
      <c r="H38" s="112" t="str">
        <f ca="1">IFERROR(VLOOKUP($C38&amp;H$34,Calc3!$Z$64:$AB$207,3,0),"")</f>
        <v/>
      </c>
      <c r="I38" s="112" t="str">
        <f ca="1">IFERROR(VLOOKUP($C38&amp;I$34,Calc3!$Z$64:$AB$207,3,0),"")</f>
        <v/>
      </c>
      <c r="J38" s="121"/>
      <c r="K38" s="112" t="str">
        <f ca="1">IFERROR(VLOOKUP($C38&amp;K$34,Calc3!$Z$64:$AB$207,3,0),"")</f>
        <v/>
      </c>
      <c r="L38" s="157" t="str">
        <f ca="1">IFERROR(VLOOKUP($C38&amp;L$34,Calc3!$Z$64:$AB$207,3,0),"")</f>
        <v/>
      </c>
      <c r="M38" s="186" t="str">
        <f t="shared" ca="1" si="3"/>
        <v/>
      </c>
    </row>
    <row r="39" spans="2:13" ht="21.95" customHeight="1" x14ac:dyDescent="0.2">
      <c r="B39" s="115" t="str">
        <f ca="1">IF($C39="","",INDEX(Calc3!$E$4:$E$12,MATCH($C39,Calc3!$F$4:$F$12,0)))</f>
        <v/>
      </c>
      <c r="C39" s="124" t="str">
        <f ca="1">IF(Calc3!$K$13=0,"",Calc3!$AM8)</f>
        <v/>
      </c>
      <c r="D39" s="128" t="str">
        <f ca="1">IF($C39="","",VLOOKUP($C39,Calc3!$C$17:$AC$25,25,0))</f>
        <v/>
      </c>
      <c r="E39" s="112" t="str">
        <f ca="1">IF($C39="","",VLOOKUP($C39,Calc3!$C$17:$AC$25,26,0))</f>
        <v/>
      </c>
      <c r="F39" s="153" t="str">
        <f ca="1">IF($C39="","",VLOOKUP($C39,Vorrunde!$AO$12:$AQ$47,3,0))</f>
        <v/>
      </c>
      <c r="G39" s="136" t="str">
        <f ca="1">IFERROR(VLOOKUP($C39&amp;G$34,Calc3!$Z$64:$AB$207,3,0),"")</f>
        <v/>
      </c>
      <c r="H39" s="112" t="str">
        <f ca="1">IFERROR(VLOOKUP($C39&amp;H$34,Calc3!$Z$64:$AB$207,3,0),"")</f>
        <v/>
      </c>
      <c r="I39" s="112" t="str">
        <f ca="1">IFERROR(VLOOKUP($C39&amp;I$34,Calc3!$Z$64:$AB$207,3,0),"")</f>
        <v/>
      </c>
      <c r="J39" s="112" t="str">
        <f ca="1">IFERROR(VLOOKUP($C39&amp;J$34,Calc3!$Z$64:$AB$207,3,0),"")</f>
        <v/>
      </c>
      <c r="K39" s="121"/>
      <c r="L39" s="157" t="str">
        <f ca="1">IFERROR(VLOOKUP($C39&amp;L$34,Calc3!$Z$64:$AB$207,3,0),"")</f>
        <v/>
      </c>
      <c r="M39" s="186" t="str">
        <f t="shared" ca="1" si="3"/>
        <v/>
      </c>
    </row>
    <row r="40" spans="2:13" ht="21.95" customHeight="1" thickBot="1" x14ac:dyDescent="0.25">
      <c r="B40" s="116" t="str">
        <f ca="1">IF($C40="","",INDEX(Calc3!$E$4:$E$12,MATCH($C40,Calc3!$F$4:$F$12,0)))</f>
        <v/>
      </c>
      <c r="C40" s="125" t="str">
        <f ca="1">IF(Calc3!$K$13=0,"",Calc3!$AM9)</f>
        <v/>
      </c>
      <c r="D40" s="129" t="str">
        <f ca="1">IF($C40="","",VLOOKUP($C40,Calc3!$C$17:$AC$25,25,0))</f>
        <v/>
      </c>
      <c r="E40" s="113" t="str">
        <f ca="1">IF($C40="","",VLOOKUP($C40,Calc3!$C$17:$AC$25,26,0))</f>
        <v/>
      </c>
      <c r="F40" s="154" t="str">
        <f ca="1">IF($C40="","",VLOOKUP($C40,Vorrunde!$AO$12:$AQ$47,3,0))</f>
        <v/>
      </c>
      <c r="G40" s="137" t="str">
        <f ca="1">IFERROR(VLOOKUP($C40&amp;G$34,Calc3!$Z$64:$AB$207,3,0),"")</f>
        <v/>
      </c>
      <c r="H40" s="113" t="str">
        <f ca="1">IFERROR(VLOOKUP($C40&amp;H$34,Calc3!$Z$64:$AB$207,3,0),"")</f>
        <v/>
      </c>
      <c r="I40" s="113" t="str">
        <f ca="1">IFERROR(VLOOKUP($C40&amp;I$34,Calc3!$Z$64:$AB$207,3,0),"")</f>
        <v/>
      </c>
      <c r="J40" s="113" t="str">
        <f ca="1">IFERROR(VLOOKUP($C40&amp;J$34,Calc3!$Z$64:$AB$207,3,0),"")</f>
        <v/>
      </c>
      <c r="K40" s="113" t="str">
        <f ca="1">IFERROR(VLOOKUP($C40&amp;K$34,Calc3!$Z$64:$AB$207,3,0),"")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A0C-0C03-46E4-9ABA-C40AFE74DF7F}">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63" t="str">
        <f>Sprache!$E$7</f>
        <v>Direkte Vergleiche</v>
      </c>
      <c r="C2" s="963"/>
      <c r="D2" s="963"/>
      <c r="E2" s="963"/>
      <c r="F2" s="963"/>
      <c r="G2" s="963"/>
      <c r="H2" s="963"/>
      <c r="I2" s="963"/>
      <c r="J2" s="963"/>
      <c r="K2" s="963"/>
      <c r="L2" s="963"/>
    </row>
    <row r="3" spans="2:13" ht="42.75" customHeight="1" x14ac:dyDescent="0.2">
      <c r="B3" s="964" t="str">
        <f>Sprache!$E$56&amp;" D"</f>
        <v>Vorrunde Gruppe D</v>
      </c>
      <c r="C3" s="964"/>
      <c r="D3" s="964"/>
      <c r="E3" s="964"/>
      <c r="F3" s="964"/>
      <c r="G3" s="964"/>
      <c r="H3" s="964"/>
      <c r="I3" s="964"/>
      <c r="J3" s="964"/>
      <c r="K3" s="964"/>
      <c r="L3" s="964"/>
    </row>
    <row r="4" spans="2:13" ht="17.25" customHeight="1" x14ac:dyDescent="0.2">
      <c r="B4" s="965" t="str">
        <f>Sprache!$E$88</f>
        <v>Rote Schrift bedeutet, dass die Rangfolge auch mit dem direkten Vergleich nicht geklärt ist. Ein Entscheidungsspiel oder Los muss hier entscheiden.</v>
      </c>
      <c r="C4" s="965"/>
      <c r="D4" s="965"/>
      <c r="E4" s="965"/>
      <c r="F4" s="965"/>
      <c r="G4" s="965"/>
      <c r="H4" s="965"/>
      <c r="I4" s="965"/>
      <c r="J4" s="965"/>
      <c r="K4" s="965"/>
      <c r="L4" s="965"/>
      <c r="M4" s="965"/>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IF(LEN(G7)&gt;Einstellungen!$C$11,LEFT(G7,Einstellungen!$C$11)&amp;".",G7)</f>
        <v/>
      </c>
      <c r="H6" s="149" t="str">
        <f ca="1">IF(LEN(H7)&gt;Einstellungen!$C$11,LEFT(H7,Einstellungen!$C$11)&amp;".",H7)</f>
        <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7"/>
      <c r="C7" s="122" t="str">
        <f>Sprache!$E$10</f>
        <v>Teilnehmer bzw. Mannschaft</v>
      </c>
      <c r="D7" s="126" t="str">
        <f>Sprache!$E$27</f>
        <v>Pkt</v>
      </c>
      <c r="E7" s="114" t="str">
        <f>Sprache!$E$26</f>
        <v>Diff.</v>
      </c>
      <c r="F7" s="151" t="str">
        <f>Sprache!$E$49</f>
        <v>Tie-Break</v>
      </c>
      <c r="G7" s="130" t="str">
        <f ca="1">C8</f>
        <v/>
      </c>
      <c r="H7" s="131" t="str">
        <f ca="1">C9</f>
        <v/>
      </c>
      <c r="I7" s="131" t="str">
        <f ca="1">C10</f>
        <v/>
      </c>
      <c r="J7" s="131" t="str">
        <f ca="1">C11</f>
        <v/>
      </c>
      <c r="K7" s="131" t="str">
        <f ca="1">C12</f>
        <v/>
      </c>
      <c r="L7" s="155" t="str">
        <f ca="1">C13</f>
        <v/>
      </c>
    </row>
    <row r="8" spans="2:13" ht="21.95" customHeight="1" x14ac:dyDescent="0.2">
      <c r="B8" s="115" t="str">
        <f ca="1">IF($C8="","",INDEX(Calc4!$E$4:$E$12,MATCH($C8,Calc4!$F$4:$F$12,0)))</f>
        <v/>
      </c>
      <c r="C8" s="123" t="str">
        <f ca="1">IF(Calc4!$K$13=0,"",Calc4!$X4)</f>
        <v/>
      </c>
      <c r="D8" s="127" t="str">
        <f ca="1">IF($C8="","",VLOOKUP($C8,Calc4!$C$17:$AC$25,25,0))</f>
        <v/>
      </c>
      <c r="E8" s="111" t="str">
        <f ca="1">IF($C8="","",VLOOKUP($C8,Calc4!$C$17:$AC$25,26,0))</f>
        <v/>
      </c>
      <c r="F8" s="152" t="str">
        <f ca="1">IF($C8="","",VLOOKUP($C8,Vorrunde!$AO$12:$AQ$47,3,0))</f>
        <v/>
      </c>
      <c r="G8" s="135"/>
      <c r="H8" s="111" t="str">
        <f ca="1">IFERROR(VLOOKUP($C8&amp;H$7,Calc4!$Z$64:$AB$207,3,0),"")</f>
        <v/>
      </c>
      <c r="I8" s="111" t="str">
        <f ca="1">IFERROR(VLOOKUP($C8&amp;I$7,Calc4!$Z$64:$AB$207,3,0),"")</f>
        <v/>
      </c>
      <c r="J8" s="111" t="str">
        <f ca="1">IFERROR(VLOOKUP($C8&amp;J$7,Calc4!$Z$64:$AB$207,3,0),"")</f>
        <v/>
      </c>
      <c r="K8" s="111" t="str">
        <f ca="1">IFERROR(VLOOKUP($C8&amp;K$7,Calc4!$Z$64:$AB$207,3,0),"")</f>
        <v/>
      </c>
      <c r="L8" s="156" t="str">
        <f ca="1">IFERROR(VLOOKUP($C8&amp;L$7,Calc4!$Z$64:$AB$207,3,0),"")</f>
        <v/>
      </c>
      <c r="M8" s="185" t="str">
        <f t="shared" ref="M8:M13" ca="1" si="0">C8</f>
        <v/>
      </c>
    </row>
    <row r="9" spans="2:13" ht="21.95" customHeight="1" x14ac:dyDescent="0.2">
      <c r="B9" s="115" t="str">
        <f ca="1">IF($C9="","",INDEX(Calc4!$E$4:$E$12,MATCH($C9,Calc4!$F$4:$F$12,0)))</f>
        <v/>
      </c>
      <c r="C9" s="124" t="str">
        <f ca="1">IF(Calc4!$K$13=0,"",Calc4!$X5)</f>
        <v/>
      </c>
      <c r="D9" s="128" t="str">
        <f ca="1">IF($C9="","",VLOOKUP($C9,Calc4!$C$17:$AC$25,25,0))</f>
        <v/>
      </c>
      <c r="E9" s="112" t="str">
        <f ca="1">IF($C9="","",VLOOKUP($C9,Calc4!$C$17:$AC$25,26,0))</f>
        <v/>
      </c>
      <c r="F9" s="153" t="str">
        <f ca="1">IF($C9="","",VLOOKUP($C9,Vorrunde!$AO$12:$AQ$47,3,0))</f>
        <v/>
      </c>
      <c r="G9" s="136" t="str">
        <f ca="1">IFERROR(VLOOKUP($C9&amp;G$7,Calc4!$Z$64:$AB$207,3,0),"")</f>
        <v/>
      </c>
      <c r="H9" s="121"/>
      <c r="I9" s="112" t="str">
        <f ca="1">IFERROR(VLOOKUP($C9&amp;I$7,Calc4!$Z$64:$AB$207,3,0),"")</f>
        <v/>
      </c>
      <c r="J9" s="112" t="str">
        <f ca="1">IFERROR(VLOOKUP($C9&amp;J$7,Calc4!$Z$64:$AB$207,3,0),"")</f>
        <v/>
      </c>
      <c r="K9" s="112" t="str">
        <f ca="1">IFERROR(VLOOKUP($C9&amp;K$7,Calc4!$Z$64:$AB$207,3,0),"")</f>
        <v/>
      </c>
      <c r="L9" s="157" t="str">
        <f ca="1">IFERROR(VLOOKUP($C9&amp;L$7,Calc4!$Z$64:$AB$207,3,0),"")</f>
        <v/>
      </c>
      <c r="M9" s="186" t="str">
        <f t="shared" ca="1" si="0"/>
        <v/>
      </c>
    </row>
    <row r="10" spans="2:13" ht="21.95" customHeight="1" x14ac:dyDescent="0.2">
      <c r="B10" s="115" t="str">
        <f ca="1">IF($C10="","",INDEX(Calc4!$E$4:$E$12,MATCH($C10,Calc4!$F$4:$F$12,0)))</f>
        <v/>
      </c>
      <c r="C10" s="124" t="str">
        <f ca="1">IF(Calc4!$K$13=0,"",Calc4!$X6)</f>
        <v/>
      </c>
      <c r="D10" s="128" t="str">
        <f ca="1">IF($C10="","",VLOOKUP($C10,Calc4!$C$17:$AC$25,25,0))</f>
        <v/>
      </c>
      <c r="E10" s="112" t="str">
        <f ca="1">IF($C10="","",VLOOKUP($C10,Calc4!$C$17:$AC$25,26,0))</f>
        <v/>
      </c>
      <c r="F10" s="153" t="str">
        <f ca="1">IF($C10="","",VLOOKUP($C10,Vorrunde!$AO$12:$AQ$47,3,0))</f>
        <v/>
      </c>
      <c r="G10" s="136" t="str">
        <f ca="1">IFERROR(VLOOKUP($C10&amp;G$7,Calc4!$Z$64:$AB$207,3,0),"")</f>
        <v/>
      </c>
      <c r="H10" s="112" t="str">
        <f ca="1">IFERROR(VLOOKUP($C10&amp;H$7,Calc4!$Z$64:$AB$207,3,0),"")</f>
        <v/>
      </c>
      <c r="I10" s="121"/>
      <c r="J10" s="112" t="str">
        <f ca="1">IFERROR(VLOOKUP($C10&amp;J$7,Calc4!$Z$64:$AB$207,3,0),"")</f>
        <v/>
      </c>
      <c r="K10" s="112" t="str">
        <f ca="1">IFERROR(VLOOKUP($C10&amp;K$7,Calc4!$Z$64:$AB$207,3,0),"")</f>
        <v/>
      </c>
      <c r="L10" s="157" t="str">
        <f ca="1">IFERROR(VLOOKUP($C10&amp;L$7,Calc4!$Z$64:$AB$207,3,0),"")</f>
        <v/>
      </c>
      <c r="M10" s="186" t="str">
        <f t="shared" ca="1" si="0"/>
        <v/>
      </c>
    </row>
    <row r="11" spans="2:13" ht="21.95" customHeight="1" x14ac:dyDescent="0.2">
      <c r="B11" s="115" t="str">
        <f ca="1">IF($C11="","",INDEX(Calc4!$E$4:$E$12,MATCH($C11,Calc4!$F$4:$F$12,0)))</f>
        <v/>
      </c>
      <c r="C11" s="124" t="str">
        <f ca="1">IF(Calc4!$K$13=0,"",Calc4!$X7)</f>
        <v/>
      </c>
      <c r="D11" s="128" t="str">
        <f ca="1">IF($C11="","",VLOOKUP($C11,Calc4!$C$17:$AC$25,25,0))</f>
        <v/>
      </c>
      <c r="E11" s="112" t="str">
        <f ca="1">IF($C11="","",VLOOKUP($C11,Calc4!$C$17:$AC$25,26,0))</f>
        <v/>
      </c>
      <c r="F11" s="153" t="str">
        <f ca="1">IF($C11="","",VLOOKUP($C11,Vorrunde!$AO$12:$AQ$47,3,0))</f>
        <v/>
      </c>
      <c r="G11" s="136" t="str">
        <f ca="1">IFERROR(VLOOKUP($C11&amp;G$7,Calc4!$Z$64:$AB$207,3,0),"")</f>
        <v/>
      </c>
      <c r="H11" s="112" t="str">
        <f ca="1">IFERROR(VLOOKUP($C11&amp;H$7,Calc4!$Z$64:$AB$207,3,0),"")</f>
        <v/>
      </c>
      <c r="I11" s="112" t="str">
        <f ca="1">IFERROR(VLOOKUP($C11&amp;I$7,Calc4!$Z$64:$AB$207,3,0),"")</f>
        <v/>
      </c>
      <c r="J11" s="121"/>
      <c r="K11" s="112" t="str">
        <f ca="1">IFERROR(VLOOKUP($C11&amp;K$7,Calc4!$Z$64:$AB$207,3,0),"")</f>
        <v/>
      </c>
      <c r="L11" s="157" t="str">
        <f ca="1">IFERROR(VLOOKUP($C11&amp;L$7,Calc4!$Z$64:$AB$207,3,0),"")</f>
        <v/>
      </c>
      <c r="M11" s="186" t="str">
        <f t="shared" ca="1" si="0"/>
        <v/>
      </c>
    </row>
    <row r="12" spans="2:13" ht="21.95" customHeight="1" x14ac:dyDescent="0.2">
      <c r="B12" s="115" t="str">
        <f ca="1">IF($C12="","",INDEX(Calc4!$E$4:$E$12,MATCH($C12,Calc4!$F$4:$F$12,0)))</f>
        <v/>
      </c>
      <c r="C12" s="124" t="str">
        <f ca="1">IF(Calc4!$K$13=0,"",Calc4!$X8)</f>
        <v/>
      </c>
      <c r="D12" s="128" t="str">
        <f ca="1">IF($C12="","",VLOOKUP($C12,Calc4!$C$17:$AC$25,25,0))</f>
        <v/>
      </c>
      <c r="E12" s="112" t="str">
        <f ca="1">IF($C12="","",VLOOKUP($C12,Calc4!$C$17:$AC$25,26,0))</f>
        <v/>
      </c>
      <c r="F12" s="153" t="str">
        <f ca="1">IF($C12="","",VLOOKUP($C12,Vorrunde!$AO$12:$AQ$47,3,0))</f>
        <v/>
      </c>
      <c r="G12" s="136" t="str">
        <f ca="1">IFERROR(VLOOKUP($C12&amp;G$7,Calc4!$Z$64:$AB$207,3,0),"")</f>
        <v/>
      </c>
      <c r="H12" s="112" t="str">
        <f ca="1">IFERROR(VLOOKUP($C12&amp;H$7,Calc4!$Z$64:$AB$207,3,0),"")</f>
        <v/>
      </c>
      <c r="I12" s="112" t="str">
        <f ca="1">IFERROR(VLOOKUP($C12&amp;I$7,Calc4!$Z$64:$AB$207,3,0),"")</f>
        <v/>
      </c>
      <c r="J12" s="112" t="str">
        <f ca="1">IFERROR(VLOOKUP($C12&amp;J$7,Calc4!$Z$64:$AB$207,3,0),"")</f>
        <v/>
      </c>
      <c r="K12" s="121"/>
      <c r="L12" s="157" t="str">
        <f ca="1">IFERROR(VLOOKUP($C12&amp;L$7,Calc4!$Z$64:$AB$207,3,0),"")</f>
        <v/>
      </c>
      <c r="M12" s="186" t="str">
        <f t="shared" ca="1" si="0"/>
        <v/>
      </c>
    </row>
    <row r="13" spans="2:13" ht="21.95" customHeight="1" thickBot="1" x14ac:dyDescent="0.25">
      <c r="B13" s="116" t="str">
        <f ca="1">IF($C13="","",INDEX(Calc4!$E$4:$E$12,MATCH($C13,Calc4!$F$4:$F$12,0)))</f>
        <v/>
      </c>
      <c r="C13" s="125" t="str">
        <f ca="1">IF(Calc4!$K$13=0,"",Calc4!$X9)</f>
        <v/>
      </c>
      <c r="D13" s="129" t="str">
        <f ca="1">IF($C13="","",VLOOKUP($C13,Calc4!$C$17:$AC$25,25,0))</f>
        <v/>
      </c>
      <c r="E13" s="113" t="str">
        <f ca="1">IF($C13="","",VLOOKUP($C13,Calc4!$C$17:$AC$25,26,0))</f>
        <v/>
      </c>
      <c r="F13" s="154" t="str">
        <f ca="1">IF($C13="","",VLOOKUP($C13,Vorrunde!$AO$12:$AQ$47,3,0))</f>
        <v/>
      </c>
      <c r="G13" s="137" t="str">
        <f ca="1">IFERROR(VLOOKUP($C13&amp;G$7,Calc4!$Z$64:$AB$207,3,0),"")</f>
        <v/>
      </c>
      <c r="H13" s="113" t="str">
        <f ca="1">IFERROR(VLOOKUP($C13&amp;H$7,Calc4!$Z$64:$AB$207,3,0),"")</f>
        <v/>
      </c>
      <c r="I13" s="113" t="str">
        <f ca="1">IFERROR(VLOOKUP($C13&amp;I$7,Calc4!$Z$64:$AB$207,3,0),"")</f>
        <v/>
      </c>
      <c r="J13" s="113" t="str">
        <f ca="1">IFERROR(VLOOKUP($C13&amp;J$7,Calc4!$Z$64:$AB$207,3,0),"")</f>
        <v/>
      </c>
      <c r="K13" s="113" t="str">
        <f ca="1">IFERROR(VLOOKUP($C13&amp;K$7,Calc4!$Z$64:$AB$207,3,0),"")</f>
        <v/>
      </c>
      <c r="L13" s="158"/>
      <c r="M13" s="187"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7"/>
      <c r="C16" s="122" t="str">
        <f>Sprache!$E$10</f>
        <v>Teilnehmer bzw. Mannschaft</v>
      </c>
      <c r="D16" s="126" t="str">
        <f>Sprache!$E$27</f>
        <v>Pkt</v>
      </c>
      <c r="E16" s="114"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5" t="str">
        <f ca="1">IF($C17="","",INDEX(Calc4!$E$4:$E$12,MATCH($C17,Calc4!$F$4:$F$12,0)))</f>
        <v/>
      </c>
      <c r="C17" s="123" t="str">
        <f ca="1">IF(Calc4!$K$13=0,"",Calc4!$AC4)</f>
        <v/>
      </c>
      <c r="D17" s="127" t="str">
        <f ca="1">IF($C17="","",VLOOKUP($C17,Calc4!$C$17:$AC$25,25,0))</f>
        <v/>
      </c>
      <c r="E17" s="111" t="str">
        <f ca="1">IF($C17="","",VLOOKUP($C17,Calc4!$C$17:$AC$25,26,0))</f>
        <v/>
      </c>
      <c r="F17" s="152" t="str">
        <f ca="1">IF($C17="","",VLOOKUP($C17,Vorrunde!$AO$12:$AQ$47,3,0))</f>
        <v/>
      </c>
      <c r="G17" s="135"/>
      <c r="H17" s="111" t="str">
        <f ca="1">IFERROR(VLOOKUP($C17&amp;H$16,Calc4!$Z$64:$AB$207,3,0),"")</f>
        <v/>
      </c>
      <c r="I17" s="111" t="str">
        <f ca="1">IFERROR(VLOOKUP($C17&amp;I$16,Calc4!$Z$64:$AB$207,3,0),"")</f>
        <v/>
      </c>
      <c r="J17" s="111" t="str">
        <f ca="1">IFERROR(VLOOKUP($C17&amp;J$16,Calc4!$Z$64:$AB$207,3,0),"")</f>
        <v/>
      </c>
      <c r="K17" s="111" t="str">
        <f ca="1">IFERROR(VLOOKUP($C17&amp;K$16,Calc4!$Z$64:$AB$207,3,0),"")</f>
        <v/>
      </c>
      <c r="L17" s="156" t="str">
        <f ca="1">IFERROR(VLOOKUP($C17&amp;L$16,Calc4!$Z$64:$AB$207,3,0),"")</f>
        <v/>
      </c>
      <c r="M17" s="185" t="str">
        <f t="shared" ref="M17:M22" ca="1" si="1">C17</f>
        <v/>
      </c>
    </row>
    <row r="18" spans="2:13" ht="21.95" customHeight="1" x14ac:dyDescent="0.2">
      <c r="B18" s="115" t="str">
        <f ca="1">IF($C18="","",INDEX(Calc4!$E$4:$E$12,MATCH($C18,Calc4!$F$4:$F$12,0)))</f>
        <v/>
      </c>
      <c r="C18" s="124" t="str">
        <f ca="1">IF(Calc4!$K$13=0,"",Calc4!$AC5)</f>
        <v/>
      </c>
      <c r="D18" s="128" t="str">
        <f ca="1">IF($C18="","",VLOOKUP($C18,Calc4!$C$17:$AC$25,25,0))</f>
        <v/>
      </c>
      <c r="E18" s="112" t="str">
        <f ca="1">IF($C18="","",VLOOKUP($C18,Calc4!$C$17:$AC$25,26,0))</f>
        <v/>
      </c>
      <c r="F18" s="153" t="str">
        <f ca="1">IF($C18="","",VLOOKUP($C18,Vorrunde!$AO$12:$AQ$47,3,0))</f>
        <v/>
      </c>
      <c r="G18" s="136" t="str">
        <f ca="1">IFERROR(VLOOKUP($C18&amp;G$16,Calc4!$Z$64:$AB$207,3,0),"")</f>
        <v/>
      </c>
      <c r="H18" s="121"/>
      <c r="I18" s="112" t="str">
        <f ca="1">IFERROR(VLOOKUP($C18&amp;I$16,Calc4!$Z$64:$AB$207,3,0),"")</f>
        <v/>
      </c>
      <c r="J18" s="112" t="str">
        <f ca="1">IFERROR(VLOOKUP($C18&amp;J$16,Calc4!$Z$64:$AB$207,3,0),"")</f>
        <v/>
      </c>
      <c r="K18" s="112" t="str">
        <f ca="1">IFERROR(VLOOKUP($C18&amp;K$16,Calc4!$Z$64:$AB$207,3,0),"")</f>
        <v/>
      </c>
      <c r="L18" s="157" t="str">
        <f ca="1">IFERROR(VLOOKUP($C18&amp;L$16,Calc4!$Z$64:$AB$207,3,0),"")</f>
        <v/>
      </c>
      <c r="M18" s="186" t="str">
        <f t="shared" ca="1" si="1"/>
        <v/>
      </c>
    </row>
    <row r="19" spans="2:13" ht="21.95" customHeight="1" x14ac:dyDescent="0.2">
      <c r="B19" s="115" t="str">
        <f ca="1">IF($C19="","",INDEX(Calc4!$E$4:$E$12,MATCH($C19,Calc4!$F$4:$F$12,0)))</f>
        <v/>
      </c>
      <c r="C19" s="124" t="str">
        <f ca="1">IF(Calc4!$K$13=0,"",Calc4!$AC6)</f>
        <v/>
      </c>
      <c r="D19" s="128" t="str">
        <f ca="1">IF($C19="","",VLOOKUP($C19,Calc4!$C$17:$AC$25,25,0))</f>
        <v/>
      </c>
      <c r="E19" s="112" t="str">
        <f ca="1">IF($C19="","",VLOOKUP($C19,Calc4!$C$17:$AC$25,26,0))</f>
        <v/>
      </c>
      <c r="F19" s="153" t="str">
        <f ca="1">IF($C19="","",VLOOKUP($C19,Vorrunde!$AO$12:$AQ$47,3,0))</f>
        <v/>
      </c>
      <c r="G19" s="136" t="str">
        <f ca="1">IFERROR(VLOOKUP($C19&amp;G$16,Calc4!$Z$64:$AB$207,3,0),"")</f>
        <v/>
      </c>
      <c r="H19" s="112" t="str">
        <f ca="1">IFERROR(VLOOKUP($C19&amp;H$16,Calc4!$Z$64:$AB$207,3,0),"")</f>
        <v/>
      </c>
      <c r="I19" s="121"/>
      <c r="J19" s="112" t="str">
        <f ca="1">IFERROR(VLOOKUP($C19&amp;J$16,Calc4!$Z$64:$AB$207,3,0),"")</f>
        <v/>
      </c>
      <c r="K19" s="112" t="str">
        <f ca="1">IFERROR(VLOOKUP($C19&amp;K$16,Calc4!$Z$64:$AB$207,3,0),"")</f>
        <v/>
      </c>
      <c r="L19" s="157" t="str">
        <f ca="1">IFERROR(VLOOKUP($C19&amp;L$16,Calc4!$Z$64:$AB$207,3,0),"")</f>
        <v/>
      </c>
      <c r="M19" s="186" t="str">
        <f t="shared" ca="1" si="1"/>
        <v/>
      </c>
    </row>
    <row r="20" spans="2:13" ht="21.95" customHeight="1" x14ac:dyDescent="0.2">
      <c r="B20" s="115" t="str">
        <f ca="1">IF($C20="","",INDEX(Calc4!$E$4:$E$12,MATCH($C20,Calc4!$F$4:$F$12,0)))</f>
        <v/>
      </c>
      <c r="C20" s="124" t="str">
        <f ca="1">IF(Calc4!$K$13=0,"",Calc4!$AC7)</f>
        <v/>
      </c>
      <c r="D20" s="128" t="str">
        <f ca="1">IF($C20="","",VLOOKUP($C20,Calc4!$C$17:$AC$25,25,0))</f>
        <v/>
      </c>
      <c r="E20" s="112" t="str">
        <f ca="1">IF($C20="","",VLOOKUP($C20,Calc4!$C$17:$AC$25,26,0))</f>
        <v/>
      </c>
      <c r="F20" s="153" t="str">
        <f ca="1">IF($C20="","",VLOOKUP($C20,Vorrunde!$AO$12:$AQ$47,3,0))</f>
        <v/>
      </c>
      <c r="G20" s="136" t="str">
        <f ca="1">IFERROR(VLOOKUP($C20&amp;G$16,Calc4!$Z$64:$AB$207,3,0),"")</f>
        <v/>
      </c>
      <c r="H20" s="112" t="str">
        <f ca="1">IFERROR(VLOOKUP($C20&amp;H$16,Calc4!$Z$64:$AB$207,3,0),"")</f>
        <v/>
      </c>
      <c r="I20" s="112" t="str">
        <f ca="1">IFERROR(VLOOKUP($C20&amp;I$16,Calc4!$Z$64:$AB$207,3,0),"")</f>
        <v/>
      </c>
      <c r="J20" s="121"/>
      <c r="K20" s="112" t="str">
        <f ca="1">IFERROR(VLOOKUP($C20&amp;K$16,Calc4!$Z$64:$AB$207,3,0),"")</f>
        <v/>
      </c>
      <c r="L20" s="157" t="str">
        <f ca="1">IFERROR(VLOOKUP($C20&amp;L$16,Calc4!$Z$64:$AB$207,3,0),"")</f>
        <v/>
      </c>
      <c r="M20" s="186" t="str">
        <f t="shared" ca="1" si="1"/>
        <v/>
      </c>
    </row>
    <row r="21" spans="2:13" ht="21.95" customHeight="1" x14ac:dyDescent="0.2">
      <c r="B21" s="115" t="str">
        <f ca="1">IF($C21="","",INDEX(Calc4!$E$4:$E$12,MATCH($C21,Calc4!$F$4:$F$12,0)))</f>
        <v/>
      </c>
      <c r="C21" s="124" t="str">
        <f ca="1">IF(Calc4!$K$13=0,"",Calc4!$AC8)</f>
        <v/>
      </c>
      <c r="D21" s="128" t="str">
        <f ca="1">IF($C21="","",VLOOKUP($C21,Calc4!$C$17:$AC$25,25,0))</f>
        <v/>
      </c>
      <c r="E21" s="112" t="str">
        <f ca="1">IF($C21="","",VLOOKUP($C21,Calc4!$C$17:$AC$25,26,0))</f>
        <v/>
      </c>
      <c r="F21" s="153" t="str">
        <f ca="1">IF($C21="","",VLOOKUP($C21,Vorrunde!$AO$12:$AQ$47,3,0))</f>
        <v/>
      </c>
      <c r="G21" s="136" t="str">
        <f ca="1">IFERROR(VLOOKUP($C21&amp;G$16,Calc4!$Z$64:$AB$207,3,0),"")</f>
        <v/>
      </c>
      <c r="H21" s="112" t="str">
        <f ca="1">IFERROR(VLOOKUP($C21&amp;H$16,Calc4!$Z$64:$AB$207,3,0),"")</f>
        <v/>
      </c>
      <c r="I21" s="112" t="str">
        <f ca="1">IFERROR(VLOOKUP($C21&amp;I$16,Calc4!$Z$64:$AB$207,3,0),"")</f>
        <v/>
      </c>
      <c r="J21" s="112" t="str">
        <f ca="1">IFERROR(VLOOKUP($C21&amp;J$16,Calc4!$Z$64:$AB$207,3,0),"")</f>
        <v/>
      </c>
      <c r="K21" s="121"/>
      <c r="L21" s="157" t="str">
        <f ca="1">IFERROR(VLOOKUP($C21&amp;L$16,Calc4!$Z$64:$AB$207,3,0),"")</f>
        <v/>
      </c>
      <c r="M21" s="186" t="str">
        <f t="shared" ca="1" si="1"/>
        <v/>
      </c>
    </row>
    <row r="22" spans="2:13" ht="21.95" customHeight="1" thickBot="1" x14ac:dyDescent="0.25">
      <c r="B22" s="116" t="str">
        <f ca="1">IF($C22="","",INDEX(Calc4!$E$4:$E$12,MATCH($C22,Calc4!$F$4:$F$12,0)))</f>
        <v/>
      </c>
      <c r="C22" s="125" t="str">
        <f ca="1">IF(Calc4!$K$13=0,"",Calc4!$AC9)</f>
        <v/>
      </c>
      <c r="D22" s="129" t="str">
        <f ca="1">IF($C22="","",VLOOKUP($C22,Calc4!$C$17:$AC$25,25,0))</f>
        <v/>
      </c>
      <c r="E22" s="113" t="str">
        <f ca="1">IF($C22="","",VLOOKUP($C22,Calc4!$C$17:$AC$25,26,0))</f>
        <v/>
      </c>
      <c r="F22" s="154" t="str">
        <f ca="1">IF($C22="","",VLOOKUP($C22,Vorrunde!$AO$12:$AQ$47,3,0))</f>
        <v/>
      </c>
      <c r="G22" s="137" t="str">
        <f ca="1">IFERROR(VLOOKUP($C22&amp;G$16,Calc4!$Z$64:$AB$207,3,0),"")</f>
        <v/>
      </c>
      <c r="H22" s="113" t="str">
        <f ca="1">IFERROR(VLOOKUP($C22&amp;H$16,Calc4!$Z$64:$AB$207,3,0),"")</f>
        <v/>
      </c>
      <c r="I22" s="113" t="str">
        <f ca="1">IFERROR(VLOOKUP($C22&amp;I$16,Calc4!$Z$64:$AB$207,3,0),"")</f>
        <v/>
      </c>
      <c r="J22" s="113" t="str">
        <f ca="1">IFERROR(VLOOKUP($C22&amp;J$16,Calc4!$Z$64:$AB$207,3,0),"")</f>
        <v/>
      </c>
      <c r="K22" s="113" t="str">
        <f ca="1">IFERROR(VLOOKUP($C22&amp;K$16,Calc4!$Z$64:$AB$207,3,0),"")</f>
        <v/>
      </c>
      <c r="L22" s="158"/>
      <c r="M22" s="187"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7"/>
      <c r="C25" s="122" t="str">
        <f>Sprache!$E$10</f>
        <v>Teilnehmer bzw. Mannschaft</v>
      </c>
      <c r="D25" s="126" t="str">
        <f>Sprache!$E$27</f>
        <v>Pkt</v>
      </c>
      <c r="E25" s="114"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5" t="str">
        <f ca="1">IF($C26="","",INDEX(Calc4!$E$4:$E$12,MATCH($C26,Calc4!$F$4:$F$12,0)))</f>
        <v/>
      </c>
      <c r="C26" s="123" t="str">
        <f ca="1">IF(Calc4!$K$13=0,"",Calc4!$AH4)</f>
        <v/>
      </c>
      <c r="D26" s="127" t="str">
        <f ca="1">IF($C26="","",VLOOKUP($C26,Calc4!$C$17:$AC$25,25,0))</f>
        <v/>
      </c>
      <c r="E26" s="111" t="str">
        <f ca="1">IF($C26="","",VLOOKUP($C26,Calc4!$C$17:$AC$25,26,0))</f>
        <v/>
      </c>
      <c r="F26" s="152" t="str">
        <f ca="1">IF($C26="","",VLOOKUP($C26,Vorrunde!$AO$12:$AQ$47,3,0))</f>
        <v/>
      </c>
      <c r="G26" s="135"/>
      <c r="H26" s="111" t="str">
        <f ca="1">IFERROR(VLOOKUP($C26&amp;H$25,Calc4!$Z$64:$AB$207,3,0),"")</f>
        <v/>
      </c>
      <c r="I26" s="111" t="str">
        <f ca="1">IFERROR(VLOOKUP($C26&amp;I$25,Calc4!$Z$64:$AB$207,3,0),"")</f>
        <v/>
      </c>
      <c r="J26" s="111" t="str">
        <f ca="1">IFERROR(VLOOKUP($C26&amp;J$25,Calc4!$Z$64:$AB$207,3,0),"")</f>
        <v/>
      </c>
      <c r="K26" s="111" t="str">
        <f ca="1">IFERROR(VLOOKUP($C26&amp;K$25,Calc4!$Z$64:$AB$207,3,0),"")</f>
        <v/>
      </c>
      <c r="L26" s="156" t="str">
        <f ca="1">IFERROR(VLOOKUP($C26&amp;L$25,Calc4!$Z$64:$AB$207,3,0),"")</f>
        <v/>
      </c>
      <c r="M26" s="185" t="str">
        <f t="shared" ref="M26:M31" ca="1" si="2">C26</f>
        <v/>
      </c>
    </row>
    <row r="27" spans="2:13" ht="21.95" customHeight="1" x14ac:dyDescent="0.2">
      <c r="B27" s="115" t="str">
        <f ca="1">IF($C27="","",INDEX(Calc4!$E$4:$E$12,MATCH($C27,Calc4!$F$4:$F$12,0)))</f>
        <v/>
      </c>
      <c r="C27" s="124" t="str">
        <f ca="1">IF(Calc4!$K$13=0,"",Calc4!$AH5)</f>
        <v/>
      </c>
      <c r="D27" s="128" t="str">
        <f ca="1">IF($C27="","",VLOOKUP($C27,Calc4!$C$17:$AC$25,25,0))</f>
        <v/>
      </c>
      <c r="E27" s="112" t="str">
        <f ca="1">IF($C27="","",VLOOKUP($C27,Calc4!$C$17:$AC$25,26,0))</f>
        <v/>
      </c>
      <c r="F27" s="153" t="str">
        <f ca="1">IF($C27="","",VLOOKUP($C27,Vorrunde!$AO$12:$AQ$47,3,0))</f>
        <v/>
      </c>
      <c r="G27" s="136" t="str">
        <f ca="1">IFERROR(VLOOKUP($C27&amp;G$25,Calc4!$Z$64:$AB$207,3,0),"")</f>
        <v/>
      </c>
      <c r="H27" s="121"/>
      <c r="I27" s="112" t="str">
        <f ca="1">IFERROR(VLOOKUP($C27&amp;I$25,Calc4!$Z$64:$AB$207,3,0),"")</f>
        <v/>
      </c>
      <c r="J27" s="112" t="str">
        <f ca="1">IFERROR(VLOOKUP($C27&amp;J$25,Calc4!$Z$64:$AB$207,3,0),"")</f>
        <v/>
      </c>
      <c r="K27" s="112" t="str">
        <f ca="1">IFERROR(VLOOKUP($C27&amp;K$25,Calc4!$Z$64:$AB$207,3,0),"")</f>
        <v/>
      </c>
      <c r="L27" s="157" t="str">
        <f ca="1">IFERROR(VLOOKUP($C27&amp;L$25,Calc4!$Z$64:$AB$207,3,0),"")</f>
        <v/>
      </c>
      <c r="M27" s="186" t="str">
        <f t="shared" ca="1" si="2"/>
        <v/>
      </c>
    </row>
    <row r="28" spans="2:13" ht="21.95" customHeight="1" x14ac:dyDescent="0.2">
      <c r="B28" s="115" t="str">
        <f ca="1">IF($C28="","",INDEX(Calc4!$E$4:$E$12,MATCH($C28,Calc4!$F$4:$F$12,0)))</f>
        <v/>
      </c>
      <c r="C28" s="124" t="str">
        <f ca="1">IF(Calc4!$K$13=0,"",Calc4!$AH6)</f>
        <v/>
      </c>
      <c r="D28" s="128" t="str">
        <f ca="1">IF($C28="","",VLOOKUP($C28,Calc4!$C$17:$AC$25,25,0))</f>
        <v/>
      </c>
      <c r="E28" s="112" t="str">
        <f ca="1">IF($C28="","",VLOOKUP($C28,Calc4!$C$17:$AC$25,26,0))</f>
        <v/>
      </c>
      <c r="F28" s="153" t="str">
        <f ca="1">IF($C28="","",VLOOKUP($C28,Vorrunde!$AO$12:$AQ$47,3,0))</f>
        <v/>
      </c>
      <c r="G28" s="136" t="str">
        <f ca="1">IFERROR(VLOOKUP($C28&amp;G$25,Calc4!$Z$64:$AB$207,3,0),"")</f>
        <v/>
      </c>
      <c r="H28" s="112" t="str">
        <f ca="1">IFERROR(VLOOKUP($C28&amp;H$25,Calc4!$Z$64:$AB$207,3,0),"")</f>
        <v/>
      </c>
      <c r="I28" s="121"/>
      <c r="J28" s="112" t="str">
        <f ca="1">IFERROR(VLOOKUP($C28&amp;J$25,Calc4!$Z$64:$AB$207,3,0),"")</f>
        <v/>
      </c>
      <c r="K28" s="112" t="str">
        <f ca="1">IFERROR(VLOOKUP($C28&amp;K$25,Calc4!$Z$64:$AB$207,3,0),"")</f>
        <v/>
      </c>
      <c r="L28" s="157" t="str">
        <f ca="1">IFERROR(VLOOKUP($C28&amp;L$25,Calc4!$Z$64:$AB$207,3,0),"")</f>
        <v/>
      </c>
      <c r="M28" s="186" t="str">
        <f t="shared" ca="1" si="2"/>
        <v/>
      </c>
    </row>
    <row r="29" spans="2:13" ht="21.95" customHeight="1" x14ac:dyDescent="0.2">
      <c r="B29" s="115" t="str">
        <f ca="1">IF($C29="","",INDEX(Calc4!$E$4:$E$12,MATCH($C29,Calc4!$F$4:$F$12,0)))</f>
        <v/>
      </c>
      <c r="C29" s="124" t="str">
        <f ca="1">IF(Calc4!$K$13=0,"",Calc4!$AH7)</f>
        <v/>
      </c>
      <c r="D29" s="128" t="str">
        <f ca="1">IF($C29="","",VLOOKUP($C29,Calc4!$C$17:$AC$25,25,0))</f>
        <v/>
      </c>
      <c r="E29" s="112" t="str">
        <f ca="1">IF($C29="","",VLOOKUP($C29,Calc4!$C$17:$AC$25,26,0))</f>
        <v/>
      </c>
      <c r="F29" s="153" t="str">
        <f ca="1">IF($C29="","",VLOOKUP($C29,Vorrunde!$AO$12:$AQ$47,3,0))</f>
        <v/>
      </c>
      <c r="G29" s="136" t="str">
        <f ca="1">IFERROR(VLOOKUP($C29&amp;G$25,Calc4!$Z$64:$AB$207,3,0),"")</f>
        <v/>
      </c>
      <c r="H29" s="112" t="str">
        <f ca="1">IFERROR(VLOOKUP($C29&amp;H$25,Calc4!$Z$64:$AB$207,3,0),"")</f>
        <v/>
      </c>
      <c r="I29" s="112" t="str">
        <f ca="1">IFERROR(VLOOKUP($C29&amp;I$25,Calc4!$Z$64:$AB$207,3,0),"")</f>
        <v/>
      </c>
      <c r="J29" s="121"/>
      <c r="K29" s="112" t="str">
        <f ca="1">IFERROR(VLOOKUP($C29&amp;K$25,Calc4!$Z$64:$AB$207,3,0),"")</f>
        <v/>
      </c>
      <c r="L29" s="157" t="str">
        <f ca="1">IFERROR(VLOOKUP($C29&amp;L$25,Calc4!$Z$64:$AB$207,3,0),"")</f>
        <v/>
      </c>
      <c r="M29" s="186" t="str">
        <f t="shared" ca="1" si="2"/>
        <v/>
      </c>
    </row>
    <row r="30" spans="2:13" ht="21.95" customHeight="1" x14ac:dyDescent="0.2">
      <c r="B30" s="115" t="str">
        <f ca="1">IF($C30="","",INDEX(Calc4!$E$4:$E$12,MATCH($C30,Calc4!$F$4:$F$12,0)))</f>
        <v/>
      </c>
      <c r="C30" s="124" t="str">
        <f ca="1">IF(Calc4!$K$13=0,"",Calc4!$AH8)</f>
        <v/>
      </c>
      <c r="D30" s="128" t="str">
        <f ca="1">IF($C30="","",VLOOKUP($C30,Calc4!$C$17:$AC$25,25,0))</f>
        <v/>
      </c>
      <c r="E30" s="112" t="str">
        <f ca="1">IF($C30="","",VLOOKUP($C30,Calc4!$C$17:$AC$25,26,0))</f>
        <v/>
      </c>
      <c r="F30" s="153" t="str">
        <f ca="1">IF($C30="","",VLOOKUP($C30,Vorrunde!$AO$12:$AQ$47,3,0))</f>
        <v/>
      </c>
      <c r="G30" s="136" t="str">
        <f ca="1">IFERROR(VLOOKUP($C30&amp;G$25,Calc4!$Z$64:$AB$207,3,0),"")</f>
        <v/>
      </c>
      <c r="H30" s="112" t="str">
        <f ca="1">IFERROR(VLOOKUP($C30&amp;H$25,Calc4!$Z$64:$AB$207,3,0),"")</f>
        <v/>
      </c>
      <c r="I30" s="112" t="str">
        <f ca="1">IFERROR(VLOOKUP($C30&amp;I$25,Calc4!$Z$64:$AB$207,3,0),"")</f>
        <v/>
      </c>
      <c r="J30" s="112" t="str">
        <f ca="1">IFERROR(VLOOKUP($C30&amp;J$25,Calc4!$Z$64:$AB$207,3,0),"")</f>
        <v/>
      </c>
      <c r="K30" s="121"/>
      <c r="L30" s="157" t="str">
        <f ca="1">IFERROR(VLOOKUP($C30&amp;L$25,Calc4!$Z$64:$AB$207,3,0),"")</f>
        <v/>
      </c>
      <c r="M30" s="186" t="str">
        <f t="shared" ca="1" si="2"/>
        <v/>
      </c>
    </row>
    <row r="31" spans="2:13" ht="21.95" customHeight="1" thickBot="1" x14ac:dyDescent="0.25">
      <c r="B31" s="116" t="str">
        <f ca="1">IF($C31="","",INDEX(Calc4!$E$4:$E$12,MATCH($C31,Calc4!$F$4:$F$12,0)))</f>
        <v/>
      </c>
      <c r="C31" s="125" t="str">
        <f ca="1">IF(Calc4!$K$13=0,"",Calc4!$AH9)</f>
        <v/>
      </c>
      <c r="D31" s="129" t="str">
        <f ca="1">IF($C31="","",VLOOKUP($C31,Calc4!$C$17:$AC$25,25,0))</f>
        <v/>
      </c>
      <c r="E31" s="113" t="str">
        <f ca="1">IF($C31="","",VLOOKUP($C31,Calc4!$C$17:$AC$25,26,0))</f>
        <v/>
      </c>
      <c r="F31" s="154" t="str">
        <f ca="1">IF($C31="","",VLOOKUP($C31,Vorrunde!$AO$12:$AQ$47,3,0))</f>
        <v/>
      </c>
      <c r="G31" s="137" t="str">
        <f ca="1">IFERROR(VLOOKUP($C31&amp;G$25,Calc4!$Z$64:$AB$207,3,0),"")</f>
        <v/>
      </c>
      <c r="H31" s="113" t="str">
        <f ca="1">IFERROR(VLOOKUP($C31&amp;H$25,Calc4!$Z$64:$AB$207,3,0),"")</f>
        <v/>
      </c>
      <c r="I31" s="113" t="str">
        <f ca="1">IFERROR(VLOOKUP($C31&amp;I$25,Calc4!$Z$64:$AB$207,3,0),"")</f>
        <v/>
      </c>
      <c r="J31" s="113" t="str">
        <f ca="1">IFERROR(VLOOKUP($C31&amp;J$25,Calc4!$Z$64:$AB$207,3,0),"")</f>
        <v/>
      </c>
      <c r="K31" s="113" t="str">
        <f ca="1">IFERROR(VLOOKUP($C31&amp;K$25,Calc4!$Z$64:$AB$207,3,0),"")</f>
        <v/>
      </c>
      <c r="L31" s="158"/>
      <c r="M31" s="187"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7"/>
      <c r="C34" s="122" t="str">
        <f>Sprache!$E$10</f>
        <v>Teilnehmer bzw. Mannschaft</v>
      </c>
      <c r="D34" s="126" t="str">
        <f>Sprache!$E$27</f>
        <v>Pkt</v>
      </c>
      <c r="E34" s="114"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5" t="str">
        <f ca="1">IF($C35="","",INDEX(Calc4!$E$4:$E$12,MATCH($C35,Calc4!$F$4:$F$12,0)))</f>
        <v/>
      </c>
      <c r="C35" s="123" t="str">
        <f ca="1">IF(Calc4!$K$13=0,"",Calc4!$AM4)</f>
        <v/>
      </c>
      <c r="D35" s="127" t="str">
        <f ca="1">IF($C35="","",VLOOKUP($C35,Calc4!$C$17:$AC$25,25,0))</f>
        <v/>
      </c>
      <c r="E35" s="111" t="str">
        <f ca="1">IF($C35="","",VLOOKUP($C35,Calc4!$C$17:$AC$25,26,0))</f>
        <v/>
      </c>
      <c r="F35" s="152" t="str">
        <f ca="1">IF($C35="","",VLOOKUP($C35,Vorrunde!$AO$12:$AQ$47,3,0))</f>
        <v/>
      </c>
      <c r="G35" s="135"/>
      <c r="H35" s="111" t="str">
        <f ca="1">IFERROR(VLOOKUP($C35&amp;H$34,Calc4!$Z$64:$AB$207,3,0),"")</f>
        <v/>
      </c>
      <c r="I35" s="111" t="str">
        <f ca="1">IFERROR(VLOOKUP($C35&amp;I$34,Calc4!$Z$64:$AB$207,3,0),"")</f>
        <v/>
      </c>
      <c r="J35" s="111" t="str">
        <f ca="1">IFERROR(VLOOKUP($C35&amp;J$34,Calc4!$Z$64:$AB$207,3,0),"")</f>
        <v/>
      </c>
      <c r="K35" s="111" t="str">
        <f ca="1">IFERROR(VLOOKUP($C35&amp;K$34,Calc4!$Z$64:$AB$207,3,0),"")</f>
        <v/>
      </c>
      <c r="L35" s="156" t="str">
        <f ca="1">IFERROR(VLOOKUP($C35&amp;L$34,Calc4!$Z$64:$AB$207,3,0),"")</f>
        <v/>
      </c>
      <c r="M35" s="185" t="str">
        <f t="shared" ref="M35:M40" ca="1" si="3">C35</f>
        <v/>
      </c>
    </row>
    <row r="36" spans="2:13" ht="21.95" customHeight="1" x14ac:dyDescent="0.2">
      <c r="B36" s="115" t="str">
        <f ca="1">IF($C36="","",INDEX(Calc4!$E$4:$E$12,MATCH($C36,Calc4!$F$4:$F$12,0)))</f>
        <v/>
      </c>
      <c r="C36" s="124" t="str">
        <f ca="1">IF(Calc4!$K$13=0,"",Calc4!$AM5)</f>
        <v/>
      </c>
      <c r="D36" s="128" t="str">
        <f ca="1">IF($C36="","",VLOOKUP($C36,Calc4!$C$17:$AC$25,25,0))</f>
        <v/>
      </c>
      <c r="E36" s="112" t="str">
        <f ca="1">IF($C36="","",VLOOKUP($C36,Calc4!$C$17:$AC$25,26,0))</f>
        <v/>
      </c>
      <c r="F36" s="153" t="str">
        <f ca="1">IF($C36="","",VLOOKUP($C36,Vorrunde!$AO$12:$AQ$47,3,0))</f>
        <v/>
      </c>
      <c r="G36" s="136" t="str">
        <f ca="1">IFERROR(VLOOKUP($C36&amp;G$34,Calc4!$Z$64:$AB$207,3,0),"")</f>
        <v/>
      </c>
      <c r="H36" s="121"/>
      <c r="I36" s="112" t="str">
        <f ca="1">IFERROR(VLOOKUP($C36&amp;I$34,Calc4!$Z$64:$AB$207,3,0),"")</f>
        <v/>
      </c>
      <c r="J36" s="112" t="str">
        <f ca="1">IFERROR(VLOOKUP($C36&amp;J$34,Calc4!$Z$64:$AB$207,3,0),"")</f>
        <v/>
      </c>
      <c r="K36" s="112" t="str">
        <f ca="1">IFERROR(VLOOKUP($C36&amp;K$34,Calc4!$Z$64:$AB$207,3,0),"")</f>
        <v/>
      </c>
      <c r="L36" s="157" t="str">
        <f ca="1">IFERROR(VLOOKUP($C36&amp;L$34,Calc4!$Z$64:$AB$207,3,0),"")</f>
        <v/>
      </c>
      <c r="M36" s="186" t="str">
        <f t="shared" ca="1" si="3"/>
        <v/>
      </c>
    </row>
    <row r="37" spans="2:13" ht="21.95" customHeight="1" x14ac:dyDescent="0.2">
      <c r="B37" s="115" t="str">
        <f ca="1">IF($C37="","",INDEX(Calc4!$E$4:$E$12,MATCH($C37,Calc4!$F$4:$F$12,0)))</f>
        <v/>
      </c>
      <c r="C37" s="124" t="str">
        <f ca="1">IF(Calc4!$K$13=0,"",Calc4!$AM6)</f>
        <v/>
      </c>
      <c r="D37" s="128" t="str">
        <f ca="1">IF($C37="","",VLOOKUP($C37,Calc4!$C$17:$AC$25,25,0))</f>
        <v/>
      </c>
      <c r="E37" s="112" t="str">
        <f ca="1">IF($C37="","",VLOOKUP($C37,Calc4!$C$17:$AC$25,26,0))</f>
        <v/>
      </c>
      <c r="F37" s="153" t="str">
        <f ca="1">IF($C37="","",VLOOKUP($C37,Vorrunde!$AO$12:$AQ$47,3,0))</f>
        <v/>
      </c>
      <c r="G37" s="136" t="str">
        <f ca="1">IFERROR(VLOOKUP($C37&amp;G$34,Calc4!$Z$64:$AB$207,3,0),"")</f>
        <v/>
      </c>
      <c r="H37" s="112" t="str">
        <f ca="1">IFERROR(VLOOKUP($C37&amp;H$34,Calc4!$Z$64:$AB$207,3,0),"")</f>
        <v/>
      </c>
      <c r="I37" s="121"/>
      <c r="J37" s="112" t="str">
        <f ca="1">IFERROR(VLOOKUP($C37&amp;J$34,Calc4!$Z$64:$AB$207,3,0),"")</f>
        <v/>
      </c>
      <c r="K37" s="112" t="str">
        <f ca="1">IFERROR(VLOOKUP($C37&amp;K$34,Calc4!$Z$64:$AB$207,3,0),"")</f>
        <v/>
      </c>
      <c r="L37" s="157" t="str">
        <f ca="1">IFERROR(VLOOKUP($C37&amp;L$34,Calc4!$Z$64:$AB$207,3,0),"")</f>
        <v/>
      </c>
      <c r="M37" s="186" t="str">
        <f t="shared" ca="1" si="3"/>
        <v/>
      </c>
    </row>
    <row r="38" spans="2:13" ht="21.95" customHeight="1" x14ac:dyDescent="0.2">
      <c r="B38" s="115" t="str">
        <f ca="1">IF($C38="","",INDEX(Calc4!$E$4:$E$12,MATCH($C38,Calc4!$F$4:$F$12,0)))</f>
        <v/>
      </c>
      <c r="C38" s="124" t="str">
        <f ca="1">IF(Calc4!$K$13=0,"",Calc4!$AM7)</f>
        <v/>
      </c>
      <c r="D38" s="128" t="str">
        <f ca="1">IF($C38="","",VLOOKUP($C38,Calc4!$C$17:$AC$25,25,0))</f>
        <v/>
      </c>
      <c r="E38" s="112" t="str">
        <f ca="1">IF($C38="","",VLOOKUP($C38,Calc4!$C$17:$AC$25,26,0))</f>
        <v/>
      </c>
      <c r="F38" s="153" t="str">
        <f ca="1">IF($C38="","",VLOOKUP($C38,Vorrunde!$AO$12:$AQ$47,3,0))</f>
        <v/>
      </c>
      <c r="G38" s="136" t="str">
        <f ca="1">IFERROR(VLOOKUP($C38&amp;G$34,Calc4!$Z$64:$AB$207,3,0),"")</f>
        <v/>
      </c>
      <c r="H38" s="112" t="str">
        <f ca="1">IFERROR(VLOOKUP($C38&amp;H$34,Calc4!$Z$64:$AB$207,3,0),"")</f>
        <v/>
      </c>
      <c r="I38" s="112" t="str">
        <f ca="1">IFERROR(VLOOKUP($C38&amp;I$34,Calc4!$Z$64:$AB$207,3,0),"")</f>
        <v/>
      </c>
      <c r="J38" s="121"/>
      <c r="K38" s="112" t="str">
        <f ca="1">IFERROR(VLOOKUP($C38&amp;K$34,Calc4!$Z$64:$AB$207,3,0),"")</f>
        <v/>
      </c>
      <c r="L38" s="157" t="str">
        <f ca="1">IFERROR(VLOOKUP($C38&amp;L$34,Calc4!$Z$64:$AB$207,3,0),"")</f>
        <v/>
      </c>
      <c r="M38" s="186" t="str">
        <f t="shared" ca="1" si="3"/>
        <v/>
      </c>
    </row>
    <row r="39" spans="2:13" ht="21.95" customHeight="1" x14ac:dyDescent="0.2">
      <c r="B39" s="115" t="str">
        <f ca="1">IF($C39="","",INDEX(Calc4!$E$4:$E$12,MATCH($C39,Calc4!$F$4:$F$12,0)))</f>
        <v/>
      </c>
      <c r="C39" s="124" t="str">
        <f ca="1">IF(Calc4!$K$13=0,"",Calc4!$AM8)</f>
        <v/>
      </c>
      <c r="D39" s="128" t="str">
        <f ca="1">IF($C39="","",VLOOKUP($C39,Calc4!$C$17:$AC$25,25,0))</f>
        <v/>
      </c>
      <c r="E39" s="112" t="str">
        <f ca="1">IF($C39="","",VLOOKUP($C39,Calc4!$C$17:$AC$25,26,0))</f>
        <v/>
      </c>
      <c r="F39" s="153" t="str">
        <f ca="1">IF($C39="","",VLOOKUP($C39,Vorrunde!$AO$12:$AQ$47,3,0))</f>
        <v/>
      </c>
      <c r="G39" s="136" t="str">
        <f ca="1">IFERROR(VLOOKUP($C39&amp;G$34,Calc4!$Z$64:$AB$207,3,0),"")</f>
        <v/>
      </c>
      <c r="H39" s="112" t="str">
        <f ca="1">IFERROR(VLOOKUP($C39&amp;H$34,Calc4!$Z$64:$AB$207,3,0),"")</f>
        <v/>
      </c>
      <c r="I39" s="112" t="str">
        <f ca="1">IFERROR(VLOOKUP($C39&amp;I$34,Calc4!$Z$64:$AB$207,3,0),"")</f>
        <v/>
      </c>
      <c r="J39" s="112" t="str">
        <f ca="1">IFERROR(VLOOKUP($C39&amp;J$34,Calc4!$Z$64:$AB$207,3,0),"")</f>
        <v/>
      </c>
      <c r="K39" s="121"/>
      <c r="L39" s="157" t="str">
        <f ca="1">IFERROR(VLOOKUP($C39&amp;L$34,Calc4!$Z$64:$AB$207,3,0),"")</f>
        <v/>
      </c>
      <c r="M39" s="186" t="str">
        <f t="shared" ca="1" si="3"/>
        <v/>
      </c>
    </row>
    <row r="40" spans="2:13" ht="21.95" customHeight="1" thickBot="1" x14ac:dyDescent="0.25">
      <c r="B40" s="116" t="str">
        <f ca="1">IF($C40="","",INDEX(Calc4!$E$4:$E$12,MATCH($C40,Calc4!$F$4:$F$12,0)))</f>
        <v/>
      </c>
      <c r="C40" s="125" t="str">
        <f ca="1">IF(Calc4!$K$13=0,"",Calc4!$AM9)</f>
        <v/>
      </c>
      <c r="D40" s="129" t="str">
        <f ca="1">IF($C40="","",VLOOKUP($C40,Calc4!$C$17:$AC$25,25,0))</f>
        <v/>
      </c>
      <c r="E40" s="113" t="str">
        <f ca="1">IF($C40="","",VLOOKUP($C40,Calc4!$C$17:$AC$25,26,0))</f>
        <v/>
      </c>
      <c r="F40" s="154" t="str">
        <f ca="1">IF($C40="","",VLOOKUP($C40,Vorrunde!$AO$12:$AQ$47,3,0))</f>
        <v/>
      </c>
      <c r="G40" s="137" t="str">
        <f ca="1">IFERROR(VLOOKUP($C40&amp;G$34,Calc4!$Z$64:$AB$207,3,0),"")</f>
        <v/>
      </c>
      <c r="H40" s="113" t="str">
        <f ca="1">IFERROR(VLOOKUP($C40&amp;H$34,Calc4!$Z$64:$AB$207,3,0),"")</f>
        <v/>
      </c>
      <c r="I40" s="113" t="str">
        <f ca="1">IFERROR(VLOOKUP($C40&amp;I$34,Calc4!$Z$64:$AB$207,3,0),"")</f>
        <v/>
      </c>
      <c r="J40" s="113" t="str">
        <f ca="1">IFERROR(VLOOKUP($C40&amp;J$34,Calc4!$Z$64:$AB$207,3,0),"")</f>
        <v/>
      </c>
      <c r="K40" s="113" t="str">
        <f ca="1">IFERROR(VLOOKUP($C40&amp;K$34,Calc4!$Z$64:$AB$207,3,0),"")</f>
        <v/>
      </c>
      <c r="L40" s="158"/>
      <c r="M40" s="187"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25"/>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815" t="str">
        <f>$E$35</f>
        <v>Sprache wählen</v>
      </c>
      <c r="G1" s="815"/>
      <c r="H1" s="815"/>
      <c r="I1" s="105"/>
      <c r="J1" s="107" t="s">
        <v>145</v>
      </c>
      <c r="K1" s="172" t="str">
        <f>_xlfn.UNICHAR(8592)</f>
        <v>←</v>
      </c>
      <c r="L1" s="171" t="str">
        <f>$E$86</f>
        <v>Hier klicken und Sprache wählen</v>
      </c>
    </row>
    <row r="2" spans="2:12" ht="11.25" customHeight="1" thickBot="1" x14ac:dyDescent="0.25">
      <c r="F2" s="968"/>
      <c r="G2" s="968"/>
      <c r="I2" s="71"/>
      <c r="J2" s="72"/>
    </row>
    <row r="3" spans="2:12" ht="13.5" thickTop="1" x14ac:dyDescent="0.2">
      <c r="B3" s="73" t="s">
        <v>112</v>
      </c>
      <c r="C3" s="74">
        <f>IF(AND($J$1&lt;&gt;B4,$J$1&lt;&gt;B5),1,0)</f>
        <v>0</v>
      </c>
      <c r="D3" s="969"/>
      <c r="E3" s="971"/>
      <c r="F3" s="972" t="s">
        <v>112</v>
      </c>
      <c r="G3" s="974" t="s">
        <v>145</v>
      </c>
      <c r="H3" s="966" t="s">
        <v>111</v>
      </c>
      <c r="I3" s="75"/>
    </row>
    <row r="4" spans="2:12" ht="13.5" thickBot="1" x14ac:dyDescent="0.25">
      <c r="B4" s="73" t="s">
        <v>145</v>
      </c>
      <c r="C4" s="74">
        <f>IF($J$1=B4,1,0)</f>
        <v>1</v>
      </c>
      <c r="D4" s="970"/>
      <c r="E4" s="971"/>
      <c r="F4" s="973"/>
      <c r="G4" s="975"/>
      <c r="H4" s="967"/>
      <c r="I4" s="76"/>
      <c r="J4" s="77"/>
    </row>
    <row r="5" spans="2:12" ht="29.25" thickTop="1" x14ac:dyDescent="0.45">
      <c r="B5" s="73" t="s">
        <v>111</v>
      </c>
      <c r="C5" s="74">
        <f>IF($J$1=B5,1,0)</f>
        <v>0</v>
      </c>
      <c r="E5" s="73"/>
      <c r="F5" s="81" t="str">
        <f>$E$36</f>
        <v>Überschriften</v>
      </c>
      <c r="G5" s="82"/>
      <c r="H5" s="83"/>
      <c r="I5" s="76"/>
      <c r="J5" s="77"/>
    </row>
    <row r="6" spans="2:12" x14ac:dyDescent="0.2">
      <c r="E6" s="73" t="str">
        <f>IF($C$3,F6,IF($C$4,G6,IF($H6&lt;&gt;"",$H6,$F6)))</f>
        <v>Tie Break Vorrunde</v>
      </c>
      <c r="F6" s="80" t="s">
        <v>394</v>
      </c>
      <c r="G6" s="78" t="s">
        <v>207</v>
      </c>
      <c r="H6" s="101"/>
    </row>
    <row r="7" spans="2:12" x14ac:dyDescent="0.2">
      <c r="E7" s="73" t="str">
        <f t="shared" ref="E7:E120" si="0">IF($C$3,F7,IF($C$4,G7,IF($H7&lt;&gt;"",$H7,$F7)))</f>
        <v>Direkte Vergleiche</v>
      </c>
      <c r="F7" s="80" t="s">
        <v>113</v>
      </c>
      <c r="G7" s="78" t="s">
        <v>12</v>
      </c>
      <c r="H7" s="79"/>
    </row>
    <row r="8" spans="2:12" x14ac:dyDescent="0.2">
      <c r="E8" s="73" t="str">
        <f t="shared" si="0"/>
        <v>Dein Datum</v>
      </c>
      <c r="F8" s="99" t="s">
        <v>140</v>
      </c>
      <c r="G8" s="98" t="s">
        <v>139</v>
      </c>
      <c r="H8" s="79"/>
    </row>
    <row r="9" spans="2:12" ht="15" customHeight="1" x14ac:dyDescent="0.45">
      <c r="E9" s="73" t="str">
        <f t="shared" si="0"/>
        <v>Nr.</v>
      </c>
      <c r="F9" s="96" t="s">
        <v>115</v>
      </c>
      <c r="G9" s="95" t="s">
        <v>0</v>
      </c>
      <c r="H9" s="79"/>
      <c r="I9" s="87"/>
    </row>
    <row r="10" spans="2:12" ht="15" customHeight="1" x14ac:dyDescent="0.45">
      <c r="E10" s="73" t="str">
        <f t="shared" si="0"/>
        <v>Teilnehmer bzw. Mannschaft</v>
      </c>
      <c r="F10" s="96" t="s">
        <v>116</v>
      </c>
      <c r="G10" s="95" t="s">
        <v>21</v>
      </c>
      <c r="H10" s="79"/>
      <c r="I10" s="87"/>
    </row>
    <row r="11" spans="2:12" ht="15" customHeight="1" x14ac:dyDescent="0.45">
      <c r="E11" s="73" t="str">
        <f t="shared" si="0"/>
        <v>Ergebnisse</v>
      </c>
      <c r="F11" s="96" t="s">
        <v>117</v>
      </c>
      <c r="G11" s="95" t="s">
        <v>22</v>
      </c>
      <c r="H11" s="79"/>
      <c r="I11" s="87"/>
    </row>
    <row r="12" spans="2:12" ht="15" customHeight="1" x14ac:dyDescent="0.45">
      <c r="E12" s="73" t="str">
        <f t="shared" si="0"/>
        <v>Tabelle</v>
      </c>
      <c r="F12" s="96" t="s">
        <v>118</v>
      </c>
      <c r="G12" s="95" t="s">
        <v>13</v>
      </c>
      <c r="H12" s="79"/>
      <c r="I12" s="87"/>
    </row>
    <row r="13" spans="2:12" ht="15" customHeight="1" x14ac:dyDescent="0.45">
      <c r="E13" s="73" t="str">
        <f t="shared" si="0"/>
        <v>Tabelle (Kopie)</v>
      </c>
      <c r="F13" s="96" t="s">
        <v>119</v>
      </c>
      <c r="G13" s="95" t="s">
        <v>52</v>
      </c>
      <c r="H13" s="79"/>
      <c r="I13" s="87"/>
    </row>
    <row r="14" spans="2:12" ht="15" customHeight="1" x14ac:dyDescent="0.45">
      <c r="E14" s="73" t="str">
        <f t="shared" si="0"/>
        <v>Spielpaarung</v>
      </c>
      <c r="F14" s="96" t="s">
        <v>122</v>
      </c>
      <c r="G14" s="95" t="s">
        <v>1</v>
      </c>
      <c r="H14" s="79"/>
      <c r="I14" s="87"/>
    </row>
    <row r="15" spans="2:12" ht="15" customHeight="1" x14ac:dyDescent="0.45">
      <c r="E15" s="73" t="str">
        <f t="shared" si="0"/>
        <v>Ergebnis</v>
      </c>
      <c r="F15" s="96" t="s">
        <v>123</v>
      </c>
      <c r="G15" s="95" t="s">
        <v>2</v>
      </c>
      <c r="H15" s="79"/>
      <c r="I15" s="87"/>
    </row>
    <row r="16" spans="2:12" ht="15" customHeight="1" x14ac:dyDescent="0.45">
      <c r="E16" s="73" t="str">
        <f t="shared" si="0"/>
        <v>Gruppe</v>
      </c>
      <c r="F16" s="96" t="s">
        <v>187</v>
      </c>
      <c r="G16" s="95" t="s">
        <v>186</v>
      </c>
      <c r="H16" s="79"/>
      <c r="I16" s="87"/>
    </row>
    <row r="17" spans="5:13" ht="15" customHeight="1" x14ac:dyDescent="0.45">
      <c r="E17" s="73" t="str">
        <f t="shared" si="0"/>
        <v>Grp</v>
      </c>
      <c r="F17" s="96" t="s">
        <v>188</v>
      </c>
      <c r="G17" s="95" t="s">
        <v>188</v>
      </c>
      <c r="H17" s="79"/>
      <c r="I17" s="87"/>
    </row>
    <row r="18" spans="5:13" ht="15" customHeight="1" x14ac:dyDescent="0.45">
      <c r="E18" s="73" t="str">
        <f t="shared" si="0"/>
        <v>Vorrunde</v>
      </c>
      <c r="F18" s="96" t="s">
        <v>203</v>
      </c>
      <c r="G18" s="95" t="s">
        <v>201</v>
      </c>
      <c r="H18" s="79"/>
      <c r="I18" s="87"/>
    </row>
    <row r="19" spans="5:13" ht="15" customHeight="1" x14ac:dyDescent="0.45">
      <c r="E19" s="73" t="str">
        <f t="shared" si="0"/>
        <v>Endrunde</v>
      </c>
      <c r="F19" s="96" t="s">
        <v>204</v>
      </c>
      <c r="G19" s="95" t="s">
        <v>202</v>
      </c>
      <c r="H19" s="79"/>
      <c r="I19" s="87"/>
    </row>
    <row r="20" spans="5:13" ht="15" x14ac:dyDescent="0.25">
      <c r="E20" s="73" t="str">
        <f t="shared" si="0"/>
        <v>Zusätzl. Pause (min)</v>
      </c>
      <c r="F20" s="99" t="s">
        <v>210</v>
      </c>
      <c r="G20" s="98" t="s">
        <v>209</v>
      </c>
      <c r="H20" s="79"/>
      <c r="I20" s="88"/>
      <c r="J20" s="88"/>
      <c r="K20" s="88"/>
      <c r="L20" s="88"/>
      <c r="M20" s="88"/>
    </row>
    <row r="21" spans="5:13" ht="15" x14ac:dyDescent="0.25">
      <c r="E21" s="73" t="str">
        <f t="shared" si="0"/>
        <v>SP</v>
      </c>
      <c r="F21" s="99" t="s">
        <v>102</v>
      </c>
      <c r="G21" s="98" t="s">
        <v>124</v>
      </c>
      <c r="H21" s="79"/>
      <c r="I21" s="88"/>
      <c r="J21" s="88"/>
      <c r="K21" s="88"/>
      <c r="L21" s="88"/>
      <c r="M21" s="88"/>
    </row>
    <row r="22" spans="5:13" ht="15" x14ac:dyDescent="0.25">
      <c r="E22" s="73" t="str">
        <f t="shared" si="0"/>
        <v>G</v>
      </c>
      <c r="F22" s="99" t="s">
        <v>103</v>
      </c>
      <c r="G22" s="98" t="s">
        <v>125</v>
      </c>
      <c r="H22" s="79"/>
      <c r="I22" s="88"/>
      <c r="J22" s="88"/>
      <c r="K22" s="88"/>
      <c r="L22" s="88"/>
      <c r="M22" s="88"/>
    </row>
    <row r="23" spans="5:13" ht="15" x14ac:dyDescent="0.25">
      <c r="E23" s="73" t="str">
        <f t="shared" si="0"/>
        <v>U</v>
      </c>
      <c r="F23" s="99" t="s">
        <v>104</v>
      </c>
      <c r="G23" s="98" t="s">
        <v>126</v>
      </c>
      <c r="H23" s="79"/>
      <c r="I23" s="88"/>
      <c r="J23" s="88"/>
      <c r="K23" s="88"/>
      <c r="L23" s="88"/>
      <c r="M23" s="88"/>
    </row>
    <row r="24" spans="5:13" ht="15" x14ac:dyDescent="0.25">
      <c r="E24" s="73" t="str">
        <f t="shared" si="0"/>
        <v>V</v>
      </c>
      <c r="F24" s="99" t="s">
        <v>105</v>
      </c>
      <c r="G24" s="98" t="s">
        <v>127</v>
      </c>
      <c r="H24" s="79"/>
      <c r="I24" s="88"/>
      <c r="J24" s="88"/>
      <c r="K24" s="88"/>
      <c r="L24" s="88"/>
      <c r="M24" s="88"/>
    </row>
    <row r="25" spans="5:13" ht="15" x14ac:dyDescent="0.25">
      <c r="E25" s="73" t="str">
        <f t="shared" si="0"/>
        <v>Sätze</v>
      </c>
      <c r="F25" s="99" t="s">
        <v>371</v>
      </c>
      <c r="G25" s="98" t="s">
        <v>370</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Pkt</v>
      </c>
      <c r="F27" s="99" t="s">
        <v>109</v>
      </c>
      <c r="G27" s="98" t="s">
        <v>128</v>
      </c>
      <c r="H27" s="79"/>
      <c r="I27" s="88"/>
      <c r="J27" s="88"/>
      <c r="K27" s="88"/>
      <c r="L27" s="88"/>
      <c r="M27" s="88"/>
    </row>
    <row r="28" spans="5:13" ht="15" x14ac:dyDescent="0.25">
      <c r="E28" s="73" t="str">
        <f t="shared" si="0"/>
        <v>erz. Pkte.</v>
      </c>
      <c r="F28" s="99" t="s">
        <v>369</v>
      </c>
      <c r="G28" s="98" t="s">
        <v>368</v>
      </c>
      <c r="H28" s="79"/>
      <c r="I28" s="88"/>
      <c r="J28" s="88"/>
      <c r="K28" s="88"/>
      <c r="L28" s="88"/>
      <c r="M28" s="88"/>
    </row>
    <row r="29" spans="5:13" x14ac:dyDescent="0.2">
      <c r="E29" s="73" t="str">
        <f t="shared" si="0"/>
        <v>Turnierende:</v>
      </c>
      <c r="F29" s="99" t="s">
        <v>291</v>
      </c>
      <c r="G29" s="98" t="s">
        <v>211</v>
      </c>
      <c r="H29" s="79"/>
    </row>
    <row r="30" spans="5:13" x14ac:dyDescent="0.2">
      <c r="E30" s="73" t="str">
        <f t="shared" si="0"/>
        <v>Teilnehmer und Ablaufplan</v>
      </c>
      <c r="F30" s="99" t="s">
        <v>129</v>
      </c>
      <c r="G30" s="98" t="s">
        <v>19</v>
      </c>
      <c r="H30" s="79"/>
    </row>
    <row r="31" spans="5:13" x14ac:dyDescent="0.2">
      <c r="E31" s="73" t="str">
        <f t="shared" si="0"/>
        <v>Teilnehmer</v>
      </c>
      <c r="F31" s="100" t="s">
        <v>130</v>
      </c>
      <c r="G31" s="98" t="s">
        <v>20</v>
      </c>
      <c r="H31" s="79"/>
    </row>
    <row r="32" spans="5:13" x14ac:dyDescent="0.2">
      <c r="E32" s="73" t="str">
        <f t="shared" si="0"/>
        <v>Ablaufplan</v>
      </c>
      <c r="F32" s="100" t="s">
        <v>131</v>
      </c>
      <c r="G32" s="98" t="s">
        <v>23</v>
      </c>
      <c r="H32" s="79"/>
    </row>
    <row r="33" spans="5:8" x14ac:dyDescent="0.2">
      <c r="E33" s="73" t="str">
        <f t="shared" si="0"/>
        <v>Spiel-Nr.</v>
      </c>
      <c r="F33" s="100" t="s">
        <v>132</v>
      </c>
      <c r="G33" s="98" t="s">
        <v>51</v>
      </c>
      <c r="H33" s="79"/>
    </row>
    <row r="34" spans="5:8" x14ac:dyDescent="0.2">
      <c r="E34" s="73" t="str">
        <f t="shared" si="0"/>
        <v>Paarungen</v>
      </c>
      <c r="F34" s="100" t="s">
        <v>133</v>
      </c>
      <c r="G34" s="98" t="s">
        <v>53</v>
      </c>
      <c r="H34" s="79"/>
    </row>
    <row r="35" spans="5:8" x14ac:dyDescent="0.2">
      <c r="E35" s="73" t="str">
        <f t="shared" si="0"/>
        <v>Sprache wählen</v>
      </c>
      <c r="F35" s="99" t="s">
        <v>110</v>
      </c>
      <c r="G35" s="98" t="s">
        <v>138</v>
      </c>
      <c r="H35" s="79"/>
    </row>
    <row r="36" spans="5:8" x14ac:dyDescent="0.2">
      <c r="E36" s="73" t="str">
        <f t="shared" si="0"/>
        <v>Überschriften</v>
      </c>
      <c r="F36" s="99" t="s">
        <v>114</v>
      </c>
      <c r="G36" s="98" t="s">
        <v>135</v>
      </c>
      <c r="H36" s="79"/>
    </row>
    <row r="37" spans="5:8" x14ac:dyDescent="0.2">
      <c r="E37" s="73" t="str">
        <f t="shared" si="0"/>
        <v>Meldungen</v>
      </c>
      <c r="F37" s="99" t="s">
        <v>136</v>
      </c>
      <c r="G37" s="98" t="s">
        <v>137</v>
      </c>
      <c r="H37" s="79"/>
    </row>
    <row r="38" spans="5:8" x14ac:dyDescent="0.2">
      <c r="E38" s="73" t="str">
        <f t="shared" si="0"/>
        <v>Deine Überschriften</v>
      </c>
      <c r="F38" s="99" t="s">
        <v>143</v>
      </c>
      <c r="G38" s="98" t="s">
        <v>142</v>
      </c>
      <c r="H38" s="79"/>
    </row>
    <row r="39" spans="5:8" x14ac:dyDescent="0.2">
      <c r="E39" s="73" t="str">
        <f t="shared" si="0"/>
        <v>Beginn:</v>
      </c>
      <c r="F39" s="99" t="s">
        <v>212</v>
      </c>
      <c r="G39" s="98" t="s">
        <v>213</v>
      </c>
      <c r="H39" s="79"/>
    </row>
    <row r="40" spans="5:8" x14ac:dyDescent="0.2">
      <c r="E40" s="73" t="str">
        <f t="shared" si="0"/>
        <v>Ende der Vorrunde:</v>
      </c>
      <c r="F40" s="99" t="s">
        <v>214</v>
      </c>
      <c r="G40" s="98" t="s">
        <v>215</v>
      </c>
      <c r="H40" s="79"/>
    </row>
    <row r="41" spans="5:8" x14ac:dyDescent="0.2">
      <c r="E41" s="73" t="str">
        <f t="shared" si="0"/>
        <v>Spielzeiten</v>
      </c>
      <c r="F41" s="99" t="s">
        <v>165</v>
      </c>
      <c r="G41" s="98" t="s">
        <v>164</v>
      </c>
      <c r="H41" s="79"/>
    </row>
    <row r="42" spans="5:8" x14ac:dyDescent="0.2">
      <c r="E42" s="73" t="str">
        <f t="shared" si="0"/>
        <v>Spielzeit pro Spiel:</v>
      </c>
      <c r="F42" s="99" t="s">
        <v>216</v>
      </c>
      <c r="G42" s="98" t="s">
        <v>217</v>
      </c>
      <c r="H42" s="79"/>
    </row>
    <row r="43" spans="5:8" x14ac:dyDescent="0.2">
      <c r="E43" s="73" t="str">
        <f t="shared" si="0"/>
        <v>Wechselzeit:</v>
      </c>
      <c r="F43" s="99" t="s">
        <v>218</v>
      </c>
      <c r="G43" s="98" t="s">
        <v>219</v>
      </c>
      <c r="H43" s="79"/>
    </row>
    <row r="44" spans="5:8" x14ac:dyDescent="0.2">
      <c r="E44" s="73" t="str">
        <f t="shared" si="0"/>
        <v>Anzahl der Spielfelder:</v>
      </c>
      <c r="F44" s="99" t="s">
        <v>360</v>
      </c>
      <c r="G44" s="98" t="s">
        <v>359</v>
      </c>
      <c r="H44" s="79"/>
    </row>
    <row r="45" spans="5:8" x14ac:dyDescent="0.2">
      <c r="E45" s="73" t="str">
        <f t="shared" si="0"/>
        <v>Uhr</v>
      </c>
      <c r="F45" s="99" t="s">
        <v>157</v>
      </c>
      <c r="G45" s="98" t="s">
        <v>156</v>
      </c>
      <c r="H45" s="79"/>
    </row>
    <row r="46" spans="5:8" x14ac:dyDescent="0.2">
      <c r="E46" s="73" t="str">
        <f t="shared" si="0"/>
        <v>Spiel gegen</v>
      </c>
      <c r="F46" s="99" t="s">
        <v>161</v>
      </c>
      <c r="G46" s="98" t="s">
        <v>160</v>
      </c>
      <c r="H46" s="79"/>
    </row>
    <row r="47" spans="5:8" x14ac:dyDescent="0.2">
      <c r="E47" s="73" t="str">
        <f t="shared" si="0"/>
        <v>Anmerkung</v>
      </c>
      <c r="F47" s="99" t="s">
        <v>162</v>
      </c>
      <c r="G47" s="98" t="s">
        <v>163</v>
      </c>
      <c r="H47" s="79"/>
    </row>
    <row r="48" spans="5:8" x14ac:dyDescent="0.2">
      <c r="E48" s="73" t="str">
        <f t="shared" si="0"/>
        <v>Feld</v>
      </c>
      <c r="F48" s="99" t="s">
        <v>220</v>
      </c>
      <c r="G48" s="98" t="s">
        <v>361</v>
      </c>
      <c r="H48" s="79"/>
    </row>
    <row r="49" spans="5:8" x14ac:dyDescent="0.2">
      <c r="E49" s="73" t="str">
        <f t="shared" si="0"/>
        <v>Tie-Break</v>
      </c>
      <c r="F49" s="80" t="s">
        <v>391</v>
      </c>
      <c r="G49" s="78" t="s">
        <v>390</v>
      </c>
      <c r="H49" s="79"/>
    </row>
    <row r="50" spans="5:8" x14ac:dyDescent="0.2">
      <c r="E50" s="73" t="str">
        <f t="shared" si="0"/>
        <v>Spielpaarungen</v>
      </c>
      <c r="F50" s="96" t="s">
        <v>171</v>
      </c>
      <c r="G50" s="95" t="s">
        <v>172</v>
      </c>
      <c r="H50" s="79"/>
    </row>
    <row r="51" spans="5:8" x14ac:dyDescent="0.2">
      <c r="E51" s="73" t="str">
        <f t="shared" si="0"/>
        <v>Einstellungen</v>
      </c>
      <c r="F51" s="96" t="s">
        <v>174</v>
      </c>
      <c r="G51" s="95" t="s">
        <v>173</v>
      </c>
      <c r="H51" s="79"/>
    </row>
    <row r="52" spans="5:8" x14ac:dyDescent="0.2">
      <c r="E52" s="73" t="str">
        <f t="shared" si="0"/>
        <v>Anzahl der Punkte für einen Sieg:</v>
      </c>
      <c r="F52" s="96" t="s">
        <v>176</v>
      </c>
      <c r="G52" s="95" t="s">
        <v>175</v>
      </c>
      <c r="H52" s="79"/>
    </row>
    <row r="53" spans="5:8" x14ac:dyDescent="0.2">
      <c r="E53" s="73" t="str">
        <f t="shared" si="0"/>
        <v>Halbfinale</v>
      </c>
      <c r="F53" s="96" t="s">
        <v>232</v>
      </c>
      <c r="G53" s="95" t="s">
        <v>229</v>
      </c>
      <c r="H53" s="79"/>
    </row>
    <row r="54" spans="5:8" x14ac:dyDescent="0.2">
      <c r="E54" s="73" t="str">
        <f t="shared" si="0"/>
        <v>Endspiele</v>
      </c>
      <c r="F54" s="96" t="s">
        <v>231</v>
      </c>
      <c r="G54" s="95" t="s">
        <v>230</v>
      </c>
      <c r="H54" s="79"/>
    </row>
    <row r="55" spans="5:8" x14ac:dyDescent="0.2">
      <c r="E55" s="73" t="str">
        <f t="shared" si="0"/>
        <v xml:space="preserve">Spiele um die Plätze </v>
      </c>
      <c r="F55" s="96" t="s">
        <v>234</v>
      </c>
      <c r="G55" s="95" t="s">
        <v>233</v>
      </c>
      <c r="H55" s="79"/>
    </row>
    <row r="56" spans="5:8" x14ac:dyDescent="0.2">
      <c r="E56" s="73" t="str">
        <f t="shared" si="0"/>
        <v>Vorrunde Gruppe</v>
      </c>
      <c r="F56" s="96" t="s">
        <v>238</v>
      </c>
      <c r="G56" s="95" t="s">
        <v>237</v>
      </c>
      <c r="H56" s="79"/>
    </row>
    <row r="57" spans="5:8" x14ac:dyDescent="0.2">
      <c r="E57" s="73" t="str">
        <f t="shared" si="0"/>
        <v>Gruppendritte</v>
      </c>
      <c r="F57" s="96" t="s">
        <v>297</v>
      </c>
      <c r="G57" s="95" t="s">
        <v>296</v>
      </c>
      <c r="H57" s="79"/>
    </row>
    <row r="58" spans="5:8" x14ac:dyDescent="0.2">
      <c r="E58" s="73" t="str">
        <f t="shared" si="0"/>
        <v>Viertelfinale</v>
      </c>
      <c r="F58" s="96" t="s">
        <v>299</v>
      </c>
      <c r="G58" s="95" t="s">
        <v>298</v>
      </c>
      <c r="H58" s="79"/>
    </row>
    <row r="59" spans="5:8" x14ac:dyDescent="0.2">
      <c r="E59" s="73" t="str">
        <f t="shared" si="0"/>
        <v>Gruppenerste</v>
      </c>
      <c r="F59" s="96" t="s">
        <v>322</v>
      </c>
      <c r="G59" s="95" t="s">
        <v>317</v>
      </c>
      <c r="H59" s="79"/>
    </row>
    <row r="60" spans="5:8" x14ac:dyDescent="0.2">
      <c r="E60" s="73" t="str">
        <f t="shared" si="0"/>
        <v>Gruppenzweite</v>
      </c>
      <c r="F60" s="96" t="s">
        <v>323</v>
      </c>
      <c r="G60" s="95" t="s">
        <v>318</v>
      </c>
      <c r="H60" s="79"/>
    </row>
    <row r="61" spans="5:8" x14ac:dyDescent="0.2">
      <c r="E61" s="73" t="str">
        <f t="shared" si="0"/>
        <v>Gruppendritte</v>
      </c>
      <c r="F61" s="96" t="s">
        <v>327</v>
      </c>
      <c r="G61" s="95" t="s">
        <v>296</v>
      </c>
      <c r="H61" s="79"/>
    </row>
    <row r="62" spans="5:8" x14ac:dyDescent="0.2">
      <c r="E62" s="73" t="str">
        <f t="shared" si="0"/>
        <v>Gruppenvierte</v>
      </c>
      <c r="F62" s="96" t="s">
        <v>326</v>
      </c>
      <c r="G62" s="95" t="s">
        <v>319</v>
      </c>
      <c r="H62" s="79"/>
    </row>
    <row r="63" spans="5:8" x14ac:dyDescent="0.2">
      <c r="E63" s="73" t="str">
        <f t="shared" si="0"/>
        <v>Gruppenfünfte</v>
      </c>
      <c r="F63" s="96" t="s">
        <v>324</v>
      </c>
      <c r="G63" s="95" t="s">
        <v>320</v>
      </c>
      <c r="H63" s="79"/>
    </row>
    <row r="64" spans="5:8" x14ac:dyDescent="0.2">
      <c r="E64" s="73" t="str">
        <f t="shared" si="0"/>
        <v>Gruppensechste</v>
      </c>
      <c r="F64" s="96" t="s">
        <v>325</v>
      </c>
      <c r="G64" s="95" t="s">
        <v>321</v>
      </c>
      <c r="H64" s="79"/>
    </row>
    <row r="65" spans="5:10" x14ac:dyDescent="0.2">
      <c r="E65" s="73" t="str">
        <f t="shared" si="0"/>
        <v>Finale</v>
      </c>
      <c r="F65" s="96" t="s">
        <v>227</v>
      </c>
      <c r="G65" s="95" t="s">
        <v>226</v>
      </c>
      <c r="H65" s="79"/>
    </row>
    <row r="66" spans="5:10" x14ac:dyDescent="0.2">
      <c r="E66" s="73" t="str">
        <f t="shared" si="0"/>
        <v>Spiel um den dritten Platz</v>
      </c>
      <c r="F66" s="96" t="s">
        <v>334</v>
      </c>
      <c r="G66" s="95" t="s">
        <v>335</v>
      </c>
      <c r="H66" s="79"/>
    </row>
    <row r="67" spans="5:10" x14ac:dyDescent="0.2">
      <c r="E67" s="73" t="str">
        <f t="shared" si="0"/>
        <v xml:space="preserve">Finalspiele um die Plätze </v>
      </c>
      <c r="F67" s="96" t="s">
        <v>350</v>
      </c>
      <c r="G67" s="95" t="s">
        <v>349</v>
      </c>
      <c r="H67" s="79"/>
    </row>
    <row r="68" spans="5:10" x14ac:dyDescent="0.2">
      <c r="E68" s="73" t="str">
        <f t="shared" si="0"/>
        <v xml:space="preserve"> bis </v>
      </c>
      <c r="F68" s="96" t="s">
        <v>337</v>
      </c>
      <c r="G68" s="95" t="s">
        <v>336</v>
      </c>
      <c r="H68" s="79"/>
    </row>
    <row r="69" spans="5:10" x14ac:dyDescent="0.2">
      <c r="E69" s="73" t="str">
        <f t="shared" si="0"/>
        <v>Halbfinalspiele</v>
      </c>
      <c r="F69" s="96" t="s">
        <v>339</v>
      </c>
      <c r="G69" s="95" t="s">
        <v>338</v>
      </c>
      <c r="H69" s="79"/>
    </row>
    <row r="70" spans="5:10" x14ac:dyDescent="0.2">
      <c r="E70" s="73" t="str">
        <f t="shared" si="0"/>
        <v xml:space="preserve">VF </v>
      </c>
      <c r="F70" s="96" t="s">
        <v>353</v>
      </c>
      <c r="G70" s="95" t="s">
        <v>354</v>
      </c>
      <c r="H70" s="79"/>
      <c r="J70" t="str">
        <f>$E$112</f>
        <v>(Abkürzung für 'Viertelfinale')</v>
      </c>
    </row>
    <row r="71" spans="5:10" x14ac:dyDescent="0.2">
      <c r="E71" s="73" t="str">
        <f t="shared" si="0"/>
        <v xml:space="preserve">HF </v>
      </c>
      <c r="F71" s="96" t="s">
        <v>358</v>
      </c>
      <c r="G71" s="95" t="s">
        <v>357</v>
      </c>
      <c r="H71" s="79"/>
      <c r="J71" t="str">
        <f>$E$113</f>
        <v>(Abkürzung für 'Halbfinale')</v>
      </c>
    </row>
    <row r="72" spans="5:10" x14ac:dyDescent="0.2">
      <c r="E72" s="73" t="str">
        <f t="shared" si="0"/>
        <v>1. Satz</v>
      </c>
      <c r="F72" s="96" t="s">
        <v>374</v>
      </c>
      <c r="G72" s="95" t="s">
        <v>372</v>
      </c>
      <c r="H72" s="79"/>
    </row>
    <row r="73" spans="5:10" x14ac:dyDescent="0.2">
      <c r="E73" s="73" t="str">
        <f t="shared" si="0"/>
        <v>2. Satz</v>
      </c>
      <c r="F73" s="96" t="s">
        <v>375</v>
      </c>
      <c r="G73" s="95" t="s">
        <v>373</v>
      </c>
      <c r="H73" s="79"/>
    </row>
    <row r="74" spans="5:10" x14ac:dyDescent="0.2">
      <c r="E74" s="73" t="str">
        <f t="shared" si="0"/>
        <v>Bälle</v>
      </c>
      <c r="F74" s="96" t="s">
        <v>378</v>
      </c>
      <c r="G74" s="95" t="s">
        <v>377</v>
      </c>
      <c r="H74" s="79"/>
    </row>
    <row r="75" spans="5:10" x14ac:dyDescent="0.2">
      <c r="E75" s="73" t="str">
        <f t="shared" si="0"/>
        <v>3. Satz</v>
      </c>
      <c r="F75" s="96" t="s">
        <v>382</v>
      </c>
      <c r="G75" s="95" t="s">
        <v>381</v>
      </c>
      <c r="H75" s="79"/>
    </row>
    <row r="76" spans="5:10" x14ac:dyDescent="0.2">
      <c r="E76" s="73" t="str">
        <f t="shared" si="0"/>
        <v>Sieger</v>
      </c>
      <c r="F76" s="96" t="s">
        <v>384</v>
      </c>
      <c r="G76" s="95" t="s">
        <v>383</v>
      </c>
      <c r="H76" s="79"/>
    </row>
    <row r="77" spans="5:10" x14ac:dyDescent="0.2">
      <c r="E77" s="73" t="str">
        <f t="shared" si="0"/>
        <v>Tie Break Endrunde 4</v>
      </c>
      <c r="F77" s="96" t="s">
        <v>396</v>
      </c>
      <c r="G77" s="95" t="s">
        <v>395</v>
      </c>
      <c r="H77" s="79"/>
    </row>
    <row r="78" spans="5:10" x14ac:dyDescent="0.2">
      <c r="E78" s="73" t="str">
        <f t="shared" si="0"/>
        <v>Schiedsrichter</v>
      </c>
      <c r="F78" s="96" t="s">
        <v>426</v>
      </c>
      <c r="G78" s="95" t="s">
        <v>425</v>
      </c>
      <c r="H78" s="79"/>
    </row>
    <row r="79" spans="5:10" x14ac:dyDescent="0.2">
      <c r="E79" s="73">
        <f t="shared" si="0"/>
        <v>0</v>
      </c>
      <c r="F79" s="96"/>
      <c r="G79" s="95"/>
      <c r="H79" s="79"/>
    </row>
    <row r="80" spans="5:10" x14ac:dyDescent="0.2">
      <c r="E80" s="73" t="str">
        <f t="shared" si="0"/>
        <v>Quot.</v>
      </c>
      <c r="F80" s="80" t="s">
        <v>401</v>
      </c>
      <c r="G80" s="78" t="s">
        <v>401</v>
      </c>
      <c r="H80" s="79"/>
    </row>
    <row r="81" spans="5:8" ht="28.5" x14ac:dyDescent="0.45">
      <c r="E81" s="73"/>
      <c r="F81" s="84" t="str">
        <f>$E$37</f>
        <v>Meldungen</v>
      </c>
      <c r="G81" s="85"/>
      <c r="H81" s="86"/>
    </row>
    <row r="82" spans="5:8" ht="79.5" customHeight="1" x14ac:dyDescent="0.2">
      <c r="E82" s="73" t="str">
        <f t="shared" si="0"/>
        <v>Sind zwei oder mehr Mannschaften nicht unterscheidbar und wird eine Entscheidung z.B. durch Elfmeterschießen oder Los getroffen, genügt es, für die bevorzugte Mannschaft einen Bonuspunkt einzutragen.</v>
      </c>
      <c r="F82" s="90" t="s">
        <v>224</v>
      </c>
      <c r="G82" s="91" t="s">
        <v>223</v>
      </c>
      <c r="H82" s="92"/>
    </row>
    <row r="83" spans="5:8" ht="51.75" customHeight="1" x14ac:dyDescent="0.2">
      <c r="E83" s="73" t="str">
        <f t="shared" si="0"/>
        <v>Doppelte Spielpaarungen und Spiele gegen sich selbst
führen in der Gesamttabelle zu falschen Werten!</v>
      </c>
      <c r="F83" s="97" t="s">
        <v>149</v>
      </c>
      <c r="G83" s="138" t="s">
        <v>55</v>
      </c>
      <c r="H83" s="92"/>
    </row>
    <row r="84" spans="5:8" ht="51.75" customHeight="1" x14ac:dyDescent="0.2">
      <c r="E84" s="73" t="str">
        <f t="shared" si="0"/>
        <v>Änderung der Spielpaarungen nur auf dem Blatt 'Planung'!   Hier nur die Ergebnisse eintragen!</v>
      </c>
      <c r="F84" s="97" t="s">
        <v>121</v>
      </c>
      <c r="G84" s="91" t="s">
        <v>120</v>
      </c>
      <c r="H84" s="92"/>
    </row>
    <row r="85" spans="5:8" ht="16.5" customHeight="1" x14ac:dyDescent="0.2">
      <c r="E85" s="73" t="str">
        <f t="shared" si="0"/>
        <v>Kann gelöscht werden   →</v>
      </c>
      <c r="F85" s="103" t="s">
        <v>144</v>
      </c>
      <c r="G85" s="102" t="s">
        <v>141</v>
      </c>
      <c r="H85" s="93"/>
    </row>
    <row r="86" spans="5:8" ht="20.25" customHeight="1" x14ac:dyDescent="0.2">
      <c r="E86" s="73" t="str">
        <f t="shared" si="0"/>
        <v>Hier klicken und Sprache wählen</v>
      </c>
      <c r="F86" s="108" t="s">
        <v>147</v>
      </c>
      <c r="G86" s="106" t="s">
        <v>146</v>
      </c>
      <c r="H86" s="94"/>
    </row>
    <row r="87" spans="5:8" ht="32.25" customHeight="1" x14ac:dyDescent="0.2">
      <c r="E87" s="73" t="str">
        <f t="shared" si="0"/>
        <v>Doppelte Namen führen zu
falschen Tabellenwerten</v>
      </c>
      <c r="F87" s="164" t="s">
        <v>154</v>
      </c>
      <c r="G87" s="163" t="s">
        <v>54</v>
      </c>
      <c r="H87" s="94"/>
    </row>
    <row r="88" spans="5:8" ht="51.75" customHeight="1" x14ac:dyDescent="0.2">
      <c r="E88" s="73" t="str">
        <f t="shared" si="0"/>
        <v>Rote Schrift bedeutet, dass die Rangfolge auch mit dem direkten Vergleich nicht geklärt ist. Ein Entscheidungsspiel oder Los muss hier entscheiden.</v>
      </c>
      <c r="F88" s="264" t="s">
        <v>393</v>
      </c>
      <c r="G88" s="265" t="s">
        <v>392</v>
      </c>
      <c r="H88" s="93"/>
    </row>
    <row r="89" spans="5:8" ht="17.25" customHeight="1" x14ac:dyDescent="0.2">
      <c r="E89" s="73" t="str">
        <f t="shared" si="0"/>
        <v>Zeitkonflikt</v>
      </c>
      <c r="F89" s="266" t="s">
        <v>159</v>
      </c>
      <c r="G89" s="267" t="s">
        <v>158</v>
      </c>
      <c r="H89" s="268"/>
    </row>
    <row r="90" spans="5:8" ht="16.5" customHeight="1" x14ac:dyDescent="0.2">
      <c r="E90" s="73" t="str">
        <f t="shared" si="0"/>
        <v>:</v>
      </c>
      <c r="F90" s="269" t="s">
        <v>4</v>
      </c>
      <c r="G90" s="285" t="s">
        <v>208</v>
      </c>
      <c r="H90" s="268"/>
    </row>
    <row r="91" spans="5:8" ht="33" customHeight="1" x14ac:dyDescent="0.2">
      <c r="E91" s="73" t="str">
        <f t="shared" si="0"/>
        <v>Direkte Vergleiche bei Gleichstand in Punkten, Tordifferenz und erzielten Toren (FIFA-Modus)</v>
      </c>
      <c r="F91" s="274" t="s">
        <v>183</v>
      </c>
      <c r="G91" s="275" t="s">
        <v>180</v>
      </c>
      <c r="H91" s="271"/>
    </row>
    <row r="92" spans="5:8" ht="32.25" customHeight="1" x14ac:dyDescent="0.2">
      <c r="E92" s="73" t="str">
        <f t="shared" si="0"/>
        <v>Direkte Vergleiche bei Gleichstand in Punkten (UEFA-Modus)</v>
      </c>
      <c r="F92" s="274" t="s">
        <v>181</v>
      </c>
      <c r="G92" s="275" t="s">
        <v>182</v>
      </c>
      <c r="H92" s="271"/>
    </row>
    <row r="93" spans="5:8" ht="18" customHeight="1" x14ac:dyDescent="0.2">
      <c r="E93" s="73" t="str">
        <f t="shared" si="0"/>
        <v>Balldifferenz oder Ballquotient</v>
      </c>
      <c r="F93" s="277" t="s">
        <v>402</v>
      </c>
      <c r="G93" s="278" t="s">
        <v>403</v>
      </c>
      <c r="H93" s="279"/>
    </row>
    <row r="94" spans="5:8" ht="18" customHeight="1" x14ac:dyDescent="0.2">
      <c r="E94" s="73" t="str">
        <f t="shared" si="0"/>
        <v>Balldifferenz</v>
      </c>
      <c r="F94" s="277" t="s">
        <v>404</v>
      </c>
      <c r="G94" s="278" t="s">
        <v>405</v>
      </c>
      <c r="H94" s="279"/>
    </row>
    <row r="95" spans="5:8" ht="20.25" customHeight="1" x14ac:dyDescent="0.2">
      <c r="E95" s="73" t="str">
        <f t="shared" si="0"/>
        <v>Ballquotient</v>
      </c>
      <c r="F95" s="277" t="s">
        <v>406</v>
      </c>
      <c r="G95" s="278" t="s">
        <v>407</v>
      </c>
      <c r="H95" s="279"/>
    </row>
    <row r="96" spans="5:8" ht="18" customHeight="1" x14ac:dyDescent="0.2">
      <c r="E96" s="73" t="str">
        <f t="shared" si="0"/>
        <v>Abkürzungen der Mannschaftsnamen:</v>
      </c>
      <c r="F96" s="277" t="s">
        <v>259</v>
      </c>
      <c r="G96" s="278" t="s">
        <v>260</v>
      </c>
      <c r="H96" s="279"/>
    </row>
    <row r="97" spans="5:8" ht="17.25" customHeight="1" x14ac:dyDescent="0.2">
      <c r="E97" s="73" t="str">
        <f t="shared" si="0"/>
        <v>Buchstaben</v>
      </c>
      <c r="F97" s="277" t="s">
        <v>185</v>
      </c>
      <c r="G97" s="278" t="s">
        <v>184</v>
      </c>
      <c r="H97" s="279"/>
    </row>
    <row r="98" spans="5:8" ht="18" customHeight="1" x14ac:dyDescent="0.2">
      <c r="E98" s="73" t="str">
        <f t="shared" si="0"/>
        <v>Rang</v>
      </c>
      <c r="F98" s="277" t="s">
        <v>222</v>
      </c>
      <c r="G98" s="278" t="s">
        <v>221</v>
      </c>
      <c r="H98" s="279"/>
    </row>
    <row r="99" spans="5:8" ht="16.5" customHeight="1" x14ac:dyDescent="0.2">
      <c r="E99" s="73" t="str">
        <f t="shared" si="0"/>
        <v>3. Platz</v>
      </c>
      <c r="F99" s="277" t="s">
        <v>228</v>
      </c>
      <c r="G99" s="278" t="s">
        <v>225</v>
      </c>
      <c r="H99" s="279"/>
    </row>
    <row r="100" spans="5:8" ht="17.25" customHeight="1" x14ac:dyDescent="0.2">
      <c r="E100" s="73" t="str">
        <f t="shared" si="0"/>
        <v>Finale</v>
      </c>
      <c r="F100" s="277" t="s">
        <v>227</v>
      </c>
      <c r="G100" s="278" t="s">
        <v>226</v>
      </c>
      <c r="H100" s="279"/>
    </row>
    <row r="101" spans="5:8" ht="30.75" customHeight="1" x14ac:dyDescent="0.2">
      <c r="E101" s="73" t="str">
        <f t="shared" si="0"/>
        <v xml:space="preserve">Wegen zeitlicher Konflikte kann nur auf maximal </v>
      </c>
      <c r="F101" s="274" t="s">
        <v>256</v>
      </c>
      <c r="G101" s="275" t="s">
        <v>257</v>
      </c>
      <c r="H101" s="279"/>
    </row>
    <row r="102" spans="5:8" ht="17.25" customHeight="1" x14ac:dyDescent="0.2">
      <c r="E102" s="73" t="str">
        <f t="shared" si="0"/>
        <v xml:space="preserve"> Spielplätzen gleichzeitig gespielt werden.</v>
      </c>
      <c r="F102" s="274" t="s">
        <v>304</v>
      </c>
      <c r="G102" s="275" t="s">
        <v>258</v>
      </c>
      <c r="H102" s="279"/>
    </row>
    <row r="103" spans="5:8" ht="17.25" customHeight="1" x14ac:dyDescent="0.2">
      <c r="E103" s="73" t="str">
        <f t="shared" si="0"/>
        <v>Turnierende (Endrunde 1):</v>
      </c>
      <c r="F103" s="277" t="s">
        <v>294</v>
      </c>
      <c r="G103" s="278" t="s">
        <v>292</v>
      </c>
      <c r="H103" s="279"/>
    </row>
    <row r="104" spans="5:8" ht="17.25" customHeight="1" x14ac:dyDescent="0.2">
      <c r="E104" s="73" t="str">
        <f t="shared" si="0"/>
        <v>Turnierende (Endrunde 2):</v>
      </c>
      <c r="F104" s="277" t="s">
        <v>295</v>
      </c>
      <c r="G104" s="278" t="s">
        <v>293</v>
      </c>
      <c r="H104" s="279"/>
    </row>
    <row r="105" spans="5:8" ht="17.25" customHeight="1" x14ac:dyDescent="0.2">
      <c r="E105" s="73" t="str">
        <f t="shared" si="0"/>
        <v>Turnierende (Endrunde 3):</v>
      </c>
      <c r="F105" s="277" t="s">
        <v>363</v>
      </c>
      <c r="G105" s="278" t="s">
        <v>365</v>
      </c>
      <c r="H105" s="279"/>
    </row>
    <row r="106" spans="5:8" ht="17.25" customHeight="1" x14ac:dyDescent="0.2">
      <c r="E106" s="73" t="str">
        <f t="shared" si="0"/>
        <v>Turnierende (Endrunde 4):</v>
      </c>
      <c r="F106" s="277" t="s">
        <v>364</v>
      </c>
      <c r="G106" s="278" t="s">
        <v>366</v>
      </c>
      <c r="H106" s="279"/>
    </row>
    <row r="107" spans="5:8" ht="44.25" customHeight="1" x14ac:dyDescent="0.2">
      <c r="E107" s="73" t="str">
        <f t="shared" si="0"/>
        <v>Eingabe eines Bonus-Punktes
als Tie Breaker auf dem
Tabellenblatt 'Vorrunde'</v>
      </c>
      <c r="F107" s="277" t="s">
        <v>300</v>
      </c>
      <c r="G107" s="278" t="s">
        <v>301</v>
      </c>
      <c r="H107" s="279"/>
    </row>
    <row r="108" spans="5:8" ht="39" customHeight="1" x14ac:dyDescent="0.2">
      <c r="E108" s="73" t="str">
        <f t="shared" si="0"/>
        <v>ZEITKONFLIKT
Zu viele Spielplätze!</v>
      </c>
      <c r="F108" s="277" t="s">
        <v>303</v>
      </c>
      <c r="G108" s="278" t="s">
        <v>302</v>
      </c>
      <c r="H108" s="279"/>
    </row>
    <row r="109" spans="5:8" ht="17.25" customHeight="1" x14ac:dyDescent="0.2">
      <c r="E109" s="73" t="str">
        <f t="shared" si="0"/>
        <v xml:space="preserve">ZEITKONFLIKT für Team </v>
      </c>
      <c r="F109" s="277" t="s">
        <v>343</v>
      </c>
      <c r="G109" s="278" t="s">
        <v>344</v>
      </c>
      <c r="H109" s="279"/>
    </row>
    <row r="110" spans="5:8" ht="17.25" customHeight="1" x14ac:dyDescent="0.2">
      <c r="E110" s="73" t="str">
        <f t="shared" si="0"/>
        <v xml:space="preserve">in den Spielen </v>
      </c>
      <c r="F110" s="277" t="s">
        <v>345</v>
      </c>
      <c r="G110" s="278" t="s">
        <v>346</v>
      </c>
      <c r="H110" s="279"/>
    </row>
    <row r="111" spans="5:8" ht="17.25" customHeight="1" x14ac:dyDescent="0.2">
      <c r="E111" s="73" t="str">
        <f t="shared" si="0"/>
        <v xml:space="preserve"> und </v>
      </c>
      <c r="F111" s="277" t="s">
        <v>347</v>
      </c>
      <c r="G111" s="278" t="s">
        <v>348</v>
      </c>
      <c r="H111" s="279"/>
    </row>
    <row r="112" spans="5:8" ht="17.25" customHeight="1" x14ac:dyDescent="0.2">
      <c r="E112" s="73" t="str">
        <f t="shared" si="0"/>
        <v>(Abkürzung für 'Viertelfinale')</v>
      </c>
      <c r="F112" s="277" t="s">
        <v>351</v>
      </c>
      <c r="G112" s="278" t="s">
        <v>352</v>
      </c>
      <c r="H112" s="279"/>
    </row>
    <row r="113" spans="5:9" ht="17.25" customHeight="1" x14ac:dyDescent="0.2">
      <c r="E113" s="73" t="str">
        <f t="shared" si="0"/>
        <v>(Abkürzung für 'Halbfinale')</v>
      </c>
      <c r="F113" s="277" t="s">
        <v>356</v>
      </c>
      <c r="G113" s="278" t="s">
        <v>355</v>
      </c>
      <c r="H113" s="279"/>
    </row>
    <row r="114" spans="5:9" ht="17.25" customHeight="1" x14ac:dyDescent="0.2">
      <c r="E114" s="73" t="str">
        <f t="shared" si="0"/>
        <v>Team-Kürzel</v>
      </c>
      <c r="F114" s="277" t="s">
        <v>397</v>
      </c>
      <c r="G114" s="278" t="s">
        <v>398</v>
      </c>
      <c r="H114" s="279"/>
    </row>
    <row r="115" spans="5:9" ht="17.25" customHeight="1" x14ac:dyDescent="0.2">
      <c r="E115" s="73" t="str">
        <f t="shared" si="0"/>
        <v>z.B.  A2 - A4</v>
      </c>
      <c r="F115" s="277" t="s">
        <v>399</v>
      </c>
      <c r="G115" s="278" t="s">
        <v>400</v>
      </c>
      <c r="H115" s="279"/>
    </row>
    <row r="116" spans="5:9" ht="17.25" customHeight="1" x14ac:dyDescent="0.2">
      <c r="E116" s="73" t="str">
        <f t="shared" si="0"/>
        <v>Anzeige in den Kreuztabellen der Vorrunde:</v>
      </c>
      <c r="F116" s="277" t="s">
        <v>417</v>
      </c>
      <c r="G116" s="278" t="s">
        <v>416</v>
      </c>
      <c r="H116" s="279"/>
    </row>
    <row r="117" spans="5:9" ht="17.25" customHeight="1" x14ac:dyDescent="0.2">
      <c r="E117" s="73" t="str">
        <f t="shared" si="0"/>
        <v>Ballpunkte</v>
      </c>
      <c r="F117" s="277" t="s">
        <v>414</v>
      </c>
      <c r="G117" s="278" t="s">
        <v>411</v>
      </c>
      <c r="H117" s="279"/>
    </row>
    <row r="118" spans="5:9" ht="17.25" customHeight="1" x14ac:dyDescent="0.2">
      <c r="E118" s="73" t="str">
        <f t="shared" si="0"/>
        <v>Satzpunkte</v>
      </c>
      <c r="F118" s="277" t="s">
        <v>413</v>
      </c>
      <c r="G118" s="278" t="s">
        <v>412</v>
      </c>
      <c r="H118" s="279"/>
    </row>
    <row r="119" spans="5:9" ht="17.25" customHeight="1" x14ac:dyDescent="0.2">
      <c r="E119" s="73">
        <f t="shared" si="0"/>
        <v>0</v>
      </c>
      <c r="F119" s="277"/>
      <c r="G119" s="278"/>
      <c r="H119" s="279"/>
    </row>
    <row r="120" spans="5:9" ht="18.75" customHeight="1" thickBot="1" x14ac:dyDescent="0.25">
      <c r="E120" s="73">
        <f t="shared" si="0"/>
        <v>0</v>
      </c>
      <c r="F120" s="272"/>
      <c r="G120" s="270"/>
      <c r="H120" s="273"/>
    </row>
    <row r="121" spans="5:9" ht="13.5" thickTop="1" x14ac:dyDescent="0.2"/>
    <row r="122" spans="5:9" x14ac:dyDescent="0.2"/>
    <row r="123" spans="5:9" x14ac:dyDescent="0.2"/>
    <row r="124" spans="5:9" x14ac:dyDescent="0.2"/>
    <row r="125" spans="5:9" hidden="1" x14ac:dyDescent="0.2">
      <c r="I125" s="104"/>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workbookViewId="0">
      <selection activeCell="B7" sqref="B7"/>
    </sheetView>
  </sheetViews>
  <sheetFormatPr baseColWidth="10" defaultColWidth="0" defaultRowHeight="12.75" zeroHeight="1" x14ac:dyDescent="0.2"/>
  <cols>
    <col min="1" max="1" width="11.42578125" style="280" customWidth="1"/>
    <col min="2" max="2" width="37.140625" customWidth="1"/>
    <col min="3" max="3" width="7.28515625" customWidth="1"/>
    <col min="4" max="4" width="15" customWidth="1"/>
    <col min="5" max="5" width="11.42578125" customWidth="1"/>
    <col min="6" max="7" width="11.42578125" hidden="1" customWidth="1"/>
    <col min="8" max="8" width="12.42578125" hidden="1" customWidth="1"/>
    <col min="9" max="16384" width="11.42578125" hidden="1"/>
  </cols>
  <sheetData>
    <row r="1" spans="1:8" ht="39" customHeight="1" x14ac:dyDescent="0.4">
      <c r="B1" s="976" t="str">
        <f>Sprache!$E$51</f>
        <v>Einstellungen</v>
      </c>
      <c r="C1" s="976"/>
      <c r="D1" s="976"/>
    </row>
    <row r="2" spans="1:8" x14ac:dyDescent="0.2"/>
    <row r="3" spans="1:8" x14ac:dyDescent="0.2"/>
    <row r="4" spans="1:8" x14ac:dyDescent="0.2"/>
    <row r="5" spans="1:8" x14ac:dyDescent="0.2">
      <c r="A5" s="284" t="s">
        <v>6</v>
      </c>
      <c r="B5" s="283" t="str">
        <f>Sprache!E93</f>
        <v>Balldifferenz oder Ballquotient</v>
      </c>
      <c r="C5" s="276"/>
    </row>
    <row r="6" spans="1:8" x14ac:dyDescent="0.2">
      <c r="B6" s="276"/>
      <c r="C6" s="276"/>
      <c r="F6" s="737" t="s">
        <v>408</v>
      </c>
      <c r="G6" s="737" t="s">
        <v>409</v>
      </c>
      <c r="H6" s="737" t="s">
        <v>410</v>
      </c>
    </row>
    <row r="7" spans="1:8" ht="21.75" customHeight="1" x14ac:dyDescent="0.2">
      <c r="B7" s="281" t="s">
        <v>405</v>
      </c>
      <c r="C7" s="276"/>
      <c r="F7" s="733">
        <v>499</v>
      </c>
      <c r="G7" s="733" t="b">
        <f>(Einstellungen!$B$7=Sprache!$E$94)</f>
        <v>1</v>
      </c>
      <c r="H7" s="733">
        <v>3</v>
      </c>
    </row>
    <row r="8" spans="1:8" x14ac:dyDescent="0.2"/>
    <row r="9" spans="1:8" x14ac:dyDescent="0.2"/>
    <row r="10" spans="1:8" x14ac:dyDescent="0.2"/>
    <row r="11" spans="1:8" x14ac:dyDescent="0.2">
      <c r="A11" s="284" t="s">
        <v>7</v>
      </c>
      <c r="B11" s="282" t="str">
        <f>Sprache!$E$96</f>
        <v>Abkürzungen der Mannschaftsnamen:</v>
      </c>
      <c r="C11" s="252">
        <v>7</v>
      </c>
      <c r="D11" t="str">
        <f>" "&amp;Sprache!$E$97</f>
        <v xml:space="preserve"> Buchstaben</v>
      </c>
    </row>
    <row r="12" spans="1:8" x14ac:dyDescent="0.2"/>
    <row r="13" spans="1:8" x14ac:dyDescent="0.2"/>
    <row r="14" spans="1:8" x14ac:dyDescent="0.2"/>
    <row r="15" spans="1:8" x14ac:dyDescent="0.2">
      <c r="A15" s="284" t="s">
        <v>8</v>
      </c>
      <c r="B15" s="282" t="str">
        <f>Sprache!E116</f>
        <v>Anzeige in den Kreuztabellen der Vorrunde:</v>
      </c>
    </row>
    <row r="16" spans="1:8" x14ac:dyDescent="0.2">
      <c r="G16" s="737" t="s">
        <v>415</v>
      </c>
    </row>
    <row r="17" spans="2:7" ht="21.75" customHeight="1" x14ac:dyDescent="0.2">
      <c r="B17" s="281" t="s">
        <v>411</v>
      </c>
      <c r="G17" s="738">
        <f>IF(Einstellungen!$B$17=Sprache!$E$117,3,10)</f>
        <v>3</v>
      </c>
    </row>
    <row r="18" spans="2:7" x14ac:dyDescent="0.2"/>
    <row r="19" spans="2:7" x14ac:dyDescent="0.2"/>
    <row r="20" spans="2:7" x14ac:dyDescent="0.2"/>
  </sheetData>
  <sheetProtection sheet="1" selectLockedCells="1"/>
  <mergeCells count="1">
    <mergeCell ref="B1:D1"/>
  </mergeCells>
  <pageMargins left="0.7" right="0.7" top="0.78740157499999996" bottom="0.78740157499999996"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Sprache!$E$94:$E$95</xm:f>
          </x14:formula1>
          <xm:sqref>B7</xm:sqref>
        </x14:dataValidation>
        <x14:dataValidation type="list" allowBlank="1" showInputMessage="1" showErrorMessage="1" xr:uid="{33B4FC73-46C9-427D-9FF2-E721F84FA0A8}">
          <x14:formula1>
            <xm:f>Sprache!$E$117:$E$118</xm:f>
          </x14:formula1>
          <xm:sqref>B17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F4D3-D6A6-43DF-B0F8-74FEC23F91B7}">
  <dimension ref="A1:W108"/>
  <sheetViews>
    <sheetView showGridLines="0" showRowColHeaders="0" workbookViewId="0"/>
  </sheetViews>
  <sheetFormatPr baseColWidth="10" defaultColWidth="0" defaultRowHeight="12.75" zeroHeight="1" x14ac:dyDescent="0.2"/>
  <cols>
    <col min="1" max="23" width="11.42578125" customWidth="1"/>
    <col min="24" max="16384" width="11.42578125" hidden="1"/>
  </cols>
  <sheetData>
    <row r="1" spans="1:1" x14ac:dyDescent="0.2">
      <c r="A1" s="73"/>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4:20" x14ac:dyDescent="0.2"/>
    <row r="98" spans="4:20" x14ac:dyDescent="0.2"/>
    <row r="99" spans="4:20" x14ac:dyDescent="0.2"/>
    <row r="100" spans="4:20" x14ac:dyDescent="0.2"/>
    <row r="101" spans="4:20" x14ac:dyDescent="0.2"/>
    <row r="102" spans="4:20" x14ac:dyDescent="0.2">
      <c r="D102" s="980"/>
      <c r="E102" s="981"/>
      <c r="F102" s="981"/>
      <c r="G102" s="981"/>
      <c r="H102" s="981"/>
      <c r="I102" s="982"/>
      <c r="O102" s="980"/>
      <c r="P102" s="981"/>
      <c r="Q102" s="981"/>
      <c r="R102" s="981"/>
      <c r="S102" s="981"/>
      <c r="T102" s="982"/>
    </row>
    <row r="103" spans="4:20" x14ac:dyDescent="0.2">
      <c r="D103" s="983" t="s">
        <v>134</v>
      </c>
      <c r="E103" s="984"/>
      <c r="F103" s="984"/>
      <c r="G103" s="984"/>
      <c r="H103" s="984"/>
      <c r="I103" s="985"/>
      <c r="O103" s="983" t="s">
        <v>57</v>
      </c>
      <c r="P103" s="984"/>
      <c r="Q103" s="984"/>
      <c r="R103" s="984"/>
      <c r="S103" s="984"/>
      <c r="T103" s="985"/>
    </row>
    <row r="104" spans="4:20" x14ac:dyDescent="0.2">
      <c r="D104" s="986" t="s">
        <v>56</v>
      </c>
      <c r="E104" s="987"/>
      <c r="F104" s="987"/>
      <c r="G104" s="987"/>
      <c r="H104" s="987"/>
      <c r="I104" s="988"/>
      <c r="O104" s="986" t="s">
        <v>56</v>
      </c>
      <c r="P104" s="987"/>
      <c r="Q104" s="987"/>
      <c r="R104" s="987"/>
      <c r="S104" s="987"/>
      <c r="T104" s="988"/>
    </row>
    <row r="105" spans="4:20" x14ac:dyDescent="0.2">
      <c r="D105" s="977"/>
      <c r="E105" s="978"/>
      <c r="F105" s="978"/>
      <c r="G105" s="978"/>
      <c r="H105" s="978"/>
      <c r="I105" s="979"/>
      <c r="O105" s="977"/>
      <c r="P105" s="978"/>
      <c r="Q105" s="978"/>
      <c r="R105" s="978"/>
      <c r="S105" s="978"/>
      <c r="T105" s="979"/>
    </row>
    <row r="106" spans="4:20" x14ac:dyDescent="0.2"/>
    <row r="107" spans="4:20" x14ac:dyDescent="0.2"/>
    <row r="108" spans="4:20" x14ac:dyDescent="0.2"/>
  </sheetData>
  <sheetProtection sheet="1" objects="1" scenarios="1" selectLockedCells="1"/>
  <mergeCells count="8">
    <mergeCell ref="D105:I105"/>
    <mergeCell ref="O105:T105"/>
    <mergeCell ref="D102:I102"/>
    <mergeCell ref="O102:T102"/>
    <mergeCell ref="D103:I103"/>
    <mergeCell ref="O103:T103"/>
    <mergeCell ref="D104:I104"/>
    <mergeCell ref="O104:T104"/>
  </mergeCells>
  <hyperlinks>
    <hyperlink ref="O104" r:id="rId1" xr:uid="{06A8E59F-5A51-47A8-BAD3-88E70E08EB83}"/>
    <hyperlink ref="D104" r:id="rId2" xr:uid="{E8679552-1E97-4AE8-8E5A-6EF436B4474C}"/>
  </hyperlinks>
  <pageMargins left="0.7" right="0.7" top="0.78740157499999996" bottom="0.78740157499999996" header="0.3" footer="0.3"/>
  <pageSetup paperSize="9" orientation="portrait" horizontalDpi="4294967293"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3"/>
      <c r="C2" s="3"/>
      <c r="D2" s="3"/>
      <c r="E2" s="3"/>
      <c r="F2" s="1"/>
      <c r="G2" s="1"/>
      <c r="H2" s="1"/>
      <c r="I2" s="1"/>
      <c r="J2" s="1" t="s">
        <v>376</v>
      </c>
      <c r="K2" s="1"/>
      <c r="L2" s="1"/>
      <c r="M2" s="1"/>
      <c r="N2" s="3"/>
      <c r="O2" s="1"/>
      <c r="P2" s="1"/>
      <c r="Q2" s="1"/>
      <c r="W2" s="2" t="s">
        <v>148</v>
      </c>
    </row>
    <row r="3" spans="1:45" s="2" customFormat="1" ht="13.5" customHeight="1" thickBot="1" x14ac:dyDescent="0.25">
      <c r="B3" s="1"/>
      <c r="C3" s="3"/>
      <c r="D3" s="3"/>
      <c r="E3" s="3"/>
      <c r="F3" s="3"/>
      <c r="G3" s="69" t="s">
        <v>106</v>
      </c>
      <c r="H3" s="69" t="s">
        <v>107</v>
      </c>
      <c r="I3" s="26" t="s">
        <v>108</v>
      </c>
      <c r="J3" s="27" t="s">
        <v>109</v>
      </c>
      <c r="K3" s="26"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95">
        <f ca="1">IF($O$4&lt;10,$O$4,0)</f>
        <v>0</v>
      </c>
      <c r="X3" s="996"/>
      <c r="Y3" s="996"/>
      <c r="Z3" s="996"/>
      <c r="AA3" s="996"/>
      <c r="AB3" s="995">
        <f ca="1">IF($P$4&lt;10,$P$4,0)</f>
        <v>0</v>
      </c>
      <c r="AC3" s="996"/>
      <c r="AD3" s="996"/>
      <c r="AE3" s="996"/>
      <c r="AF3" s="996"/>
      <c r="AG3" s="995">
        <f ca="1">IF($Q$4&lt;10,$Q$4,0)</f>
        <v>0</v>
      </c>
      <c r="AH3" s="996"/>
      <c r="AI3" s="996"/>
      <c r="AJ3" s="996"/>
      <c r="AK3" s="996"/>
      <c r="AL3" s="995">
        <f ca="1">IF($R$4&lt;10,$R$4,0)</f>
        <v>0</v>
      </c>
      <c r="AM3" s="996"/>
      <c r="AN3" s="996"/>
      <c r="AO3" s="996"/>
      <c r="AP3" s="996"/>
      <c r="AR3" s="27" t="s">
        <v>423</v>
      </c>
      <c r="AS3" s="27" t="s">
        <v>424</v>
      </c>
    </row>
    <row r="4" spans="1:45" s="2" customFormat="1" ht="12.75" thickTop="1" x14ac:dyDescent="0.2">
      <c r="A4" s="251"/>
      <c r="B4" s="1">
        <v>1</v>
      </c>
      <c r="C4" s="21">
        <f ca="1">RANK(D4,$D$4:$D$12,1)</f>
        <v>1</v>
      </c>
      <c r="D4" s="3">
        <f ca="1">E4+ROW()/1000+(F4="")*10</f>
        <v>1.004</v>
      </c>
      <c r="E4" s="263">
        <f ca="1">IF($AI$15,RANK(AH17,AH$17:AH$25,1),RANK(X17,X$17:X$25,1))</f>
        <v>1</v>
      </c>
      <c r="F4" s="1" t="str">
        <f>$Q64</f>
        <v>1. FC Riedwald</v>
      </c>
      <c r="G4" s="1">
        <f ca="1">SUMIFS($X$64:$X$135,$V$64:$V$135,$F4)+SUMIFS($Y$64:$Y$135,$W$64:$W$135,$F4)+SUMIFS($AG$64:$AG$135,$V$64:$V$135,$F4)+SUMIFS($AH$64:$AH$135,$W$64:$W$135,$F4)</f>
        <v>193</v>
      </c>
      <c r="H4" s="1">
        <f ca="1">SUMIFS($Y$64:$Y$135,$V$64:$V$135,$F4)+SUMIFS($X$64:$X$135,$W$64:$W$135,$F4)+SUMIFS($AH$64:$AH$135,$V$64:$V$135,$F4)+SUMIFS($AG$64:$AG$135,$W$64:$W$135,$F4)</f>
        <v>149</v>
      </c>
      <c r="I4" s="3">
        <f ca="1">IF(Einstellungen!$G$7,G4-H4,IF(H4=0,IF(G4=0,0,Einstellungen!$F$7),G4/H4))</f>
        <v>44</v>
      </c>
      <c r="J4" s="1">
        <f ca="1">SUMPRODUCT(($V$64:$V$135=F4)*$AE$64:$AE$135*$AA$64:$AA$135)+SUMPRODUCT(($W$64:$W$135=F4)*$AF$64:$AF$135*$AA$64:$AA$135)</f>
        <v>7</v>
      </c>
      <c r="K4" s="1">
        <f ca="1">SUMPRODUCT(($V$64:$V$135=F4)*$AA$64:$AA$135)+SUMPRODUCT(($W$64:$W$135=F4)*$AA$64:$AA$135)</f>
        <v>4</v>
      </c>
      <c r="L4" s="1">
        <f ca="1">K4-M4-N4</f>
        <v>3</v>
      </c>
      <c r="M4" s="1">
        <f ca="1">SUMPRODUCT(($V$64:$W$135=F4)*($AE$64:$AE$135=$AF$64:$AF$135)*$AA$64:$AA$135)</f>
        <v>1</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29" t="str">
        <f ca="1">IFERROR(INDEX($O$17:$V$25,ROW(A1),$W$3),"")</f>
        <v/>
      </c>
      <c r="X4" s="630" t="str">
        <f ca="1">INDEX($W$4:$W$12,MATCH(ROW(A1),$AA$4:$AA$12,0))</f>
        <v/>
      </c>
      <c r="Y4" s="631">
        <f ca="1">IF($W4="",99999,VLOOKUP($W4,$C$17:$Z$25,24,0))</f>
        <v>99999</v>
      </c>
      <c r="Z4" s="632">
        <f ca="1">RANK(Y4,Y$4:Y$12,1)+INDEX($E$4:$E$12,MATCH(W4,$F$4:$F$12,0))/100+ROW()/10000</f>
        <v>1.0604</v>
      </c>
      <c r="AA4" s="633">
        <f ca="1">RANK($Z4,$Z$4:$Z$12,1)</f>
        <v>1</v>
      </c>
      <c r="AB4" s="634" t="str">
        <f t="shared" ref="AB4:AB12" ca="1" si="1">IFERROR(INDEX($O$17:$V$25,ROW(A1),$AB$3),"")</f>
        <v/>
      </c>
      <c r="AC4" s="635" t="str">
        <f ca="1">INDEX($AB$4:$AB$12,MATCH(ROW(A1),$AF$4:$AF$12,0))</f>
        <v/>
      </c>
      <c r="AD4" s="636">
        <f ca="1">IF($AB4="",99999,VLOOKUP($AB4,$C$17:$Z$25,24,0))</f>
        <v>99999</v>
      </c>
      <c r="AE4" s="632">
        <f ca="1">RANK(AD4,AD$4:AD$12,1)+INDEX($E$4:$E$12,MATCH(AB4,$F$4:$F$12,0))/100+ROW()/10000</f>
        <v>1.0604</v>
      </c>
      <c r="AF4" s="632">
        <f ca="1">RANK($AE4,$AE$4:$AE$12,1)</f>
        <v>1</v>
      </c>
      <c r="AG4" s="634" t="str">
        <f t="shared" ref="AG4:AG12" ca="1" si="2">IFERROR(INDEX($O$17:$V$25,ROW(C1),$AG$3),"")</f>
        <v/>
      </c>
      <c r="AH4" s="635" t="str">
        <f ca="1">INDEX($AG$4:$AG$12,MATCH(ROW(A1),$AK$4:$AK$12,0))</f>
        <v/>
      </c>
      <c r="AI4" s="636">
        <f ca="1">IF($AG4="",99999,VLOOKUP($AG4,$C$17:$Z$25,24,0))</f>
        <v>99999</v>
      </c>
      <c r="AJ4" s="632">
        <f ca="1">RANK(AI4,AI$4:AI$12,1)+INDEX($E$4:$E$12,MATCH(AG4,$F$4:$F$12,0))/100+ROW()/10000</f>
        <v>1.0604</v>
      </c>
      <c r="AK4" s="637">
        <f ca="1">RANK($AJ4,$AJ$4:$AJ$12,1)</f>
        <v>1</v>
      </c>
      <c r="AL4" s="635" t="str">
        <f t="shared" ref="AL4:AL12" ca="1" si="3">IFERROR(INDEX($O$17:$V$25,ROW(E1),$AL$3),"")</f>
        <v/>
      </c>
      <c r="AM4" s="635" t="str">
        <f ca="1">INDEX($AL$4:$AL$12,MATCH(ROW(A1),$AP$4:$AP$12,0))</f>
        <v/>
      </c>
      <c r="AN4" s="636">
        <f ca="1">IF($AL4="",99999,VLOOKUP($AL4,$C$17:$Z$25,24,0))</f>
        <v>99999</v>
      </c>
      <c r="AO4" s="632">
        <f ca="1">RANK(AN4,AN$4:AN$12,1)+INDEX($E$4:$E$12,MATCH(AL4,$F$4:$F$12,0))/100+ROW()/10000</f>
        <v>1.0604</v>
      </c>
      <c r="AP4" s="637">
        <f ca="1">RANK($AO4,$AO$4:$AO$12,1)</f>
        <v>1</v>
      </c>
      <c r="AR4" s="1">
        <f ca="1">IF(Einstellungen!$G$7,$I4,ROUND($I4,Einstellungen!$H$7))</f>
        <v>44</v>
      </c>
      <c r="AS4" s="1">
        <f ca="1">SUMPRODUCT(($W$64:$W$135=F4)*$AE$64:$AE$135*$AA$64:$AA$135)+SUMPRODUCT(($V$64:$V$135=F4)*$AF$64:$AF$135*$AA$64:$AA$135)</f>
        <v>1</v>
      </c>
    </row>
    <row r="5" spans="1:45" s="2" customFormat="1" x14ac:dyDescent="0.2">
      <c r="A5" s="251"/>
      <c r="B5" s="1">
        <v>2</v>
      </c>
      <c r="C5" s="22">
        <f t="shared" ref="C5:C12" ca="1" si="4">RANK(D5,$D$4:$D$12,1)</f>
        <v>5</v>
      </c>
      <c r="D5" s="13">
        <f t="shared" ref="D5:D12" ca="1" si="5">E5+ROW()/1000+(F5="")*10</f>
        <v>5.0049999999999999</v>
      </c>
      <c r="E5" s="263">
        <f t="shared" ref="E5:E12" ca="1" si="6">IF($AI$15,RANK(AH18,AH$17:AH$25,1),RANK(X18,X$17:X$25,1))</f>
        <v>5</v>
      </c>
      <c r="F5" s="1" t="str">
        <f t="shared" ref="F5:F12" si="7">$Q65</f>
        <v>FC Barcelona</v>
      </c>
      <c r="G5" s="1">
        <f t="shared" ref="G5:G12" ca="1" si="8">SUMIFS($X$64:$X$135,$V$64:$V$135,$F5)+SUMIFS($Y$64:$Y$135,$W$64:$W$135,$F5)+SUMIFS($AG$64:$AG$135,$V$64:$V$135,$F5)+SUMIFS($AH$64:$AH$135,$W$64:$W$135,$F5)</f>
        <v>145</v>
      </c>
      <c r="H5" s="1">
        <f t="shared" ref="H5:H12" ca="1" si="9">SUMIFS($Y$64:$Y$135,$V$64:$V$135,$F5)+SUMIFS($X$64:$X$135,$W$64:$W$135,$F5)+SUMIFS($AH$64:$AH$135,$V$64:$V$135,$F5)+SUMIFS($AG$64:$AG$135,$W$64:$W$135,$F5)</f>
        <v>195</v>
      </c>
      <c r="I5" s="736">
        <f ca="1">IF(Einstellungen!$G$7,G5-H5,IF(H5=0,IF(G5=0,0,Einstellungen!$F$7),G5/H5))</f>
        <v>-50</v>
      </c>
      <c r="J5" s="1">
        <f t="shared" ref="J5:J12" ca="1" si="10">SUMPRODUCT(($V$64:$V$135=F5)*$AE$64:$AE$135*$AA$64:$AA$135)+SUMPRODUCT(($W$64:$W$135=F5)*$AF$64:$AF$135*$AA$64:$AA$135)</f>
        <v>1</v>
      </c>
      <c r="K5" s="1">
        <f t="shared" ref="K5:K12" ca="1" si="11">SUMPRODUCT(($V$64:$V$135=F5)*$AA$64:$AA$135)+SUMPRODUCT(($W$64:$W$135=F5)*$AA$64:$AA$135)</f>
        <v>4</v>
      </c>
      <c r="L5" s="1">
        <f t="shared" ref="L5:L12" ca="1" si="12">K5-M5-N5</f>
        <v>0</v>
      </c>
      <c r="M5" s="1">
        <f t="shared" ref="M5:M12" ca="1" si="13">SUMPRODUCT(($V$64:$W$135=F5)*($AE$64:$AE$135=$AF$64:$AF$135)*$AA$64:$AA$135)</f>
        <v>1</v>
      </c>
      <c r="N5" s="1">
        <f t="shared" ref="N5:N12" ca="1" si="14">SUMPRODUCT(($V$64:$V$135=F5)*($AE$64:$AE$135&lt;$AF$64:$AF$135)*$AA$64:$AA$135)+SUMPRODUCT(($W$64:$W$135=F5)*($AE$64:$AE$135&gt;$AF$64:$AF$135)*$AA$64:$AA$135)</f>
        <v>3</v>
      </c>
      <c r="O5" s="24"/>
      <c r="P5" s="25"/>
      <c r="V5" s="1"/>
      <c r="W5" s="634" t="str">
        <f t="shared" ref="W5:W12" ca="1" si="15">IFERROR(INDEX($O$17:$V$25,ROW(A2),$W$3),"")</f>
        <v/>
      </c>
      <c r="X5" s="635" t="str">
        <f t="shared" ref="X5:X12" ca="1" si="16">INDEX($W$4:$W$12,MATCH(ROW(A2),$AA$4:$AA$12,0))</f>
        <v/>
      </c>
      <c r="Y5" s="632">
        <f t="shared" ref="Y5:Y12" ca="1" si="17">IF($W5="",99999,VLOOKUP($W5,$C$17:$Z$25,24,0))</f>
        <v>99999</v>
      </c>
      <c r="Z5" s="632">
        <f ca="1">RANK(Y5,Y$4:Y$12,1)+INDEX($E$4:$E$12,MATCH(W5,$F$4:$F$12,0))/100+ROW()/10000</f>
        <v>1.0605</v>
      </c>
      <c r="AA5" s="637">
        <f t="shared" ref="AA5:AA12" ca="1" si="18">RANK($Z5,$Z$4:$Z$12,1)</f>
        <v>2</v>
      </c>
      <c r="AB5" s="634" t="str">
        <f t="shared" ca="1" si="1"/>
        <v/>
      </c>
      <c r="AC5" s="635" t="str">
        <f t="shared" ref="AC5:AC12" ca="1" si="19">INDEX($AB$4:$AB$12,MATCH(ROW(A2),$AF$4:$AF$12,0))</f>
        <v/>
      </c>
      <c r="AD5" s="636">
        <f t="shared" ref="AD5:AD12" ca="1" si="20">IF($AB5="",99999,VLOOKUP($AB5,$C$17:$Z$25,24,0))</f>
        <v>99999</v>
      </c>
      <c r="AE5" s="632">
        <f ca="1">RANK(AD5,AD$4:AD$12,1)+INDEX($E$4:$E$12,MATCH(AB5,$F$4:$F$12,0))/100+ROW()/10000</f>
        <v>1.0605</v>
      </c>
      <c r="AF5" s="632">
        <f t="shared" ref="AF5:AF12" ca="1" si="21">RANK($AE5,$AE$4:$AE$12,1)</f>
        <v>2</v>
      </c>
      <c r="AG5" s="634" t="str">
        <f t="shared" ca="1" si="2"/>
        <v/>
      </c>
      <c r="AH5" s="635" t="str">
        <f t="shared" ref="AH5:AH12" ca="1" si="22">INDEX($AG$4:$AG$12,MATCH(ROW(A2),$AK$4:$AK$12,0))</f>
        <v/>
      </c>
      <c r="AI5" s="636">
        <f t="shared" ref="AI5:AI12" ca="1" si="23">IF($AG5="",99999,VLOOKUP($AG5,$C$17:$Z$25,24,0))</f>
        <v>99999</v>
      </c>
      <c r="AJ5" s="632">
        <f ca="1">RANK(AI5,AI$4:AI$12,1)+INDEX($E$4:$E$12,MATCH(AG5,$F$4:$F$12,0))/100+ROW()/10000</f>
        <v>1.0605</v>
      </c>
      <c r="AK5" s="637">
        <f t="shared" ref="AK5:AK12" ca="1" si="24">RANK($AJ5,$AJ$4:$AJ$12,1)</f>
        <v>2</v>
      </c>
      <c r="AL5" s="635" t="str">
        <f t="shared" ca="1" si="3"/>
        <v/>
      </c>
      <c r="AM5" s="635" t="str">
        <f t="shared" ref="AM5:AM12" ca="1" si="25">INDEX($AL$4:$AL$12,MATCH(ROW(A2),$AP$4:$AP$12,0))</f>
        <v/>
      </c>
      <c r="AN5" s="636">
        <f t="shared" ref="AN5:AN12" ca="1" si="26">IF($AL5="",99999,VLOOKUP($AL5,$C$17:$Z$25,24,0))</f>
        <v>99999</v>
      </c>
      <c r="AO5" s="632">
        <f ca="1">RANK(AN5,AN$4:AN$12,1)+INDEX($E$4:$E$12,MATCH(AL5,$F$4:$F$12,0))/100+ROW()/10000</f>
        <v>1.0605</v>
      </c>
      <c r="AP5" s="637">
        <f t="shared" ref="AP5:AP12" ca="1" si="27">RANK($AO5,$AO$4:$AO$12,1)</f>
        <v>2</v>
      </c>
      <c r="AR5" s="1">
        <f ca="1">IF(Einstellungen!$G$7,$I5,ROUND($I5,Einstellungen!$H$7))</f>
        <v>-50</v>
      </c>
      <c r="AS5" s="1">
        <f t="shared" ref="AS5:AS12" ca="1" si="28">SUMPRODUCT(($W$64:$W$135=F5)*$AE$64:$AE$135*$AA$64:$AA$135)+SUMPRODUCT(($V$64:$V$135=F5)*$AF$64:$AF$135*$AA$64:$AA$135)</f>
        <v>7</v>
      </c>
    </row>
    <row r="6" spans="1:45" s="2" customFormat="1" x14ac:dyDescent="0.2">
      <c r="A6" s="251"/>
      <c r="B6" s="1">
        <v>3</v>
      </c>
      <c r="C6" s="22">
        <f t="shared" ca="1" si="4"/>
        <v>3</v>
      </c>
      <c r="D6" s="13">
        <f t="shared" ca="1" si="5"/>
        <v>3.0059999999999998</v>
      </c>
      <c r="E6" s="263">
        <f t="shared" ca="1" si="6"/>
        <v>3</v>
      </c>
      <c r="F6" s="1" t="str">
        <f t="shared" si="7"/>
        <v>Eintracht Frankfurt</v>
      </c>
      <c r="G6" s="1">
        <f t="shared" ca="1" si="8"/>
        <v>172</v>
      </c>
      <c r="H6" s="1">
        <f t="shared" ca="1" si="9"/>
        <v>159</v>
      </c>
      <c r="I6" s="736">
        <f ca="1">IF(Einstellungen!$G$7,G6-H6,IF(H6=0,IF(G6=0,0,Einstellungen!$F$7),G6/H6))</f>
        <v>13</v>
      </c>
      <c r="J6" s="1">
        <f t="shared" ca="1" si="10"/>
        <v>5</v>
      </c>
      <c r="K6" s="1">
        <f t="shared" ca="1" si="11"/>
        <v>4</v>
      </c>
      <c r="L6" s="1">
        <f t="shared" ca="1" si="12"/>
        <v>2</v>
      </c>
      <c r="M6" s="1">
        <f t="shared" ca="1" si="13"/>
        <v>1</v>
      </c>
      <c r="N6" s="1">
        <f t="shared" ca="1" si="14"/>
        <v>1</v>
      </c>
      <c r="O6" s="24"/>
      <c r="P6" s="25"/>
      <c r="V6" s="1"/>
      <c r="W6" s="634" t="str">
        <f t="shared" ca="1" si="15"/>
        <v/>
      </c>
      <c r="X6" s="635" t="str">
        <f t="shared" ca="1" si="16"/>
        <v/>
      </c>
      <c r="Y6" s="632">
        <f t="shared" ca="1" si="17"/>
        <v>99999</v>
      </c>
      <c r="Z6" s="632">
        <f ca="1">RANK(Y6,Y$4:Y$12,1)+INDEX($E$4:$E$12,MATCH(W6,$F$4:$F$12,0))/100+ROW()/10000</f>
        <v>1.0606</v>
      </c>
      <c r="AA6" s="637">
        <f t="shared" ca="1" si="18"/>
        <v>3</v>
      </c>
      <c r="AB6" s="634" t="str">
        <f t="shared" ca="1" si="1"/>
        <v/>
      </c>
      <c r="AC6" s="635" t="str">
        <f t="shared" ca="1" si="19"/>
        <v/>
      </c>
      <c r="AD6" s="636">
        <f t="shared" ca="1" si="20"/>
        <v>99999</v>
      </c>
      <c r="AE6" s="632">
        <f ca="1">RANK(AD6,AD$4:AD$12,1)+INDEX($E$4:$E$12,MATCH(AB6,$F$4:$F$12,0))/100+ROW()/10000</f>
        <v>1.0606</v>
      </c>
      <c r="AF6" s="632">
        <f t="shared" ca="1" si="21"/>
        <v>3</v>
      </c>
      <c r="AG6" s="634" t="str">
        <f t="shared" ca="1" si="2"/>
        <v/>
      </c>
      <c r="AH6" s="635" t="str">
        <f t="shared" ca="1" si="22"/>
        <v/>
      </c>
      <c r="AI6" s="636">
        <f t="shared" ca="1" si="23"/>
        <v>99999</v>
      </c>
      <c r="AJ6" s="632">
        <f ca="1">RANK(AI6,AI$4:AI$12,1)+INDEX($E$4:$E$12,MATCH(AG6,$F$4:$F$12,0))/100+ROW()/10000</f>
        <v>1.0606</v>
      </c>
      <c r="AK6" s="637">
        <f t="shared" ca="1" si="24"/>
        <v>3</v>
      </c>
      <c r="AL6" s="635" t="str">
        <f t="shared" ca="1" si="3"/>
        <v/>
      </c>
      <c r="AM6" s="635" t="str">
        <f t="shared" ca="1" si="25"/>
        <v/>
      </c>
      <c r="AN6" s="636">
        <f t="shared" ca="1" si="26"/>
        <v>99999</v>
      </c>
      <c r="AO6" s="632">
        <f ca="1">RANK(AN6,AN$4:AN$12,1)+INDEX($E$4:$E$12,MATCH(AL6,$F$4:$F$12,0))/100+ROW()/10000</f>
        <v>1.0606</v>
      </c>
      <c r="AP6" s="637">
        <f t="shared" ca="1" si="27"/>
        <v>3</v>
      </c>
      <c r="AR6" s="1">
        <f ca="1">IF(Einstellungen!$G$7,$I6,ROUND($I6,Einstellungen!$H$7))</f>
        <v>13</v>
      </c>
      <c r="AS6" s="1">
        <f t="shared" ca="1" si="28"/>
        <v>3</v>
      </c>
    </row>
    <row r="7" spans="1:45" s="2" customFormat="1" x14ac:dyDescent="0.2">
      <c r="A7" s="251"/>
      <c r="B7" s="1">
        <v>4</v>
      </c>
      <c r="C7" s="22">
        <f t="shared" ca="1" si="4"/>
        <v>4</v>
      </c>
      <c r="D7" s="13">
        <f t="shared" ca="1" si="5"/>
        <v>4.0069999999999997</v>
      </c>
      <c r="E7" s="263">
        <f t="shared" ca="1" si="6"/>
        <v>4</v>
      </c>
      <c r="F7" s="1" t="str">
        <f t="shared" si="7"/>
        <v>Maibach 1822 eV</v>
      </c>
      <c r="G7" s="1">
        <f t="shared" ca="1" si="8"/>
        <v>170</v>
      </c>
      <c r="H7" s="1">
        <f t="shared" ca="1" si="9"/>
        <v>191</v>
      </c>
      <c r="I7" s="736">
        <f ca="1">IF(Einstellungen!$G$7,G7-H7,IF(H7=0,IF(G7=0,0,Einstellungen!$F$7),G7/H7))</f>
        <v>-21</v>
      </c>
      <c r="J7" s="1">
        <f t="shared" ca="1" si="10"/>
        <v>2</v>
      </c>
      <c r="K7" s="1">
        <f t="shared" ca="1" si="11"/>
        <v>4</v>
      </c>
      <c r="L7" s="1">
        <f t="shared" ca="1" si="12"/>
        <v>0</v>
      </c>
      <c r="M7" s="1">
        <f t="shared" ca="1" si="13"/>
        <v>2</v>
      </c>
      <c r="N7" s="1">
        <f t="shared" ca="1" si="14"/>
        <v>2</v>
      </c>
      <c r="O7" s="24"/>
      <c r="P7" s="25"/>
      <c r="V7" s="1"/>
      <c r="W7" s="634" t="str">
        <f t="shared" ca="1" si="15"/>
        <v/>
      </c>
      <c r="X7" s="635" t="str">
        <f t="shared" ca="1" si="16"/>
        <v/>
      </c>
      <c r="Y7" s="632">
        <f t="shared" ca="1" si="17"/>
        <v>99999</v>
      </c>
      <c r="Z7" s="632">
        <f ca="1">RANK(Y7,Y$4:Y$12,1)+INDEX($E$4:$E$12,MATCH(W7,$F$4:$F$12,0))/100+ROW()/10000</f>
        <v>1.0607</v>
      </c>
      <c r="AA7" s="637">
        <f t="shared" ca="1" si="18"/>
        <v>4</v>
      </c>
      <c r="AB7" s="634" t="str">
        <f t="shared" ca="1" si="1"/>
        <v/>
      </c>
      <c r="AC7" s="635" t="str">
        <f t="shared" ca="1" si="19"/>
        <v/>
      </c>
      <c r="AD7" s="636">
        <f t="shared" ca="1" si="20"/>
        <v>99999</v>
      </c>
      <c r="AE7" s="632">
        <f ca="1">RANK(AD7,AD$4:AD$12,1)+INDEX($E$4:$E$12,MATCH(AB7,$F$4:$F$12,0))/100+ROW()/10000</f>
        <v>1.0607</v>
      </c>
      <c r="AF7" s="632">
        <f t="shared" ca="1" si="21"/>
        <v>4</v>
      </c>
      <c r="AG7" s="634" t="str">
        <f t="shared" ca="1" si="2"/>
        <v/>
      </c>
      <c r="AH7" s="635" t="str">
        <f t="shared" ca="1" si="22"/>
        <v/>
      </c>
      <c r="AI7" s="636">
        <f t="shared" ca="1" si="23"/>
        <v>99999</v>
      </c>
      <c r="AJ7" s="632">
        <f ca="1">RANK(AI7,AI$4:AI$12,1)+INDEX($E$4:$E$12,MATCH(AG7,$F$4:$F$12,0))/100+ROW()/10000</f>
        <v>1.0607</v>
      </c>
      <c r="AK7" s="637">
        <f t="shared" ca="1" si="24"/>
        <v>4</v>
      </c>
      <c r="AL7" s="635" t="str">
        <f t="shared" ca="1" si="3"/>
        <v/>
      </c>
      <c r="AM7" s="635" t="str">
        <f t="shared" ca="1" si="25"/>
        <v/>
      </c>
      <c r="AN7" s="636">
        <f t="shared" ca="1" si="26"/>
        <v>99999</v>
      </c>
      <c r="AO7" s="632">
        <f ca="1">RANK(AN7,AN$4:AN$12,1)+INDEX($E$4:$E$12,MATCH(AL7,$F$4:$F$12,0))/100+ROW()/10000</f>
        <v>1.0607</v>
      </c>
      <c r="AP7" s="637">
        <f t="shared" ca="1" si="27"/>
        <v>4</v>
      </c>
      <c r="AR7" s="1">
        <f ca="1">IF(Einstellungen!$G$7,$I7,ROUND($I7,Einstellungen!$H$7))</f>
        <v>-21</v>
      </c>
      <c r="AS7" s="1">
        <f t="shared" ca="1" si="28"/>
        <v>6</v>
      </c>
    </row>
    <row r="8" spans="1:45" s="2" customFormat="1" x14ac:dyDescent="0.2">
      <c r="A8" s="251"/>
      <c r="B8" s="1">
        <v>5</v>
      </c>
      <c r="C8" s="22">
        <f t="shared" ca="1" si="4"/>
        <v>2</v>
      </c>
      <c r="D8" s="13">
        <f t="shared" ca="1" si="5"/>
        <v>2.008</v>
      </c>
      <c r="E8" s="263">
        <f t="shared" ca="1" si="6"/>
        <v>2</v>
      </c>
      <c r="F8" s="1" t="str">
        <f t="shared" si="7"/>
        <v>VFB Essenheim</v>
      </c>
      <c r="G8" s="1">
        <f t="shared" ca="1" si="8"/>
        <v>173</v>
      </c>
      <c r="H8" s="1">
        <f t="shared" ca="1" si="9"/>
        <v>159</v>
      </c>
      <c r="I8" s="736">
        <f ca="1">IF(Einstellungen!$G$7,G8-H8,IF(H8=0,IF(G8=0,0,Einstellungen!$F$7),G8/H8))</f>
        <v>14</v>
      </c>
      <c r="J8" s="1">
        <f t="shared" ca="1" si="10"/>
        <v>5</v>
      </c>
      <c r="K8" s="1">
        <f t="shared" ca="1" si="11"/>
        <v>4</v>
      </c>
      <c r="L8" s="1">
        <f t="shared" ca="1" si="12"/>
        <v>1</v>
      </c>
      <c r="M8" s="1">
        <f t="shared" ca="1" si="13"/>
        <v>3</v>
      </c>
      <c r="N8" s="1">
        <f t="shared" ca="1" si="14"/>
        <v>0</v>
      </c>
      <c r="P8" s="25"/>
      <c r="W8" s="634" t="str">
        <f t="shared" ca="1" si="15"/>
        <v/>
      </c>
      <c r="X8" s="635" t="str">
        <f t="shared" ca="1" si="16"/>
        <v/>
      </c>
      <c r="Y8" s="632">
        <f t="shared" ca="1" si="17"/>
        <v>99999</v>
      </c>
      <c r="Z8" s="632">
        <f t="shared" ref="Z8:Z12" ca="1" si="29">RANK(Y8,Y$4:Y$12,1)+INDEX($E$4:$E$12,MATCH(W8,$F$4:$F$12,0))/100+ROW()/10000</f>
        <v>1.0608</v>
      </c>
      <c r="AA8" s="637">
        <f t="shared" ca="1" si="18"/>
        <v>5</v>
      </c>
      <c r="AB8" s="634" t="str">
        <f t="shared" ca="1" si="1"/>
        <v/>
      </c>
      <c r="AC8" s="635" t="str">
        <f t="shared" ca="1" si="19"/>
        <v/>
      </c>
      <c r="AD8" s="636">
        <f t="shared" ca="1" si="20"/>
        <v>99999</v>
      </c>
      <c r="AE8" s="632">
        <f t="shared" ref="AE8:AE12" ca="1" si="30">RANK(AD8,AD$4:AD$12,1)+INDEX($E$4:$E$12,MATCH(AB8,$F$4:$F$12,0))/100+ROW()/10000</f>
        <v>1.0608</v>
      </c>
      <c r="AF8" s="632">
        <f t="shared" ca="1" si="21"/>
        <v>5</v>
      </c>
      <c r="AG8" s="634" t="str">
        <f t="shared" ca="1" si="2"/>
        <v/>
      </c>
      <c r="AH8" s="635" t="str">
        <f t="shared" ca="1" si="22"/>
        <v/>
      </c>
      <c r="AI8" s="636">
        <f t="shared" ca="1" si="23"/>
        <v>99999</v>
      </c>
      <c r="AJ8" s="632">
        <f t="shared" ref="AJ8:AJ12" ca="1" si="31">RANK(AI8,AI$4:AI$12,1)+INDEX($E$4:$E$12,MATCH(AG8,$F$4:$F$12,0))/100+ROW()/10000</f>
        <v>1.0608</v>
      </c>
      <c r="AK8" s="637">
        <f t="shared" ca="1" si="24"/>
        <v>5</v>
      </c>
      <c r="AL8" s="635" t="str">
        <f t="shared" ca="1" si="3"/>
        <v/>
      </c>
      <c r="AM8" s="635" t="str">
        <f t="shared" ca="1" si="25"/>
        <v/>
      </c>
      <c r="AN8" s="636">
        <f t="shared" ca="1" si="26"/>
        <v>99999</v>
      </c>
      <c r="AO8" s="632">
        <f t="shared" ref="AO8:AO12" ca="1" si="32">RANK(AN8,AN$4:AN$12,1)+INDEX($E$4:$E$12,MATCH(AL8,$F$4:$F$12,0))/100+ROW()/10000</f>
        <v>1.0608</v>
      </c>
      <c r="AP8" s="637">
        <f t="shared" ca="1" si="27"/>
        <v>5</v>
      </c>
      <c r="AR8" s="1">
        <f ca="1">IF(Einstellungen!$G$7,$I8,ROUND($I8,Einstellungen!$H$7))</f>
        <v>14</v>
      </c>
      <c r="AS8" s="1">
        <f t="shared" ca="1" si="28"/>
        <v>3</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36">
        <f ca="1">IF(Einstellungen!$G$7,G9-H9,IF(H9=0,IF(G9=0,0,Einstellungen!$F$7),G9/H9))</f>
        <v>0</v>
      </c>
      <c r="J9" s="1">
        <f t="shared" ca="1" si="10"/>
        <v>0</v>
      </c>
      <c r="K9" s="1">
        <f t="shared" ca="1" si="11"/>
        <v>0</v>
      </c>
      <c r="L9" s="1">
        <f t="shared" ca="1" si="12"/>
        <v>0</v>
      </c>
      <c r="M9" s="1">
        <f t="shared" ca="1" si="13"/>
        <v>0</v>
      </c>
      <c r="N9" s="1">
        <f t="shared" ca="1" si="14"/>
        <v>0</v>
      </c>
      <c r="P9" s="25"/>
      <c r="W9" s="634" t="str">
        <f t="shared" ca="1" si="15"/>
        <v/>
      </c>
      <c r="X9" s="635" t="str">
        <f t="shared" ca="1" si="16"/>
        <v/>
      </c>
      <c r="Y9" s="632">
        <f t="shared" ca="1" si="17"/>
        <v>99999</v>
      </c>
      <c r="Z9" s="632">
        <f t="shared" ca="1" si="29"/>
        <v>1.0609</v>
      </c>
      <c r="AA9" s="637">
        <f t="shared" ca="1" si="18"/>
        <v>6</v>
      </c>
      <c r="AB9" s="634" t="str">
        <f t="shared" ca="1" si="1"/>
        <v/>
      </c>
      <c r="AC9" s="635" t="str">
        <f t="shared" ca="1" si="19"/>
        <v/>
      </c>
      <c r="AD9" s="636">
        <f t="shared" ca="1" si="20"/>
        <v>99999</v>
      </c>
      <c r="AE9" s="632">
        <f t="shared" ca="1" si="30"/>
        <v>1.0609</v>
      </c>
      <c r="AF9" s="632">
        <f t="shared" ca="1" si="21"/>
        <v>6</v>
      </c>
      <c r="AG9" s="634" t="str">
        <f t="shared" ca="1" si="2"/>
        <v/>
      </c>
      <c r="AH9" s="635" t="str">
        <f t="shared" ca="1" si="22"/>
        <v/>
      </c>
      <c r="AI9" s="636">
        <f t="shared" ca="1" si="23"/>
        <v>99999</v>
      </c>
      <c r="AJ9" s="632">
        <f t="shared" ca="1" si="31"/>
        <v>1.0609</v>
      </c>
      <c r="AK9" s="637">
        <f t="shared" ca="1" si="24"/>
        <v>6</v>
      </c>
      <c r="AL9" s="635" t="str">
        <f t="shared" ca="1" si="3"/>
        <v/>
      </c>
      <c r="AM9" s="635" t="str">
        <f t="shared" ca="1" si="25"/>
        <v/>
      </c>
      <c r="AN9" s="636">
        <f t="shared" ca="1" si="26"/>
        <v>99999</v>
      </c>
      <c r="AO9" s="632">
        <f t="shared" ca="1" si="32"/>
        <v>1.0609</v>
      </c>
      <c r="AP9" s="637">
        <f t="shared" ca="1" si="27"/>
        <v>6</v>
      </c>
      <c r="AR9" s="1">
        <f ca="1">IF(Einstellungen!$G$7,$I9,ROUND($I9,Einstellungen!$H$7))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36">
        <f ca="1">IF(Einstellungen!$G$7,G10-H10,IF(H10=0,IF(G10=0,0,Einstellungen!$F$7),G10/H10))</f>
        <v>0</v>
      </c>
      <c r="J10" s="1">
        <f t="shared" ca="1" si="10"/>
        <v>0</v>
      </c>
      <c r="K10" s="1">
        <f t="shared" ca="1" si="11"/>
        <v>0</v>
      </c>
      <c r="L10" s="1">
        <f t="shared" ca="1" si="12"/>
        <v>0</v>
      </c>
      <c r="M10" s="1">
        <f t="shared" ca="1" si="13"/>
        <v>0</v>
      </c>
      <c r="N10" s="1">
        <f t="shared" ca="1" si="14"/>
        <v>0</v>
      </c>
      <c r="P10" s="25"/>
      <c r="W10" s="634" t="str">
        <f t="shared" ca="1" si="15"/>
        <v/>
      </c>
      <c r="X10" s="635" t="str">
        <f t="shared" ca="1" si="16"/>
        <v/>
      </c>
      <c r="Y10" s="632">
        <f t="shared" ca="1" si="17"/>
        <v>99999</v>
      </c>
      <c r="Z10" s="632">
        <f t="shared" ca="1" si="29"/>
        <v>1.0609999999999999</v>
      </c>
      <c r="AA10" s="637">
        <f t="shared" ca="1" si="18"/>
        <v>7</v>
      </c>
      <c r="AB10" s="634" t="str">
        <f t="shared" ca="1" si="1"/>
        <v/>
      </c>
      <c r="AC10" s="635" t="str">
        <f t="shared" ca="1" si="19"/>
        <v/>
      </c>
      <c r="AD10" s="636">
        <f t="shared" ca="1" si="20"/>
        <v>99999</v>
      </c>
      <c r="AE10" s="632">
        <f t="shared" ca="1" si="30"/>
        <v>1.0609999999999999</v>
      </c>
      <c r="AF10" s="632">
        <f t="shared" ca="1" si="21"/>
        <v>7</v>
      </c>
      <c r="AG10" s="634" t="str">
        <f t="shared" ca="1" si="2"/>
        <v/>
      </c>
      <c r="AH10" s="635" t="str">
        <f t="shared" ca="1" si="22"/>
        <v/>
      </c>
      <c r="AI10" s="636">
        <f t="shared" ca="1" si="23"/>
        <v>99999</v>
      </c>
      <c r="AJ10" s="632">
        <f t="shared" ca="1" si="31"/>
        <v>1.0609999999999999</v>
      </c>
      <c r="AK10" s="637">
        <f t="shared" ca="1" si="24"/>
        <v>7</v>
      </c>
      <c r="AL10" s="635" t="str">
        <f t="shared" ca="1" si="3"/>
        <v/>
      </c>
      <c r="AM10" s="635" t="str">
        <f t="shared" ca="1" si="25"/>
        <v/>
      </c>
      <c r="AN10" s="636">
        <f t="shared" ca="1" si="26"/>
        <v>99999</v>
      </c>
      <c r="AO10" s="632">
        <f t="shared" ca="1" si="32"/>
        <v>1.0609999999999999</v>
      </c>
      <c r="AP10" s="637">
        <f t="shared" ca="1" si="27"/>
        <v>7</v>
      </c>
      <c r="AR10" s="1">
        <f ca="1">IF(Einstellungen!$G$7,$I10,ROUND($I10,Einstellungen!$H$7))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36">
        <f ca="1">IF(Einstellungen!$G$7,G11-H11,IF(H11=0,IF(G11=0,0,Einstellungen!$F$7),G11/H11))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34" t="str">
        <f t="shared" ca="1" si="15"/>
        <v/>
      </c>
      <c r="X11" s="635" t="str">
        <f t="shared" ca="1" si="16"/>
        <v/>
      </c>
      <c r="Y11" s="632">
        <f t="shared" ca="1" si="17"/>
        <v>99999</v>
      </c>
      <c r="Z11" s="632">
        <f t="shared" ca="1" si="29"/>
        <v>1.0611000000000002</v>
      </c>
      <c r="AA11" s="637">
        <f t="shared" ca="1" si="18"/>
        <v>8</v>
      </c>
      <c r="AB11" s="634" t="str">
        <f t="shared" ca="1" si="1"/>
        <v/>
      </c>
      <c r="AC11" s="635" t="str">
        <f t="shared" ca="1" si="19"/>
        <v/>
      </c>
      <c r="AD11" s="636">
        <f t="shared" ca="1" si="20"/>
        <v>99999</v>
      </c>
      <c r="AE11" s="632">
        <f t="shared" ca="1" si="30"/>
        <v>1.0611000000000002</v>
      </c>
      <c r="AF11" s="632">
        <f t="shared" ca="1" si="21"/>
        <v>8</v>
      </c>
      <c r="AG11" s="634" t="str">
        <f t="shared" ca="1" si="2"/>
        <v/>
      </c>
      <c r="AH11" s="635" t="str">
        <f t="shared" ca="1" si="22"/>
        <v/>
      </c>
      <c r="AI11" s="636">
        <f t="shared" ca="1" si="23"/>
        <v>99999</v>
      </c>
      <c r="AJ11" s="632">
        <f t="shared" ca="1" si="31"/>
        <v>1.0611000000000002</v>
      </c>
      <c r="AK11" s="637">
        <f t="shared" ca="1" si="24"/>
        <v>8</v>
      </c>
      <c r="AL11" s="635" t="str">
        <f t="shared" ca="1" si="3"/>
        <v/>
      </c>
      <c r="AM11" s="635" t="str">
        <f t="shared" ca="1" si="25"/>
        <v/>
      </c>
      <c r="AN11" s="636">
        <f t="shared" ca="1" si="26"/>
        <v>99999</v>
      </c>
      <c r="AO11" s="632">
        <f t="shared" ca="1" si="32"/>
        <v>1.0611000000000002</v>
      </c>
      <c r="AP11" s="637">
        <f t="shared" ca="1" si="27"/>
        <v>8</v>
      </c>
      <c r="AR11" s="1">
        <f ca="1">IF(Einstellungen!$G$7,$I11,ROUND($I11,Einstellungen!$H$7))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36">
        <f ca="1">IF(Einstellungen!$G$7,G12-H12,IF(H12=0,IF(G12=0,0,Einstellungen!$F$7),G12/H12))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38" t="str">
        <f t="shared" ca="1" si="15"/>
        <v/>
      </c>
      <c r="X12" s="639" t="str">
        <f t="shared" ca="1" si="16"/>
        <v/>
      </c>
      <c r="Y12" s="640">
        <f t="shared" ca="1" si="17"/>
        <v>99999</v>
      </c>
      <c r="Z12" s="640">
        <f t="shared" ca="1" si="29"/>
        <v>1.0612000000000001</v>
      </c>
      <c r="AA12" s="641">
        <f t="shared" ca="1" si="18"/>
        <v>9</v>
      </c>
      <c r="AB12" s="638" t="str">
        <f t="shared" ca="1" si="1"/>
        <v/>
      </c>
      <c r="AC12" s="639" t="str">
        <f t="shared" ca="1" si="19"/>
        <v/>
      </c>
      <c r="AD12" s="642">
        <f t="shared" ca="1" si="20"/>
        <v>99999</v>
      </c>
      <c r="AE12" s="640">
        <f t="shared" ca="1" si="30"/>
        <v>1.0612000000000001</v>
      </c>
      <c r="AF12" s="640">
        <f t="shared" ca="1" si="21"/>
        <v>9</v>
      </c>
      <c r="AG12" s="638" t="str">
        <f t="shared" ca="1" si="2"/>
        <v/>
      </c>
      <c r="AH12" s="639" t="str">
        <f t="shared" ca="1" si="22"/>
        <v/>
      </c>
      <c r="AI12" s="642">
        <f t="shared" ca="1" si="23"/>
        <v>99999</v>
      </c>
      <c r="AJ12" s="640">
        <f t="shared" ca="1" si="31"/>
        <v>1.0612000000000001</v>
      </c>
      <c r="AK12" s="641">
        <f t="shared" ca="1" si="24"/>
        <v>9</v>
      </c>
      <c r="AL12" s="639" t="str">
        <f t="shared" ca="1" si="3"/>
        <v/>
      </c>
      <c r="AM12" s="639" t="str">
        <f t="shared" ca="1" si="25"/>
        <v/>
      </c>
      <c r="AN12" s="642">
        <f t="shared" ca="1" si="26"/>
        <v>99999</v>
      </c>
      <c r="AO12" s="640">
        <f t="shared" ca="1" si="32"/>
        <v>1.0612000000000001</v>
      </c>
      <c r="AP12" s="641">
        <f t="shared" ca="1" si="27"/>
        <v>9</v>
      </c>
      <c r="AR12" s="1">
        <f ca="1">IF(Einstellungen!$G$7,$I12,ROUND($I12,Einstellungen!$H$7))</f>
        <v>0</v>
      </c>
      <c r="AS12" s="1">
        <f t="shared" ca="1" si="28"/>
        <v>0</v>
      </c>
    </row>
    <row r="13" spans="1:45" s="2" customFormat="1" ht="12.75" thickTop="1" x14ac:dyDescent="0.2">
      <c r="B13" s="3">
        <f>$F$13*($F$13-1)</f>
        <v>20</v>
      </c>
      <c r="C13" s="3"/>
      <c r="D13" s="3"/>
      <c r="E13" s="3"/>
      <c r="F13" s="3">
        <f>9-COUNTBLANK($F$4:$F$12)</f>
        <v>5</v>
      </c>
      <c r="G13" s="3"/>
      <c r="H13" s="3"/>
      <c r="I13" s="3"/>
      <c r="J13" s="3"/>
      <c r="K13" s="27">
        <f ca="1">QUOTIENT(SUM(K4:K12),2)</f>
        <v>10</v>
      </c>
      <c r="L13" s="1"/>
      <c r="M13" s="1"/>
      <c r="N13" s="1"/>
      <c r="O13" s="1"/>
      <c r="P13" s="1"/>
      <c r="Q13" s="1"/>
      <c r="R13" s="1"/>
      <c r="S13" s="1"/>
      <c r="T13" s="1"/>
      <c r="U13" s="1"/>
      <c r="V13" s="1"/>
      <c r="Y13" s="1"/>
      <c r="Z13" s="1"/>
    </row>
    <row r="14" spans="1:45" s="2" customFormat="1" x14ac:dyDescent="0.2">
      <c r="B14" s="14">
        <f>MAX($B$13,Calc2!$B$13,Calc3!$B$13,Calc4!$B$13)/2*4</f>
        <v>40</v>
      </c>
      <c r="D14" s="1" t="s">
        <v>316</v>
      </c>
      <c r="F14" s="14">
        <f>MAX($F$13,Calc2!$F$13,Calc3!$F$13,Calc4!$F$13)</f>
        <v>5</v>
      </c>
      <c r="O14" s="1"/>
      <c r="P14" s="1"/>
      <c r="Q14" s="1"/>
      <c r="R14" s="1"/>
      <c r="S14" s="1"/>
      <c r="T14" s="1"/>
      <c r="U14" s="1"/>
      <c r="V14" s="1"/>
      <c r="W14" s="1"/>
      <c r="Y14" s="1"/>
      <c r="Z14" s="1"/>
    </row>
    <row r="15" spans="1:45" s="2" customFormat="1" x14ac:dyDescent="0.2">
      <c r="O15" s="12"/>
      <c r="AD15" s="997" t="s">
        <v>179</v>
      </c>
      <c r="AE15" s="998"/>
      <c r="AF15" s="998"/>
      <c r="AG15" s="998"/>
      <c r="AH15" s="999"/>
      <c r="AI15" s="2" t="b">
        <v>0</v>
      </c>
      <c r="AK15" s="251"/>
    </row>
    <row r="16" spans="1:45" s="2" customFormat="1" ht="15.75" thickBot="1" x14ac:dyDescent="0.25">
      <c r="B16" s="13" t="s">
        <v>5</v>
      </c>
      <c r="C16" s="697" t="s">
        <v>97</v>
      </c>
      <c r="D16" s="697" t="s">
        <v>102</v>
      </c>
      <c r="E16" s="697" t="s">
        <v>103</v>
      </c>
      <c r="F16" s="697" t="s">
        <v>104</v>
      </c>
      <c r="G16" s="697" t="s">
        <v>105</v>
      </c>
      <c r="H16" s="697" t="s">
        <v>106</v>
      </c>
      <c r="I16" s="697" t="s">
        <v>107</v>
      </c>
      <c r="J16" s="697" t="s">
        <v>108</v>
      </c>
      <c r="K16" s="697"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1. FC Riedwald</v>
      </c>
      <c r="D17" s="1">
        <f t="shared" ref="D17:G25" ca="1" si="33">K4</f>
        <v>4</v>
      </c>
      <c r="E17" s="1">
        <f t="shared" ca="1" si="33"/>
        <v>3</v>
      </c>
      <c r="F17" s="1">
        <f t="shared" ca="1" si="33"/>
        <v>1</v>
      </c>
      <c r="G17" s="1">
        <f t="shared" ca="1" si="33"/>
        <v>0</v>
      </c>
      <c r="H17" s="1">
        <f t="shared" ref="H17:K25" ca="1" si="34">G4</f>
        <v>193</v>
      </c>
      <c r="I17" s="1">
        <f t="shared" ca="1" si="34"/>
        <v>149</v>
      </c>
      <c r="J17" s="13">
        <f t="shared" ca="1" si="34"/>
        <v>44</v>
      </c>
      <c r="K17" s="1">
        <f t="shared" ca="1" si="34"/>
        <v>7</v>
      </c>
      <c r="L17" s="29">
        <f ca="1">K17*$F$64+(J17+$H$65)*$F$65</f>
        <v>7544000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Vorrunde!$AQ12</f>
        <v>0</v>
      </c>
      <c r="Z17" s="1">
        <f ca="1">RANK($W17,$W$17:$W$25)+(9-$Y17)/10</f>
        <v>1.9</v>
      </c>
      <c r="AA17" s="1">
        <f ca="1">SUM(E30:BP30)</f>
        <v>0</v>
      </c>
      <c r="AB17" s="1">
        <f ca="1">SUM(E41:BP41)</f>
        <v>0</v>
      </c>
      <c r="AC17" s="1"/>
      <c r="AD17" s="257">
        <f ca="1">RANK($K17,$K$17:$K$25)</f>
        <v>1</v>
      </c>
      <c r="AE17" s="29">
        <f ca="1">(J17+$H$65)*$F$65</f>
        <v>544000</v>
      </c>
      <c r="AF17" s="1">
        <f ca="1">RANK($AE17,$AE$17:$AE$25)</f>
        <v>1</v>
      </c>
      <c r="AG17" s="1">
        <f ca="1">RANK($W17,$W$17:$W$25)</f>
        <v>1</v>
      </c>
      <c r="AH17" s="259">
        <f ca="1">AD17+AG17/100+AF17/10000+(10-Y17)/1000000</f>
        <v>1.0101100000000001</v>
      </c>
      <c r="AI17" s="1"/>
    </row>
    <row r="18" spans="2:80" s="2" customFormat="1" x14ac:dyDescent="0.2">
      <c r="C18" s="2" t="str">
        <f t="shared" ref="C18:C25" si="43">$Q65</f>
        <v>FC Barcelona</v>
      </c>
      <c r="D18" s="1">
        <f t="shared" ca="1" si="33"/>
        <v>4</v>
      </c>
      <c r="E18" s="1">
        <f t="shared" ca="1" si="33"/>
        <v>0</v>
      </c>
      <c r="F18" s="1">
        <f t="shared" ca="1" si="33"/>
        <v>1</v>
      </c>
      <c r="G18" s="1">
        <f t="shared" ca="1" si="33"/>
        <v>3</v>
      </c>
      <c r="H18" s="1">
        <f t="shared" ca="1" si="34"/>
        <v>145</v>
      </c>
      <c r="I18" s="1">
        <f t="shared" ca="1" si="34"/>
        <v>195</v>
      </c>
      <c r="J18" s="13">
        <f t="shared" ca="1" si="34"/>
        <v>-50</v>
      </c>
      <c r="K18" s="1">
        <f t="shared" ca="1" si="34"/>
        <v>1</v>
      </c>
      <c r="L18" s="29">
        <f t="shared" ref="L18:L25" ca="1" si="44">K18*$F$64+(J18+$H$65)*$F$65</f>
        <v>1450000</v>
      </c>
      <c r="M18" s="14">
        <f t="shared" ref="M18:M25" ca="1" si="45">IF($AI$15,COUNTIF($K$17:$K$25,K18),COUNTIF($L$17:$L$25,L18))</f>
        <v>1</v>
      </c>
      <c r="N18" s="14">
        <f t="array" aca="1" ref="N18" ca="1">IF($AI$15,SUM(($K$17:$K$25&gt;=K18)/COUNTIF($K$17:$K$25,$K$17:$K$25)),SUM(($L$17:$L$25&gt;=L18)/COUNTIF($L$17:$L$25,$L$17:$L$25)))</f>
        <v>5</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5.0108999999999995</v>
      </c>
      <c r="Y18" s="13">
        <f>Vorrunde!$AQ13</f>
        <v>0</v>
      </c>
      <c r="Z18" s="1">
        <f t="shared" ref="Z18:Z25" ca="1" si="48">RANK($W18,$W$17:$W$25)+(9-$Y18)/10</f>
        <v>1.9</v>
      </c>
      <c r="AA18" s="1">
        <f t="shared" ref="AA18:AA25" ca="1" si="49">SUM(E31:BP31)</f>
        <v>0</v>
      </c>
      <c r="AB18" s="1">
        <f t="shared" ref="AB18:AB25" ca="1" si="50">SUM(E42:BP42)</f>
        <v>0</v>
      </c>
      <c r="AC18" s="1"/>
      <c r="AD18" s="257">
        <f t="shared" ref="AD18:AD25" ca="1" si="51">RANK($K18,$K$17:$K$25)</f>
        <v>5</v>
      </c>
      <c r="AE18" s="29">
        <f t="shared" ref="AE18:AE25" ca="1" si="52">(J18+$H$65)*$F$65</f>
        <v>450000</v>
      </c>
      <c r="AF18" s="1">
        <f t="shared" ref="AF18:AF25" ca="1" si="53">RANK($AE18,$AE$17:$AE$25)</f>
        <v>9</v>
      </c>
      <c r="AG18" s="1">
        <f t="shared" ref="AG18:AG25" ca="1" si="54">RANK($W18,$W$17:$W$25)</f>
        <v>1</v>
      </c>
      <c r="AH18" s="260">
        <f t="shared" ref="AH18:AH25" ca="1" si="55">AD18+AG18/100+AF18/10000+(10-Y18)/1000000</f>
        <v>5.0109099999999991</v>
      </c>
      <c r="AI18" s="1"/>
    </row>
    <row r="19" spans="2:80" s="2" customFormat="1" x14ac:dyDescent="0.2">
      <c r="C19" s="2" t="str">
        <f t="shared" si="43"/>
        <v>Eintracht Frankfurt</v>
      </c>
      <c r="D19" s="1">
        <f t="shared" ca="1" si="33"/>
        <v>4</v>
      </c>
      <c r="E19" s="1">
        <f t="shared" ca="1" si="33"/>
        <v>2</v>
      </c>
      <c r="F19" s="1">
        <f t="shared" ca="1" si="33"/>
        <v>1</v>
      </c>
      <c r="G19" s="1">
        <f t="shared" ca="1" si="33"/>
        <v>1</v>
      </c>
      <c r="H19" s="1">
        <f t="shared" ca="1" si="34"/>
        <v>172</v>
      </c>
      <c r="I19" s="1">
        <f t="shared" ca="1" si="34"/>
        <v>159</v>
      </c>
      <c r="J19" s="13">
        <f t="shared" ca="1" si="34"/>
        <v>13</v>
      </c>
      <c r="K19" s="1">
        <f t="shared" ca="1" si="34"/>
        <v>5</v>
      </c>
      <c r="L19" s="29">
        <f t="shared" ca="1" si="44"/>
        <v>5513000</v>
      </c>
      <c r="M19" s="14">
        <f t="shared" ca="1" si="45"/>
        <v>1</v>
      </c>
      <c r="N19" s="14">
        <f t="array" aca="1" ref="N19" ca="1">IF($AI$15,SUM(($K$17:$K$25&gt;=K19)/COUNTIF($K$17:$K$25,$K$17:$K$25)),SUM(($L$17:$L$25&gt;=L19)/COUNTIF($L$17:$L$25,$L$17:$L$25)))</f>
        <v>3</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3.0108999999999999</v>
      </c>
      <c r="Y19" s="13">
        <f>Vorrunde!$AQ14</f>
        <v>0</v>
      </c>
      <c r="Z19" s="1">
        <f t="shared" ca="1" si="48"/>
        <v>1.9</v>
      </c>
      <c r="AA19" s="1">
        <f t="shared" ca="1" si="49"/>
        <v>0</v>
      </c>
      <c r="AB19" s="1">
        <f t="shared" ca="1" si="50"/>
        <v>0</v>
      </c>
      <c r="AC19" s="1"/>
      <c r="AD19" s="257">
        <f t="shared" ca="1" si="51"/>
        <v>2</v>
      </c>
      <c r="AE19" s="29">
        <f t="shared" ca="1" si="52"/>
        <v>513000</v>
      </c>
      <c r="AF19" s="1">
        <f t="shared" ca="1" si="53"/>
        <v>3</v>
      </c>
      <c r="AG19" s="1">
        <f t="shared" ca="1" si="54"/>
        <v>1</v>
      </c>
      <c r="AH19" s="260">
        <f t="shared" ca="1" si="55"/>
        <v>2.01031</v>
      </c>
      <c r="AI19" s="1"/>
    </row>
    <row r="20" spans="2:80" s="2" customFormat="1" x14ac:dyDescent="0.2">
      <c r="C20" s="2" t="str">
        <f t="shared" si="43"/>
        <v>Maibach 1822 eV</v>
      </c>
      <c r="D20" s="1">
        <f t="shared" ca="1" si="33"/>
        <v>4</v>
      </c>
      <c r="E20" s="1">
        <f t="shared" ca="1" si="33"/>
        <v>0</v>
      </c>
      <c r="F20" s="1">
        <f t="shared" ca="1" si="33"/>
        <v>2</v>
      </c>
      <c r="G20" s="1">
        <f t="shared" ca="1" si="33"/>
        <v>2</v>
      </c>
      <c r="H20" s="1">
        <f t="shared" ca="1" si="34"/>
        <v>170</v>
      </c>
      <c r="I20" s="1">
        <f t="shared" ca="1" si="34"/>
        <v>191</v>
      </c>
      <c r="J20" s="13">
        <f t="shared" ca="1" si="34"/>
        <v>-21</v>
      </c>
      <c r="K20" s="1">
        <f t="shared" ca="1" si="34"/>
        <v>2</v>
      </c>
      <c r="L20" s="29">
        <f t="shared" ca="1" si="44"/>
        <v>2479000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Vorrunde!$AQ15</f>
        <v>0</v>
      </c>
      <c r="Z20" s="1">
        <f t="shared" ca="1" si="48"/>
        <v>1.9</v>
      </c>
      <c r="AA20" s="1">
        <f t="shared" ca="1" si="49"/>
        <v>0</v>
      </c>
      <c r="AB20" s="1">
        <f t="shared" ca="1" si="50"/>
        <v>0</v>
      </c>
      <c r="AC20" s="1"/>
      <c r="AD20" s="257">
        <f t="shared" ca="1" si="51"/>
        <v>4</v>
      </c>
      <c r="AE20" s="29">
        <f t="shared" ca="1" si="52"/>
        <v>479000</v>
      </c>
      <c r="AF20" s="1">
        <f t="shared" ca="1" si="53"/>
        <v>8</v>
      </c>
      <c r="AG20" s="1">
        <f t="shared" ca="1" si="54"/>
        <v>1</v>
      </c>
      <c r="AH20" s="260">
        <f t="shared" ca="1" si="55"/>
        <v>4.0108099999999993</v>
      </c>
      <c r="AI20" s="1"/>
    </row>
    <row r="21" spans="2:80" s="2" customFormat="1" x14ac:dyDescent="0.2">
      <c r="C21" s="2" t="str">
        <f t="shared" si="43"/>
        <v>VFB Essenheim</v>
      </c>
      <c r="D21" s="1">
        <f t="shared" ca="1" si="33"/>
        <v>4</v>
      </c>
      <c r="E21" s="1">
        <f t="shared" ca="1" si="33"/>
        <v>1</v>
      </c>
      <c r="F21" s="1">
        <f t="shared" ca="1" si="33"/>
        <v>3</v>
      </c>
      <c r="G21" s="1">
        <f t="shared" ca="1" si="33"/>
        <v>0</v>
      </c>
      <c r="H21" s="1">
        <f t="shared" ca="1" si="34"/>
        <v>173</v>
      </c>
      <c r="I21" s="1">
        <f t="shared" ca="1" si="34"/>
        <v>159</v>
      </c>
      <c r="J21" s="13">
        <f t="shared" ca="1" si="34"/>
        <v>14</v>
      </c>
      <c r="K21" s="1">
        <f t="shared" ca="1" si="34"/>
        <v>5</v>
      </c>
      <c r="L21" s="29">
        <f t="shared" ca="1" si="44"/>
        <v>5514000</v>
      </c>
      <c r="M21" s="14">
        <f t="shared" ca="1" si="45"/>
        <v>1</v>
      </c>
      <c r="N21" s="14">
        <f t="array" aca="1" ref="N21" ca="1">IF($AI$15,SUM(($K$17:$K$25&gt;=K21)/COUNTIF($K$17:$K$25,$K$17:$K$25)),SUM(($L$17:$L$25&gt;=L21)/COUNTIF($L$17:$L$25,$L$17:$L$25)))</f>
        <v>2</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2.0108999999999999</v>
      </c>
      <c r="Y21" s="13">
        <f>Vorrunde!$AQ16</f>
        <v>0</v>
      </c>
      <c r="Z21" s="1">
        <f t="shared" ca="1" si="48"/>
        <v>1.9</v>
      </c>
      <c r="AA21" s="1">
        <f t="shared" ca="1" si="49"/>
        <v>0</v>
      </c>
      <c r="AB21" s="1">
        <f t="shared" ca="1" si="50"/>
        <v>0</v>
      </c>
      <c r="AC21" s="1"/>
      <c r="AD21" s="257">
        <f t="shared" ca="1" si="51"/>
        <v>2</v>
      </c>
      <c r="AE21" s="29">
        <f t="shared" ca="1" si="52"/>
        <v>514000</v>
      </c>
      <c r="AF21" s="1">
        <f t="shared" ca="1" si="53"/>
        <v>2</v>
      </c>
      <c r="AG21" s="1">
        <f t="shared" ca="1" si="54"/>
        <v>1</v>
      </c>
      <c r="AH21" s="260">
        <f t="shared" ca="1" si="55"/>
        <v>2.0102099999999998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Vorrunde!$AQ17</f>
        <v>0</v>
      </c>
      <c r="Z22" s="1">
        <f t="shared" ca="1" si="48"/>
        <v>1.9</v>
      </c>
      <c r="AA22" s="1">
        <f t="shared" ca="1" si="49"/>
        <v>0</v>
      </c>
      <c r="AB22" s="1">
        <f t="shared" ca="1" si="50"/>
        <v>0</v>
      </c>
      <c r="AC22" s="1"/>
      <c r="AD22" s="257">
        <f t="shared" ca="1" si="51"/>
        <v>6</v>
      </c>
      <c r="AE22" s="29">
        <f t="shared" ca="1" si="52"/>
        <v>500000</v>
      </c>
      <c r="AF22" s="1">
        <f t="shared" ca="1" si="53"/>
        <v>4</v>
      </c>
      <c r="AG22" s="1">
        <f t="shared" ca="1" si="54"/>
        <v>1</v>
      </c>
      <c r="AH22" s="260">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4</v>
      </c>
      <c r="AG23" s="1">
        <f t="shared" ca="1" si="54"/>
        <v>1</v>
      </c>
      <c r="AH23" s="260">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4</v>
      </c>
      <c r="AG24" s="1">
        <f t="shared" ca="1" si="54"/>
        <v>1</v>
      </c>
      <c r="AH24" s="260">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4</v>
      </c>
      <c r="AG25" s="1">
        <f t="shared" ca="1" si="54"/>
        <v>1</v>
      </c>
      <c r="AH25" s="261">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3">
        <v>1</v>
      </c>
      <c r="F29" s="990"/>
      <c r="G29" s="990"/>
      <c r="H29" s="990"/>
      <c r="I29" s="990"/>
      <c r="J29" s="990"/>
      <c r="K29" s="990"/>
      <c r="L29" s="992"/>
      <c r="M29" s="989">
        <v>2</v>
      </c>
      <c r="N29" s="990"/>
      <c r="O29" s="990"/>
      <c r="P29" s="990"/>
      <c r="Q29" s="990"/>
      <c r="R29" s="990"/>
      <c r="S29" s="990"/>
      <c r="T29" s="992"/>
      <c r="U29" s="989">
        <v>3</v>
      </c>
      <c r="V29" s="990"/>
      <c r="W29" s="990"/>
      <c r="X29" s="990"/>
      <c r="Y29" s="990"/>
      <c r="Z29" s="990"/>
      <c r="AA29" s="990"/>
      <c r="AB29" s="992"/>
      <c r="AC29" s="989">
        <v>4</v>
      </c>
      <c r="AD29" s="990"/>
      <c r="AE29" s="990"/>
      <c r="AF29" s="990"/>
      <c r="AG29" s="990"/>
      <c r="AH29" s="990"/>
      <c r="AI29" s="990"/>
      <c r="AJ29" s="992"/>
      <c r="AK29" s="989">
        <v>5</v>
      </c>
      <c r="AL29" s="990"/>
      <c r="AM29" s="990"/>
      <c r="AN29" s="990"/>
      <c r="AO29" s="990"/>
      <c r="AP29" s="990"/>
      <c r="AQ29" s="990"/>
      <c r="AR29" s="992"/>
      <c r="AS29" s="989">
        <v>6</v>
      </c>
      <c r="AT29" s="990"/>
      <c r="AU29" s="990"/>
      <c r="AV29" s="990"/>
      <c r="AW29" s="990"/>
      <c r="AX29" s="990"/>
      <c r="AY29" s="990"/>
      <c r="AZ29" s="992"/>
      <c r="BA29" s="989">
        <v>7</v>
      </c>
      <c r="BB29" s="990"/>
      <c r="BC29" s="990"/>
      <c r="BD29" s="990"/>
      <c r="BE29" s="990"/>
      <c r="BF29" s="990"/>
      <c r="BG29" s="990"/>
      <c r="BH29" s="992"/>
      <c r="BI29" s="989">
        <v>8</v>
      </c>
      <c r="BJ29" s="990"/>
      <c r="BK29" s="990"/>
      <c r="BL29" s="990"/>
      <c r="BM29" s="990"/>
      <c r="BN29" s="990"/>
      <c r="BO29" s="990"/>
      <c r="BP29" s="991"/>
      <c r="BQ29" s="13"/>
      <c r="BR29" s="5"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1. FC Riedwald</v>
      </c>
      <c r="BS30" s="7"/>
      <c r="BT30" s="8">
        <f t="shared" ref="BT30:CA37" ca="1" si="57">SUMIFS($X$64:$X$135,$V$64:$V$135,$BR30,$W$64:$W$135,BT$29)+SUMIFS($Y$64:$Y$135,$W$64:$W$135,$BR30,$V$64:$V$135,BT$29)+SUMIFS($AG$64:$AG$135,$V$64:$V$135,$BR30,$W$64:$W$135,BT$29)+SUMIFS($AH$64:$AH$135,$W$64:$W$135,$BR30,$V$64:$V$135,BT$29)</f>
        <v>50</v>
      </c>
      <c r="BU30" s="8">
        <f t="shared" ca="1" si="57"/>
        <v>50</v>
      </c>
      <c r="BV30" s="8">
        <f t="shared" ca="1" si="57"/>
        <v>50</v>
      </c>
      <c r="BW30" s="8">
        <f t="shared" ca="1" si="57"/>
        <v>43</v>
      </c>
      <c r="BX30" s="8">
        <f t="shared" ca="1" si="57"/>
        <v>0</v>
      </c>
      <c r="BY30" s="8">
        <f t="shared" ca="1" si="57"/>
        <v>0</v>
      </c>
      <c r="BZ30" s="8">
        <f t="shared" ca="1" si="57"/>
        <v>0</v>
      </c>
      <c r="CA30" s="8">
        <f t="shared" ca="1" si="57"/>
        <v>0</v>
      </c>
      <c r="CB30" s="4"/>
    </row>
    <row r="31" spans="2:80" s="2" customFormat="1" x14ac:dyDescent="0.2">
      <c r="C31" s="2" t="str">
        <f t="shared" ref="C31:C38" si="58">$Q65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FC Barcelona</v>
      </c>
      <c r="BS31" s="9">
        <f ca="1">SUMIFS($X$64:$X$135,$V$64:$V$135,$BR31,$W$64:$W$135,BS$29)+SUMIFS($Y$64:$Y$135,$W$64:$W$135,$BR31,$V$64:$V$135,BS$29)+SUMIFS($AG$64:$AG$135,$V$64:$V$135,$BR31,$W$64:$W$135,BS$29)+SUMIFS($AH$64:$AH$135,$W$64:$W$135,$BR31,$V$64:$V$135,BS$29)</f>
        <v>35</v>
      </c>
      <c r="BT31" s="7"/>
      <c r="BU31" s="8">
        <f ca="1">SUMIFS($X$64:$X$135,$V$64:$V$135,$BR31,$W$64:$W$135,BU$29)+SUMIFS($Y$64:$Y$135,$W$64:$W$135,$BR31,$V$64:$V$135,BU$29)+SUMIFS($AG$64:$AG$135,$V$64:$V$135,$BR31,$W$64:$W$135,BU$29)+SUMIFS($AH$64:$AH$135,$W$64:$W$135,$BR31,$V$64:$V$135,BU$29)</f>
        <v>29</v>
      </c>
      <c r="BV31" s="8">
        <f t="shared" ca="1" si="57"/>
        <v>45</v>
      </c>
      <c r="BW31" s="8">
        <f t="shared" ca="1" si="57"/>
        <v>36</v>
      </c>
      <c r="BX31" s="8">
        <f t="shared" ca="1" si="57"/>
        <v>0</v>
      </c>
      <c r="BY31" s="8">
        <f t="shared" ca="1" si="57"/>
        <v>0</v>
      </c>
      <c r="BZ31" s="8">
        <f t="shared" ca="1" si="57"/>
        <v>0</v>
      </c>
      <c r="CA31" s="8">
        <f t="shared" ca="1" si="57"/>
        <v>0</v>
      </c>
      <c r="CB31" s="4"/>
    </row>
    <row r="32" spans="2:80" s="2" customFormat="1" x14ac:dyDescent="0.2">
      <c r="C32" s="2" t="str">
        <f t="shared" si="58"/>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Eintracht Frankfurt</v>
      </c>
      <c r="BS32" s="9">
        <f t="shared" ref="BS32:BY38" ca="1" si="59">SUMIFS($X$64:$X$135,$V$64:$V$135,$BR32,$W$64:$W$135,BS$29)+SUMIFS($Y$64:$Y$135,$W$64:$W$135,$BR32,$V$64:$V$135,BS$29)+SUMIFS($AG$64:$AG$135,$V$64:$V$135,$BR32,$W$64:$W$135,BS$29)+SUMIFS($AH$64:$AH$135,$W$64:$W$135,$BR32,$V$64:$V$135,BS$29)</f>
        <v>34</v>
      </c>
      <c r="BT32" s="9">
        <f t="shared" ca="1" si="59"/>
        <v>50</v>
      </c>
      <c r="BU32" s="7"/>
      <c r="BV32" s="8">
        <f t="shared" ca="1" si="57"/>
        <v>50</v>
      </c>
      <c r="BW32" s="8">
        <f t="shared" ca="1" si="57"/>
        <v>38</v>
      </c>
      <c r="BX32" s="8">
        <f t="shared" ca="1" si="57"/>
        <v>0</v>
      </c>
      <c r="BY32" s="8">
        <f t="shared" ca="1" si="57"/>
        <v>0</v>
      </c>
      <c r="BZ32" s="8">
        <f t="shared" ca="1" si="57"/>
        <v>0</v>
      </c>
      <c r="CA32" s="8">
        <f t="shared" ca="1" si="57"/>
        <v>0</v>
      </c>
      <c r="CB32" s="4"/>
    </row>
    <row r="33" spans="2:80" s="2" customFormat="1" x14ac:dyDescent="0.2">
      <c r="C33" s="2" t="str">
        <f t="shared" si="58"/>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Maibach 1822 eV</v>
      </c>
      <c r="BS33" s="9">
        <f t="shared" ca="1" si="59"/>
        <v>39</v>
      </c>
      <c r="BT33" s="9">
        <f t="shared" ca="1" si="59"/>
        <v>45</v>
      </c>
      <c r="BU33" s="9">
        <f t="shared" ca="1" si="59"/>
        <v>44</v>
      </c>
      <c r="BV33" s="7"/>
      <c r="BW33" s="8">
        <f t="shared" ca="1" si="57"/>
        <v>42</v>
      </c>
      <c r="BX33" s="8">
        <f t="shared" ca="1" si="57"/>
        <v>0</v>
      </c>
      <c r="BY33" s="8">
        <f t="shared" ca="1" si="57"/>
        <v>0</v>
      </c>
      <c r="BZ33" s="8">
        <f t="shared" ca="1" si="57"/>
        <v>0</v>
      </c>
      <c r="CA33" s="8">
        <f t="shared" ca="1" si="57"/>
        <v>0</v>
      </c>
      <c r="CB33" s="4"/>
    </row>
    <row r="34" spans="2:80" s="2" customFormat="1" x14ac:dyDescent="0.2">
      <c r="C34" s="2" t="str">
        <f t="shared" si="58"/>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VFB Essenheim</v>
      </c>
      <c r="BS34" s="9">
        <f t="shared" ca="1" si="59"/>
        <v>41</v>
      </c>
      <c r="BT34" s="9">
        <f t="shared" ca="1" si="59"/>
        <v>50</v>
      </c>
      <c r="BU34" s="9">
        <f t="shared" ca="1" si="59"/>
        <v>36</v>
      </c>
      <c r="BV34" s="9">
        <f t="shared" ca="1" si="59"/>
        <v>46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1. FC Riedwald</v>
      </c>
      <c r="BS41" s="7"/>
      <c r="BT41" s="8">
        <f ca="1">BT30-BS31</f>
        <v>15</v>
      </c>
      <c r="BU41" s="8">
        <f ca="1">BU30-BS32</f>
        <v>16</v>
      </c>
      <c r="BV41" s="8">
        <f ca="1">BV30-BS33</f>
        <v>11</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FC Barcelona</v>
      </c>
      <c r="BS42" s="9">
        <f ca="1">IF(BT41="","",-1*BT41)</f>
        <v>-15</v>
      </c>
      <c r="BT42" s="7"/>
      <c r="BU42" s="8">
        <f ca="1">BU31-BT32</f>
        <v>-21</v>
      </c>
      <c r="BV42" s="8">
        <f ca="1">BV31-BT33</f>
        <v>0</v>
      </c>
      <c r="BW42" s="8">
        <f ca="1">BW31-BT34</f>
        <v>-14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Eintracht Frankfurt</v>
      </c>
      <c r="BS43" s="9">
        <f ca="1">IF(BU41="","",-1*BU41)</f>
        <v>-16</v>
      </c>
      <c r="BT43" s="9">
        <f ca="1">IF(BU42="","",-1*BU42)</f>
        <v>21</v>
      </c>
      <c r="BU43" s="7"/>
      <c r="BV43" s="8">
        <f ca="1">BV32-BU33</f>
        <v>6</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Maibach 1822 eV</v>
      </c>
      <c r="BS44" s="9">
        <f ca="1">IF(BV41="","",-1*BV41)</f>
        <v>-11</v>
      </c>
      <c r="BT44" s="9">
        <f ca="1">IF(BV42="","",-1*BV42)</f>
        <v>0</v>
      </c>
      <c r="BU44" s="9">
        <f ca="1">IF(BV43="","",-1*BV43)</f>
        <v>-6</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VFB Essenheim</v>
      </c>
      <c r="BS45" s="9">
        <f ca="1">IF(BW41="","",-1*BW41)</f>
        <v>-2</v>
      </c>
      <c r="BT45" s="9">
        <f ca="1">IF(BW42="","",-1*BW42)</f>
        <v>14</v>
      </c>
      <c r="BU45" s="9">
        <f ca="1">IF(BW43="","",-1*BW43)</f>
        <v>-2</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1. FC Riedwald</v>
      </c>
      <c r="BS52" s="7"/>
      <c r="BT52" s="8">
        <f t="shared" ref="BT52:CA58" ca="1" si="63">SUMIFS($AE$64:$AE$135,$V$64:$V$135,$BR52,$W$64:$W$135,BT$51)+SUMIFS($AF$64:$AF$135,$W$64:$W$135,$BR52,$V$64:$V$135,BT$51)</f>
        <v>2</v>
      </c>
      <c r="BU52" s="8">
        <f t="shared" ca="1" si="63"/>
        <v>2</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FC Barcelona</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Eintracht Frankfurt</v>
      </c>
      <c r="BS54" s="9">
        <f t="shared" ca="1" si="64"/>
        <v>0</v>
      </c>
      <c r="BT54" s="9">
        <f t="shared" ca="1" si="64"/>
        <v>2</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Maibach 1822 eV</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VFB Essenheim</v>
      </c>
      <c r="BS56" s="9">
        <f t="shared" ca="1" si="64"/>
        <v>1</v>
      </c>
      <c r="BT56" s="9">
        <f t="shared" ca="1" si="64"/>
        <v>2</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1000" t="s">
        <v>374</v>
      </c>
      <c r="Y63" s="1000"/>
      <c r="Z63" s="161" t="s">
        <v>152</v>
      </c>
      <c r="AA63" s="161" t="s">
        <v>15</v>
      </c>
      <c r="AB63" s="161" t="s">
        <v>150</v>
      </c>
      <c r="AC63" s="162" t="s">
        <v>153</v>
      </c>
      <c r="AD63" s="161" t="s">
        <v>151</v>
      </c>
      <c r="AE63" s="994" t="s">
        <v>379</v>
      </c>
      <c r="AF63" s="994"/>
      <c r="AG63" s="1001" t="s">
        <v>375</v>
      </c>
      <c r="AH63" s="1001"/>
      <c r="AI63" s="652" t="s">
        <v>380</v>
      </c>
      <c r="AJ63" s="4"/>
      <c r="AK63" s="4"/>
      <c r="AL63" s="4"/>
      <c r="AM63" s="4"/>
      <c r="AN63" s="747"/>
      <c r="AO63" s="747"/>
      <c r="AP63" s="4"/>
      <c r="AQ63" s="4"/>
      <c r="AR63" s="4"/>
    </row>
    <row r="64" spans="5:80" s="2" customFormat="1" ht="14.25" thickTop="1" thickBot="1" x14ac:dyDescent="0.25">
      <c r="F64" s="189">
        <v>1000000</v>
      </c>
      <c r="G64" s="190" t="s">
        <v>109</v>
      </c>
      <c r="P64" s="44" t="s">
        <v>6</v>
      </c>
      <c r="Q64" s="59" t="str">
        <f>IF(Planung!$C$7="","",Planung!$C$7)</f>
        <v>1. FC Riedwald</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39" t="str">
        <f ca="1">IF(AA64&gt;0,(X64+AG64)&amp;Sprache!$E$90&amp;(Y64+AH64),"")</f>
        <v>50:36</v>
      </c>
      <c r="AD64" s="140"/>
      <c r="AE64" s="145">
        <f ca="1">IF($AA64=0,0,IF($X64&gt;$Y64,1,0)+IF($AG64&gt;$AH64,1,0))</f>
        <v>2</v>
      </c>
      <c r="AF64" s="140">
        <f ca="1">IF($AA64=0,0,IF($X64&lt;$Y64,1,0)+IF($AG64&lt;$AH64,1,0))</f>
        <v>0</v>
      </c>
      <c r="AG64" s="145">
        <f ca="1">IF($AA64=1,Vorrunde!$L12,"")</f>
        <v>25</v>
      </c>
      <c r="AH64" s="140">
        <f ca="1">IF($AA64=1,Vorrunde!$N12,"")</f>
        <v>17</v>
      </c>
      <c r="AI64" s="140" t="str">
        <f ca="1">IF(AA64&gt;0,AE64&amp;Sprache!$E$90&amp;AF64,"")</f>
        <v>2:0</v>
      </c>
      <c r="AJ64" s="4"/>
      <c r="AK64" s="4"/>
      <c r="AL64" s="4"/>
      <c r="AM64" s="4"/>
      <c r="AN64" s="742"/>
      <c r="AO64" s="742"/>
      <c r="AP64" s="4"/>
      <c r="AQ64" s="4"/>
      <c r="AR64" s="4"/>
    </row>
    <row r="65" spans="2:43" s="2" customFormat="1" ht="13.5" thickBot="1" x14ac:dyDescent="0.25">
      <c r="F65" s="191">
        <v>1000</v>
      </c>
      <c r="G65" s="192" t="s">
        <v>108</v>
      </c>
      <c r="H65" s="196">
        <v>500</v>
      </c>
      <c r="I65" s="195" t="s">
        <v>367</v>
      </c>
      <c r="P65" s="45" t="s">
        <v>7</v>
      </c>
      <c r="Q65" s="60" t="str">
        <f>IF(Planung!$C$9="","",Planung!$C$9)</f>
        <v>FC Barcelona</v>
      </c>
      <c r="U65" s="66" t="s">
        <v>7</v>
      </c>
      <c r="V65" s="40" t="str">
        <f ca="1">Planung!$L7</f>
        <v>FC Grönlingen</v>
      </c>
      <c r="W65" s="13" t="str">
        <f ca="1">Planung!$N7</f>
        <v>Inter Mailand</v>
      </c>
      <c r="X65" s="13">
        <f ca="1">IF($AA65=1,Vorrunde!$I13,"")</f>
        <v>25</v>
      </c>
      <c r="Y65" s="35">
        <f ca="1">IF($AA65=1,Vorrunde!$K13,"")</f>
        <v>20</v>
      </c>
      <c r="Z65" s="34" t="str">
        <f t="shared" ref="Z65:Z73" ca="1" si="65">V65&amp;W65</f>
        <v>FC GrönlingenInter Mailand</v>
      </c>
      <c r="AA65" s="13">
        <f ca="1">IF(AND(Vorrunde!$I13&lt;&gt;"",Vorrunde!$K13&lt;&gt;"",Vorrunde!$I13&lt;&gt;Vorrunde!$K13,OR(AND(Vorrunde!$L13="",Vorrunde!$N13=""),AND(Vorrunde!$L13&lt;&gt;"",Vorrunde!$N13&lt;&gt;"",Vorrunde!$L13&lt;&gt;Vorrunde!$N13)),Vorrunde!$F13&lt;&gt;"",Vorrunde!$H13&lt;&gt;"",Vorrunde!$F13&lt;&gt;Vorrunde!$H13),1,0)</f>
        <v>1</v>
      </c>
      <c r="AB65" s="13" t="str">
        <f ca="1">IF(AA65&gt;0,(X65+AG65)&amp;Sprache!$E$90&amp;(Y65+AH65),"")</f>
        <v>45:45</v>
      </c>
      <c r="AD65" s="141"/>
      <c r="AE65" s="146">
        <f t="shared" ref="AE65:AE123" ca="1" si="66">IF($AA65=0,0,IF($X65&gt;$Y65,1,0)+IF($AG65&gt;$AH65,1,0))</f>
        <v>1</v>
      </c>
      <c r="AF65" s="141">
        <f t="shared" ref="AF65:AF123" ca="1" si="67">IF($AA65=0,0,IF($X65&lt;$Y65,1,0)+IF($AG65&lt;$AH65,1,0))</f>
        <v>1</v>
      </c>
      <c r="AG65" s="146">
        <f ca="1">IF($AA65=1,Vorrunde!$L13,"")</f>
        <v>20</v>
      </c>
      <c r="AH65" s="141">
        <f ca="1">IF($AA65=1,Vorrunde!$N13,"")</f>
        <v>25</v>
      </c>
      <c r="AI65" s="141" t="str">
        <f ca="1">IF(AA65&gt;0,AE65&amp;Sprache!$E$90&amp;AF65,"")</f>
        <v>1:1</v>
      </c>
      <c r="AJ65" s="13"/>
      <c r="AK65" s="13"/>
      <c r="AL65" s="13"/>
      <c r="AM65" s="13"/>
      <c r="AN65" s="13"/>
      <c r="AO65" s="13"/>
      <c r="AP65" s="13"/>
      <c r="AQ65" s="13"/>
    </row>
    <row r="66" spans="2:43" s="2" customFormat="1" ht="13.5" thickBot="1" x14ac:dyDescent="0.25">
      <c r="F66" s="193">
        <v>1</v>
      </c>
      <c r="G66" s="194" t="s">
        <v>106</v>
      </c>
      <c r="P66" s="45" t="s">
        <v>8</v>
      </c>
      <c r="Q66" s="60" t="str">
        <f>IF(Planung!$C$11="","",Planung!$C$11)</f>
        <v>Eintracht Frankfurt</v>
      </c>
      <c r="U66" s="66" t="s">
        <v>8</v>
      </c>
      <c r="V66" s="40" t="str">
        <f ca="1">Planung!$L8</f>
        <v>1. FC Nürnberg</v>
      </c>
      <c r="W66" s="13" t="str">
        <f ca="1">Planung!$N8</f>
        <v>Real Madrid</v>
      </c>
      <c r="X66" s="13">
        <f ca="1">IF($AA66=1,Vorrunde!$I14,"")</f>
        <v>25</v>
      </c>
      <c r="Y66" s="35">
        <f ca="1">IF($AA66=1,Vorrunde!$K14,"")</f>
        <v>21</v>
      </c>
      <c r="Z66" s="34" t="str">
        <f t="shared" ca="1" si="65"/>
        <v>1. FC NürnbergReal Madrid</v>
      </c>
      <c r="AA66" s="13">
        <f ca="1">IF(AND(Vorrunde!$I14&lt;&gt;"",Vorrunde!$K14&lt;&gt;"",Vorrunde!$I14&lt;&gt;Vorrunde!$K14,OR(AND(Vorrunde!$L14="",Vorrunde!$N14=""),AND(Vorrunde!$L14&lt;&gt;"",Vorrunde!$N14&lt;&gt;"",Vorrunde!$L14&lt;&gt;Vorrunde!$N14)),Vorrunde!$F14&lt;&gt;"",Vorrunde!$H14&lt;&gt;"",Vorrunde!$F14&lt;&gt;Vorrunde!$H14),1,0)</f>
        <v>1</v>
      </c>
      <c r="AB66" s="13" t="str">
        <f ca="1">IF(AA66&gt;0,(X66+AG66)&amp;Sprache!$E$90&amp;(Y66+AH66),"")</f>
        <v>50:40</v>
      </c>
      <c r="AD66" s="141"/>
      <c r="AE66" s="146">
        <f t="shared" ca="1" si="66"/>
        <v>2</v>
      </c>
      <c r="AF66" s="141">
        <f t="shared" ca="1" si="67"/>
        <v>0</v>
      </c>
      <c r="AG66" s="146">
        <f ca="1">IF($AA66=1,Vorrunde!$L14,"")</f>
        <v>25</v>
      </c>
      <c r="AH66" s="141">
        <f ca="1">IF($AA66=1,Vorrunde!$N14,"")</f>
        <v>19</v>
      </c>
      <c r="AI66" s="141" t="str">
        <f ca="1">IF(AA66&gt;0,AE66&amp;Sprache!$E$90&amp;AF66,"")</f>
        <v>2:0</v>
      </c>
      <c r="AJ66" s="4"/>
      <c r="AK66" s="13"/>
      <c r="AL66" s="13"/>
      <c r="AM66" s="13"/>
      <c r="AN66" s="13"/>
      <c r="AO66" s="13"/>
      <c r="AP66" s="13"/>
      <c r="AQ66" s="13"/>
    </row>
    <row r="67" spans="2:43" s="2" customFormat="1" x14ac:dyDescent="0.2">
      <c r="P67" s="45" t="s">
        <v>9</v>
      </c>
      <c r="Q67" s="60" t="str">
        <f>IF(Planung!$C$13="","",Planung!$C$13)</f>
        <v>Maibach 1822 eV</v>
      </c>
      <c r="U67" s="66" t="s">
        <v>9</v>
      </c>
      <c r="V67" s="40" t="str">
        <f ca="1">Planung!$L9</f>
        <v>SV Oberredenburg</v>
      </c>
      <c r="W67" s="13" t="str">
        <f ca="1">Planung!$N9</f>
        <v>Paris St. Germain</v>
      </c>
      <c r="X67" s="13">
        <f ca="1">IF($AA67=1,Vorrunde!$I15,"")</f>
        <v>25</v>
      </c>
      <c r="Y67" s="35">
        <f ca="1">IF($AA67=1,Vorrunde!$K15,"")</f>
        <v>22</v>
      </c>
      <c r="Z67" s="34" t="str">
        <f t="shared" ca="1" si="65"/>
        <v>SV OberredenburgParis St. Germain</v>
      </c>
      <c r="AA67" s="13">
        <f ca="1">IF(AND(Vorrunde!$I15&lt;&gt;"",Vorrunde!$K15&lt;&gt;"",Vorrunde!$I15&lt;&gt;Vorrunde!$K15,OR(AND(Vorrunde!$L15="",Vorrunde!$N15=""),AND(Vorrunde!$L15&lt;&gt;"",Vorrunde!$N15&lt;&gt;"",Vorrunde!$L15&lt;&gt;Vorrunde!$N15)),Vorrunde!$F15&lt;&gt;"",Vorrunde!$H15&lt;&gt;"",Vorrunde!$F15&lt;&gt;Vorrunde!$H15),1,0)</f>
        <v>1</v>
      </c>
      <c r="AB67" s="13" t="str">
        <f ca="1">IF(AA67&gt;0,(X67+AG67)&amp;Sprache!$E$90&amp;(Y67+AH67),"")</f>
        <v>50:42</v>
      </c>
      <c r="AD67" s="141"/>
      <c r="AE67" s="146">
        <f t="shared" ca="1" si="66"/>
        <v>2</v>
      </c>
      <c r="AF67" s="141">
        <f t="shared" ca="1" si="67"/>
        <v>0</v>
      </c>
      <c r="AG67" s="146">
        <f ca="1">IF($AA67=1,Vorrunde!$L15,"")</f>
        <v>25</v>
      </c>
      <c r="AH67" s="141">
        <f ca="1">IF($AA67=1,Vorrunde!$N15,"")</f>
        <v>20</v>
      </c>
      <c r="AI67" s="141" t="str">
        <f ca="1">IF(AA67&gt;0,AE67&amp;Sprache!$E$90&amp;AF67,"")</f>
        <v>2:0</v>
      </c>
      <c r="AJ67" s="13"/>
      <c r="AK67" s="4"/>
      <c r="AL67" s="13"/>
      <c r="AM67" s="13"/>
      <c r="AN67" s="13"/>
      <c r="AO67" s="13"/>
      <c r="AP67" s="13"/>
      <c r="AQ67" s="13"/>
    </row>
    <row r="68" spans="2:43" s="2" customFormat="1" x14ac:dyDescent="0.2">
      <c r="P68" s="45" t="s">
        <v>10</v>
      </c>
      <c r="Q68" s="60" t="str">
        <f>IF(Planung!$C$15="","",Planung!$C$15)</f>
        <v>VFB Essenheim</v>
      </c>
      <c r="U68" s="66" t="s">
        <v>10</v>
      </c>
      <c r="V68" s="40" t="str">
        <f ca="1">Planung!$L10</f>
        <v>Eintracht Frankfurt</v>
      </c>
      <c r="W68" s="13" t="str">
        <f ca="1">Planung!$N10</f>
        <v>Maibach 1822 eV</v>
      </c>
      <c r="X68" s="13">
        <f ca="1">IF($AA68=1,Vorrunde!$I16,"")</f>
        <v>25</v>
      </c>
      <c r="Y68" s="35">
        <f ca="1">IF($AA68=1,Vorrunde!$K16,"")</f>
        <v>23</v>
      </c>
      <c r="Z68" s="34" t="str">
        <f t="shared" ca="1" si="65"/>
        <v>Eintracht FrankfurtMaibach 1822 eV</v>
      </c>
      <c r="AA68" s="13">
        <f ca="1">IF(AND(Vorrunde!$I16&lt;&gt;"",Vorrunde!$K16&lt;&gt;"",Vorrunde!$I16&lt;&gt;Vorrunde!$K16,OR(AND(Vorrunde!$L16="",Vorrunde!$N16=""),AND(Vorrunde!$L16&lt;&gt;"",Vorrunde!$N16&lt;&gt;"",Vorrunde!$L16&lt;&gt;Vorrunde!$N16)),Vorrunde!$F16&lt;&gt;"",Vorrunde!$H16&lt;&gt;"",Vorrunde!$F16&lt;&gt;Vorrunde!$H16),1,0)</f>
        <v>1</v>
      </c>
      <c r="AB68" s="13" t="str">
        <f ca="1">IF(AA68&gt;0,(X68+AG68)&amp;Sprache!$E$90&amp;(Y68+AH68),"")</f>
        <v>50:44</v>
      </c>
      <c r="AD68" s="141"/>
      <c r="AE68" s="146">
        <f t="shared" ca="1" si="66"/>
        <v>2</v>
      </c>
      <c r="AF68" s="141">
        <f t="shared" ca="1" si="67"/>
        <v>0</v>
      </c>
      <c r="AG68" s="146">
        <f ca="1">IF($AA68=1,Vorrunde!$L16,"")</f>
        <v>25</v>
      </c>
      <c r="AH68" s="141">
        <f ca="1">IF($AA68=1,Vorrunde!$N16,"")</f>
        <v>21</v>
      </c>
      <c r="AI68" s="141" t="str">
        <f ca="1">IF(AA68&gt;0,AE68&amp;Sprache!$E$90&amp;AF68,"")</f>
        <v>2:0</v>
      </c>
      <c r="AJ68" s="13"/>
      <c r="AK68" s="13"/>
      <c r="AL68" s="4"/>
      <c r="AM68" s="13"/>
      <c r="AN68" s="13"/>
      <c r="AO68" s="13"/>
      <c r="AP68" s="13"/>
      <c r="AQ68" s="13"/>
    </row>
    <row r="69" spans="2:43" s="2" customFormat="1" x14ac:dyDescent="0.2">
      <c r="P69" s="45" t="s">
        <v>11</v>
      </c>
      <c r="Q69" s="60" t="str">
        <f>IF(Planung!$C$17="","",Planung!$C$17)</f>
        <v/>
      </c>
      <c r="U69" s="66" t="s">
        <v>11</v>
      </c>
      <c r="V69" s="40" t="str">
        <f ca="1">Planung!$L11</f>
        <v>SSV Wildbach</v>
      </c>
      <c r="W69" s="13" t="str">
        <f ca="1">Planung!$N11</f>
        <v>Manchester City</v>
      </c>
      <c r="X69" s="13">
        <f ca="1">IF($AA69=1,Vorrunde!$I17,"")</f>
        <v>25</v>
      </c>
      <c r="Y69" s="35">
        <f ca="1">IF($AA69=1,Vorrunde!$K17,"")</f>
        <v>17</v>
      </c>
      <c r="Z69" s="34" t="str">
        <f t="shared" ca="1" si="65"/>
        <v>SSV WildbachManchester City</v>
      </c>
      <c r="AA69" s="13">
        <f ca="1">IF(AND(Vorrunde!$I17&lt;&gt;"",Vorrunde!$K17&lt;&gt;"",Vorrunde!$I17&lt;&gt;Vorrunde!$K17,OR(AND(Vorrunde!$L17="",Vorrunde!$N17=""),AND(Vorrunde!$L17&lt;&gt;"",Vorrunde!$N17&lt;&gt;"",Vorrunde!$L17&lt;&gt;Vorrunde!$N17)),Vorrunde!$F17&lt;&gt;"",Vorrunde!$H17&lt;&gt;"",Vorrunde!$F17&lt;&gt;Vorrunde!$H17),1,0)</f>
        <v>1</v>
      </c>
      <c r="AB69" s="13" t="str">
        <f ca="1">IF(AA69&gt;0,(X69+AG69)&amp;Sprache!$E$90&amp;(Y69+AH69),"")</f>
        <v>50:39</v>
      </c>
      <c r="AD69" s="141"/>
      <c r="AE69" s="146">
        <f t="shared" ca="1" si="66"/>
        <v>2</v>
      </c>
      <c r="AF69" s="141">
        <f t="shared" ca="1" si="67"/>
        <v>0</v>
      </c>
      <c r="AG69" s="146">
        <f ca="1">IF($AA69=1,Vorrunde!$L17,"")</f>
        <v>25</v>
      </c>
      <c r="AH69" s="141">
        <f ca="1">IF($AA69=1,Vorrunde!$N17,"")</f>
        <v>22</v>
      </c>
      <c r="AI69" s="141"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5"/>
        <v>Borussia DortmundFSV Rauen</v>
      </c>
      <c r="AA70" s="13">
        <f ca="1">IF(AND(Vorrunde!$I18&lt;&gt;"",Vorrunde!$K18&lt;&gt;"",Vorrunde!$I18&lt;&gt;Vorrunde!$K18,OR(AND(Vorrunde!$L18="",Vorrunde!$N18=""),AND(Vorrunde!$L18&lt;&gt;"",Vorrunde!$N18&lt;&gt;"",Vorrunde!$L18&lt;&gt;Vorrunde!$N18)),Vorrunde!$F18&lt;&gt;"",Vorrunde!$H18&lt;&gt;"",Vorrunde!$F18&lt;&gt;Vorrunde!$H18),1,0)</f>
        <v>1</v>
      </c>
      <c r="AB70" s="13" t="str">
        <f ca="1">IF(AA70&gt;0,(X70+AG70)&amp;Sprache!$E$90&amp;(Y70+AH70),"")</f>
        <v>45:48</v>
      </c>
      <c r="AD70" s="141"/>
      <c r="AE70" s="146">
        <f t="shared" ca="1" si="66"/>
        <v>1</v>
      </c>
      <c r="AF70" s="141">
        <f t="shared" ca="1" si="67"/>
        <v>1</v>
      </c>
      <c r="AG70" s="146">
        <f ca="1">IF($AA70=1,Vorrunde!$L18,"")</f>
        <v>25</v>
      </c>
      <c r="AH70" s="141">
        <f ca="1">IF($AA70=1,Vorrunde!$N18,"")</f>
        <v>23</v>
      </c>
      <c r="AI70" s="141"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5"/>
        <v>HSVRB Leipzig</v>
      </c>
      <c r="AA71" s="13">
        <f ca="1">IF(AND(Vorrunde!$I19&lt;&gt;"",Vorrunde!$K19&lt;&gt;"",Vorrunde!$I19&lt;&gt;Vorrunde!$K19,OR(AND(Vorrunde!$L19="",Vorrunde!$N19=""),AND(Vorrunde!$L19&lt;&gt;"",Vorrunde!$N19&lt;&gt;"",Vorrunde!$L19&lt;&gt;Vorrunde!$N19)),Vorrunde!$F19&lt;&gt;"",Vorrunde!$H19&lt;&gt;"",Vorrunde!$F19&lt;&gt;Vorrunde!$H19),1,0)</f>
        <v>1</v>
      </c>
      <c r="AB71" s="13" t="str">
        <f ca="1">IF(AA71&gt;0,(X71+AG71)&amp;Sprache!$E$90&amp;(Y71+AH71),"")</f>
        <v>44:42</v>
      </c>
      <c r="AD71" s="141"/>
      <c r="AE71" s="146">
        <f t="shared" ca="1" si="66"/>
        <v>1</v>
      </c>
      <c r="AF71" s="141">
        <f t="shared" ca="1" si="67"/>
        <v>1</v>
      </c>
      <c r="AG71" s="146">
        <f ca="1">IF($AA71=1,Vorrunde!$L19,"")</f>
        <v>25</v>
      </c>
      <c r="AH71" s="141">
        <f ca="1">IF($AA71=1,Vorrunde!$N19,"")</f>
        <v>17</v>
      </c>
      <c r="AI71" s="141"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5"/>
        <v>VFB Essenheim1. FC Riedwald</v>
      </c>
      <c r="AA72" s="13">
        <f ca="1">IF(AND(Vorrunde!$I20&lt;&gt;"",Vorrunde!$K20&lt;&gt;"",Vorrunde!$I20&lt;&gt;Vorrunde!$K20,OR(AND(Vorrunde!$L20="",Vorrunde!$N20=""),AND(Vorrunde!$L20&lt;&gt;"",Vorrunde!$N20&lt;&gt;"",Vorrunde!$L20&lt;&gt;Vorrunde!$N20)),Vorrunde!$F20&lt;&gt;"",Vorrunde!$H20&lt;&gt;"",Vorrunde!$F20&lt;&gt;Vorrunde!$H20),1,0)</f>
        <v>1</v>
      </c>
      <c r="AB72" s="13" t="str">
        <f ca="1">IF(AA72&gt;0,(X72+AG72)&amp;Sprache!$E$90&amp;(Y72+AH72),"")</f>
        <v>41:43</v>
      </c>
      <c r="AD72" s="141"/>
      <c r="AE72" s="146">
        <f t="shared" ca="1" si="66"/>
        <v>1</v>
      </c>
      <c r="AF72" s="141">
        <f t="shared" ca="1" si="67"/>
        <v>1</v>
      </c>
      <c r="AG72" s="146">
        <f ca="1">IF($AA72=1,Vorrunde!$L20,"")</f>
        <v>25</v>
      </c>
      <c r="AH72" s="141">
        <f ca="1">IF($AA72=1,Vorrunde!$N20,"")</f>
        <v>18</v>
      </c>
      <c r="AI72" s="141"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5"/>
        <v>FC GrönlingenMainz 05</v>
      </c>
      <c r="AA73" s="13">
        <f ca="1">IF(AND(Vorrunde!$I21&lt;&gt;"",Vorrunde!$K21&lt;&gt;"",Vorrunde!$I21&lt;&gt;Vorrunde!$K21,OR(AND(Vorrunde!$L21="",Vorrunde!$N21=""),AND(Vorrunde!$L21&lt;&gt;"",Vorrunde!$N21&lt;&gt;"",Vorrunde!$L21&lt;&gt;Vorrunde!$N21)),Vorrunde!$F21&lt;&gt;"",Vorrunde!$H21&lt;&gt;"",Vorrunde!$F21&lt;&gt;Vorrunde!$H21),1,0)</f>
        <v>1</v>
      </c>
      <c r="AB73" s="13" t="str">
        <f ca="1">IF(AA73&gt;0,(X73+AG73)&amp;Sprache!$E$90&amp;(Y73+AH73),"")</f>
        <v>39:44</v>
      </c>
      <c r="AD73" s="141"/>
      <c r="AE73" s="146">
        <f t="shared" ca="1" si="66"/>
        <v>1</v>
      </c>
      <c r="AF73" s="141">
        <f t="shared" ca="1" si="67"/>
        <v>1</v>
      </c>
      <c r="AG73" s="146">
        <f ca="1">IF($AA73=1,Vorrunde!$L21,"")</f>
        <v>25</v>
      </c>
      <c r="AH73" s="141">
        <f ca="1">IF($AA73=1,Vorrunde!$N21,"")</f>
        <v>19</v>
      </c>
      <c r="AI73" s="141"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13">
        <f ca="1">IF(AND(Vorrunde!$I22&lt;&gt;"",Vorrunde!$K22&lt;&gt;"",Vorrunde!$I22&lt;&gt;Vorrunde!$K22,OR(AND(Vorrunde!$L22="",Vorrunde!$N22=""),AND(Vorrunde!$L22&lt;&gt;"",Vorrunde!$N22&lt;&gt;"",Vorrunde!$L22&lt;&gt;Vorrunde!$N22)),Vorrunde!$F22&lt;&gt;"",Vorrunde!$H22&lt;&gt;"",Vorrunde!$F22&lt;&gt;Vorrunde!$H22),1,0)</f>
        <v>1</v>
      </c>
      <c r="AB74" s="13" t="str">
        <f ca="1">IF(AA74&gt;0,(X74+AG74)&amp;Sprache!$E$90&amp;(Y74+AH74),"")</f>
        <v>47:45</v>
      </c>
      <c r="AD74" s="141"/>
      <c r="AE74" s="146">
        <f t="shared" ca="1" si="66"/>
        <v>1</v>
      </c>
      <c r="AF74" s="141">
        <f t="shared" ca="1" si="67"/>
        <v>1</v>
      </c>
      <c r="AG74" s="146">
        <f ca="1">IF($AA74=1,Vorrunde!$L22,"")</f>
        <v>25</v>
      </c>
      <c r="AH74" s="141">
        <f ca="1">IF($AA74=1,Vorrunde!$N22,"")</f>
        <v>20</v>
      </c>
      <c r="AI74" s="141"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93" ca="1" si="68">V75&amp;W75</f>
        <v>SV OberredenburgTSG Saalberg eV</v>
      </c>
      <c r="AA75" s="13">
        <f ca="1">IF(AND(Vorrunde!$I23&lt;&gt;"",Vorrunde!$K23&lt;&gt;"",Vorrunde!$I23&lt;&gt;Vorrunde!$K23,OR(AND(Vorrunde!$L23="",Vorrunde!$N23=""),AND(Vorrunde!$L23&lt;&gt;"",Vorrunde!$N23&lt;&gt;"",Vorrunde!$L23&lt;&gt;Vorrunde!$N23)),Vorrunde!$F23&lt;&gt;"",Vorrunde!$H23&lt;&gt;"",Vorrunde!$F23&lt;&gt;Vorrunde!$H23),1,0)</f>
        <v>1</v>
      </c>
      <c r="AB75" s="13" t="str">
        <f ca="1">IF(AA75&gt;0,(X75+AG75)&amp;Sprache!$E$90&amp;(Y75+AH75),"")</f>
        <v>44:46</v>
      </c>
      <c r="AD75" s="141"/>
      <c r="AE75" s="146">
        <f t="shared" ca="1" si="66"/>
        <v>1</v>
      </c>
      <c r="AF75" s="141">
        <f t="shared" ca="1" si="67"/>
        <v>1</v>
      </c>
      <c r="AG75" s="146">
        <f ca="1">IF($AA75=1,Vorrunde!$L23,"")</f>
        <v>25</v>
      </c>
      <c r="AH75" s="141">
        <f ca="1">IF($AA75=1,Vorrunde!$N23,"")</f>
        <v>21</v>
      </c>
      <c r="AI75" s="141"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8"/>
        <v>FC BarcelonaEintracht Frankfurt</v>
      </c>
      <c r="AA76" s="13">
        <f ca="1">IF(AND(Vorrunde!$I24&lt;&gt;"",Vorrunde!$K24&lt;&gt;"",Vorrunde!$I24&lt;&gt;Vorrunde!$K24,OR(AND(Vorrunde!$L24="",Vorrunde!$N24=""),AND(Vorrunde!$L24&lt;&gt;"",Vorrunde!$N24&lt;&gt;"",Vorrunde!$L24&lt;&gt;Vorrunde!$N24)),Vorrunde!$F24&lt;&gt;"",Vorrunde!$H24&lt;&gt;"",Vorrunde!$F24&lt;&gt;Vorrunde!$H24),1,0)</f>
        <v>1</v>
      </c>
      <c r="AB76" s="13" t="str">
        <f ca="1">IF(AA76&gt;0,(X76+AG76)&amp;Sprache!$E$90&amp;(Y76+AH76),"")</f>
        <v>29:50</v>
      </c>
      <c r="AD76" s="141"/>
      <c r="AE76" s="146">
        <f t="shared" ca="1" si="66"/>
        <v>0</v>
      </c>
      <c r="AF76" s="141">
        <f t="shared" ca="1" si="67"/>
        <v>2</v>
      </c>
      <c r="AG76" s="146">
        <f ca="1">IF($AA76=1,Vorrunde!$L24,"")</f>
        <v>12</v>
      </c>
      <c r="AH76" s="141">
        <f ca="1">IF($AA76=1,Vorrunde!$N24,"")</f>
        <v>25</v>
      </c>
      <c r="AI76" s="141"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8"/>
        <v>Inter MailandSSV Wildbach</v>
      </c>
      <c r="AA77" s="13">
        <f ca="1">IF(AND(Vorrunde!$I25&lt;&gt;"",Vorrunde!$K25&lt;&gt;"",Vorrunde!$I25&lt;&gt;Vorrunde!$K25,OR(AND(Vorrunde!$L25="",Vorrunde!$N25=""),AND(Vorrunde!$L25&lt;&gt;"",Vorrunde!$N25&lt;&gt;"",Vorrunde!$L25&lt;&gt;Vorrunde!$N25)),Vorrunde!$F25&lt;&gt;"",Vorrunde!$H25&lt;&gt;"",Vorrunde!$F25&lt;&gt;Vorrunde!$H25),1,0)</f>
        <v>1</v>
      </c>
      <c r="AB77" s="13" t="str">
        <f ca="1">IF(AA77&gt;0,(X77+AG77)&amp;Sprache!$E$90&amp;(Y77+AH77),"")</f>
        <v>39:48</v>
      </c>
      <c r="AD77" s="141"/>
      <c r="AE77" s="146">
        <f t="shared" ca="1" si="66"/>
        <v>1</v>
      </c>
      <c r="AF77" s="141">
        <f t="shared" ca="1" si="67"/>
        <v>1</v>
      </c>
      <c r="AG77" s="146">
        <f ca="1">IF($AA77=1,Vorrunde!$L25,"")</f>
        <v>25</v>
      </c>
      <c r="AH77" s="141">
        <f ca="1">IF($AA77=1,Vorrunde!$N25,"")</f>
        <v>23</v>
      </c>
      <c r="AI77" s="141"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8"/>
        <v>Real MadridBorussia Dortmund</v>
      </c>
      <c r="AA78" s="13">
        <f ca="1">IF(AND(Vorrunde!$I26&lt;&gt;"",Vorrunde!$K26&lt;&gt;"",Vorrunde!$I26&lt;&gt;Vorrunde!$K26,OR(AND(Vorrunde!$L26="",Vorrunde!$N26=""),AND(Vorrunde!$L26&lt;&gt;"",Vorrunde!$N26&lt;&gt;"",Vorrunde!$L26&lt;&gt;Vorrunde!$N26)),Vorrunde!$F26&lt;&gt;"",Vorrunde!$H26&lt;&gt;"",Vorrunde!$F26&lt;&gt;Vorrunde!$H26),1,0)</f>
        <v>1</v>
      </c>
      <c r="AB78" s="13" t="str">
        <f ca="1">IF(AA78&gt;0,(X78+AG78)&amp;Sprache!$E$90&amp;(Y78+AH78),"")</f>
        <v>46:42</v>
      </c>
      <c r="AD78" s="141"/>
      <c r="AE78" s="146">
        <f t="shared" ca="1" si="66"/>
        <v>1</v>
      </c>
      <c r="AF78" s="141">
        <f t="shared" ca="1" si="67"/>
        <v>1</v>
      </c>
      <c r="AG78" s="146">
        <f ca="1">IF($AA78=1,Vorrunde!$L26,"")</f>
        <v>25</v>
      </c>
      <c r="AH78" s="141">
        <f ca="1">IF($AA78=1,Vorrunde!$N26,"")</f>
        <v>17</v>
      </c>
      <c r="AI78" s="141"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8"/>
        <v>Paris St. GermainHSV</v>
      </c>
      <c r="AA79" s="13">
        <f ca="1">IF(AND(Vorrunde!$I27&lt;&gt;"",Vorrunde!$K27&lt;&gt;"",Vorrunde!$I27&lt;&gt;Vorrunde!$K27,OR(AND(Vorrunde!$L27="",Vorrunde!$N27=""),AND(Vorrunde!$L27&lt;&gt;"",Vorrunde!$N27&lt;&gt;"",Vorrunde!$L27&lt;&gt;Vorrunde!$N27)),Vorrunde!$F27&lt;&gt;"",Vorrunde!$H27&lt;&gt;"",Vorrunde!$F27&lt;&gt;Vorrunde!$H27),1,0)</f>
        <v>1</v>
      </c>
      <c r="AB79" s="13" t="str">
        <f ca="1">IF(AA79&gt;0,(X79+AG79)&amp;Sprache!$E$90&amp;(Y79+AH79),"")</f>
        <v>50:20</v>
      </c>
      <c r="AD79" s="141"/>
      <c r="AE79" s="146">
        <f t="shared" ca="1" si="66"/>
        <v>2</v>
      </c>
      <c r="AF79" s="141">
        <f t="shared" ca="1" si="67"/>
        <v>0</v>
      </c>
      <c r="AG79" s="146">
        <f ca="1">IF($AA79=1,Vorrunde!$L27,"")</f>
        <v>25</v>
      </c>
      <c r="AH79" s="141">
        <f ca="1">IF($AA79=1,Vorrunde!$N27,"")</f>
        <v>18</v>
      </c>
      <c r="AI79" s="141"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8"/>
        <v>1. FC RiedwaldMaibach 1822 eV</v>
      </c>
      <c r="AA80" s="13">
        <f ca="1">IF(AND(Vorrunde!$I28&lt;&gt;"",Vorrunde!$K28&lt;&gt;"",Vorrunde!$I28&lt;&gt;Vorrunde!$K28,OR(AND(Vorrunde!$L28="",Vorrunde!$N28=""),AND(Vorrunde!$L28&lt;&gt;"",Vorrunde!$N28&lt;&gt;"",Vorrunde!$L28&lt;&gt;Vorrunde!$N28)),Vorrunde!$F28&lt;&gt;"",Vorrunde!$H28&lt;&gt;"",Vorrunde!$F28&lt;&gt;Vorrunde!$H28),1,0)</f>
        <v>1</v>
      </c>
      <c r="AB80" s="13" t="str">
        <f ca="1">IF(AA80&gt;0,(X80+AG80)&amp;Sprache!$E$90&amp;(Y80+AH80),"")</f>
        <v>50:39</v>
      </c>
      <c r="AD80" s="141"/>
      <c r="AE80" s="146">
        <f t="shared" ca="1" si="66"/>
        <v>2</v>
      </c>
      <c r="AF80" s="141">
        <f t="shared" ca="1" si="67"/>
        <v>0</v>
      </c>
      <c r="AG80" s="146">
        <f ca="1">IF($AA80=1,Vorrunde!$L28,"")</f>
        <v>25</v>
      </c>
      <c r="AH80" s="141">
        <f ca="1">IF($AA80=1,Vorrunde!$N28,"")</f>
        <v>19</v>
      </c>
      <c r="AI80" s="141"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8"/>
        <v>Mainz 05Manchester City</v>
      </c>
      <c r="AA81" s="13">
        <f ca="1">IF(AND(Vorrunde!$I29&lt;&gt;"",Vorrunde!$K29&lt;&gt;"",Vorrunde!$I29&lt;&gt;Vorrunde!$K29,OR(AND(Vorrunde!$L29="",Vorrunde!$N29=""),AND(Vorrunde!$L29&lt;&gt;"",Vorrunde!$N29&lt;&gt;"",Vorrunde!$L29&lt;&gt;Vorrunde!$N29)),Vorrunde!$F29&lt;&gt;"",Vorrunde!$H29&lt;&gt;"",Vorrunde!$F29&lt;&gt;Vorrunde!$H29),1,0)</f>
        <v>1</v>
      </c>
      <c r="AB81" s="13" t="str">
        <f ca="1">IF(AA81&gt;0,(X81+AG81)&amp;Sprache!$E$90&amp;(Y81+AH81),"")</f>
        <v>50:22</v>
      </c>
      <c r="AD81" s="141"/>
      <c r="AE81" s="146">
        <f t="shared" ca="1" si="66"/>
        <v>2</v>
      </c>
      <c r="AF81" s="141">
        <f t="shared" ca="1" si="67"/>
        <v>0</v>
      </c>
      <c r="AG81" s="146">
        <f ca="1">IF($AA81=1,Vorrunde!$L29,"")</f>
        <v>25</v>
      </c>
      <c r="AH81" s="141">
        <f ca="1">IF($AA81=1,Vorrunde!$N29,"")</f>
        <v>20</v>
      </c>
      <c r="AI81" s="141"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8"/>
        <v>Kickers RodendorfFSV Rauen</v>
      </c>
      <c r="AA82" s="13">
        <f ca="1">IF(AND(Vorrunde!$I30&lt;&gt;"",Vorrunde!$K30&lt;&gt;"",Vorrunde!$I30&lt;&gt;Vorrunde!$K30,OR(AND(Vorrunde!$L30="",Vorrunde!$N30=""),AND(Vorrunde!$L30&lt;&gt;"",Vorrunde!$N30&lt;&gt;"",Vorrunde!$L30&lt;&gt;Vorrunde!$N30)),Vorrunde!$F30&lt;&gt;"",Vorrunde!$H30&lt;&gt;"",Vorrunde!$F30&lt;&gt;Vorrunde!$H30),1,0)</f>
        <v>1</v>
      </c>
      <c r="AB82" s="13" t="str">
        <f ca="1">IF(AA82&gt;0,(X82+AG82)&amp;Sprache!$E$90&amp;(Y82+AH82),"")</f>
        <v>50:23</v>
      </c>
      <c r="AD82" s="141"/>
      <c r="AE82" s="146">
        <f t="shared" ca="1" si="66"/>
        <v>2</v>
      </c>
      <c r="AF82" s="141">
        <f t="shared" ca="1" si="67"/>
        <v>0</v>
      </c>
      <c r="AG82" s="146">
        <f ca="1">IF($AA82=1,Vorrunde!$L30,"")</f>
        <v>25</v>
      </c>
      <c r="AH82" s="141">
        <f ca="1">IF($AA82=1,Vorrunde!$N30,"")</f>
        <v>21</v>
      </c>
      <c r="AI82" s="141"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8"/>
        <v>TSG Saalberg eVRB Leipzig</v>
      </c>
      <c r="AA83" s="13">
        <f ca="1">IF(AND(Vorrunde!$I31&lt;&gt;"",Vorrunde!$K31&lt;&gt;"",Vorrunde!$I31&lt;&gt;Vorrunde!$K31,OR(AND(Vorrunde!$L31="",Vorrunde!$N31=""),AND(Vorrunde!$L31&lt;&gt;"",Vorrunde!$N31&lt;&gt;"",Vorrunde!$L31&lt;&gt;Vorrunde!$N31)),Vorrunde!$F31&lt;&gt;"",Vorrunde!$H31&lt;&gt;"",Vorrunde!$F31&lt;&gt;Vorrunde!$H31),1,0)</f>
        <v>1</v>
      </c>
      <c r="AB83" s="13" t="str">
        <f ca="1">IF(AA83&gt;0,(X83+AG83)&amp;Sprache!$E$90&amp;(Y83+AH83),"")</f>
        <v>50:24</v>
      </c>
      <c r="AD83" s="141"/>
      <c r="AE83" s="146">
        <f t="shared" ca="1" si="66"/>
        <v>2</v>
      </c>
      <c r="AF83" s="141">
        <f t="shared" ca="1" si="67"/>
        <v>0</v>
      </c>
      <c r="AG83" s="146">
        <f ca="1">IF($AA83=1,Vorrunde!$L31,"")</f>
        <v>25</v>
      </c>
      <c r="AH83" s="141">
        <f ca="1">IF($AA83=1,Vorrunde!$N31,"")</f>
        <v>22</v>
      </c>
      <c r="AI83" s="141"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8"/>
        <v>Eintracht FrankfurtVFB Essenheim</v>
      </c>
      <c r="AA84" s="13">
        <f ca="1">IF(AND(Vorrunde!$I32&lt;&gt;"",Vorrunde!$K32&lt;&gt;"",Vorrunde!$I32&lt;&gt;Vorrunde!$K32,OR(AND(Vorrunde!$L32="",Vorrunde!$N32=""),AND(Vorrunde!$L32&lt;&gt;"",Vorrunde!$N32&lt;&gt;"",Vorrunde!$L32&lt;&gt;Vorrunde!$N32)),Vorrunde!$F32&lt;&gt;"",Vorrunde!$H32&lt;&gt;"",Vorrunde!$F32&lt;&gt;Vorrunde!$H32),1,0)</f>
        <v>1</v>
      </c>
      <c r="AB84" s="13" t="str">
        <f ca="1">IF(AA84&gt;0,(X84+AG84)&amp;Sprache!$E$90&amp;(Y84+AH84),"")</f>
        <v>38:36</v>
      </c>
      <c r="AD84" s="141"/>
      <c r="AE84" s="146">
        <f t="shared" ca="1" si="66"/>
        <v>1</v>
      </c>
      <c r="AF84" s="141">
        <f t="shared" ca="1" si="67"/>
        <v>1</v>
      </c>
      <c r="AG84" s="146">
        <f ca="1">IF($AA84=1,Vorrunde!$L32,"")</f>
        <v>25</v>
      </c>
      <c r="AH84" s="141">
        <f ca="1">IF($AA84=1,Vorrunde!$N32,"")</f>
        <v>11</v>
      </c>
      <c r="AI84" s="141"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8"/>
        <v>SSV WildbachFC Grönlingen</v>
      </c>
      <c r="AA85" s="13">
        <f ca="1">IF(AND(Vorrunde!$I33&lt;&gt;"",Vorrunde!$K33&lt;&gt;"",Vorrunde!$I33&lt;&gt;Vorrunde!$K33,OR(AND(Vorrunde!$L33="",Vorrunde!$N33=""),AND(Vorrunde!$L33&lt;&gt;"",Vorrunde!$N33&lt;&gt;"",Vorrunde!$L33&lt;&gt;Vorrunde!$N33)),Vorrunde!$F33&lt;&gt;"",Vorrunde!$H33&lt;&gt;"",Vorrunde!$F33&lt;&gt;Vorrunde!$H33),1,0)</f>
        <v>1</v>
      </c>
      <c r="AB85" s="13" t="str">
        <f ca="1">IF(AA85&gt;0,(X85+AG85)&amp;Sprache!$E$90&amp;(Y85+AH85),"")</f>
        <v>44:42</v>
      </c>
      <c r="AD85" s="141"/>
      <c r="AE85" s="146">
        <f t="shared" ca="1" si="66"/>
        <v>1</v>
      </c>
      <c r="AF85" s="141">
        <f t="shared" ca="1" si="67"/>
        <v>1</v>
      </c>
      <c r="AG85" s="146">
        <f ca="1">IF($AA85=1,Vorrunde!$L33,"")</f>
        <v>25</v>
      </c>
      <c r="AH85" s="141">
        <f ca="1">IF($AA85=1,Vorrunde!$N33,"")</f>
        <v>17</v>
      </c>
      <c r="AI85" s="141"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8"/>
        <v>Borussia Dortmund1. FC Nürnberg</v>
      </c>
      <c r="AA86" s="13">
        <f ca="1">IF(AND(Vorrunde!$I34&lt;&gt;"",Vorrunde!$K34&lt;&gt;"",Vorrunde!$I34&lt;&gt;Vorrunde!$K34,OR(AND(Vorrunde!$L34="",Vorrunde!$N34=""),AND(Vorrunde!$L34&lt;&gt;"",Vorrunde!$N34&lt;&gt;"",Vorrunde!$L34&lt;&gt;Vorrunde!$N34)),Vorrunde!$F34&lt;&gt;"",Vorrunde!$H34&lt;&gt;"",Vorrunde!$F34&lt;&gt;Vorrunde!$H34),1,0)</f>
        <v>1</v>
      </c>
      <c r="AB86" s="13" t="str">
        <f ca="1">IF(AA86&gt;0,(X86+AG86)&amp;Sprache!$E$90&amp;(Y86+AH86),"")</f>
        <v>42:41</v>
      </c>
      <c r="AD86" s="141"/>
      <c r="AE86" s="146">
        <f t="shared" ca="1" si="66"/>
        <v>1</v>
      </c>
      <c r="AF86" s="141">
        <f t="shared" ca="1" si="67"/>
        <v>1</v>
      </c>
      <c r="AG86" s="146">
        <f ca="1">IF($AA86=1,Vorrunde!$L34,"")</f>
        <v>25</v>
      </c>
      <c r="AH86" s="141">
        <f ca="1">IF($AA86=1,Vorrunde!$N34,"")</f>
        <v>16</v>
      </c>
      <c r="AI86" s="141"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8"/>
        <v>HSVSV Oberredenburg</v>
      </c>
      <c r="AA87" s="13">
        <f ca="1">IF(AND(Vorrunde!$I35&lt;&gt;"",Vorrunde!$K35&lt;&gt;"",Vorrunde!$I35&lt;&gt;Vorrunde!$K35,OR(AND(Vorrunde!$L35="",Vorrunde!$N35=""),AND(Vorrunde!$L35&lt;&gt;"",Vorrunde!$N35&lt;&gt;"",Vorrunde!$L35&lt;&gt;Vorrunde!$N35)),Vorrunde!$F35&lt;&gt;"",Vorrunde!$H35&lt;&gt;"",Vorrunde!$F35&lt;&gt;Vorrunde!$H35),1,0)</f>
        <v>1</v>
      </c>
      <c r="AB87" s="13" t="str">
        <f ca="1">IF(AA87&gt;0,(X87+AG87)&amp;Sprache!$E$90&amp;(Y87+AH87),"")</f>
        <v>39:44</v>
      </c>
      <c r="AD87" s="141"/>
      <c r="AE87" s="146">
        <f t="shared" ca="1" si="66"/>
        <v>1</v>
      </c>
      <c r="AF87" s="141">
        <f t="shared" ca="1" si="67"/>
        <v>1</v>
      </c>
      <c r="AG87" s="146">
        <f ca="1">IF($AA87=1,Vorrunde!$L35,"")</f>
        <v>25</v>
      </c>
      <c r="AH87" s="141">
        <f ca="1">IF($AA87=1,Vorrunde!$N35,"")</f>
        <v>19</v>
      </c>
      <c r="AI87" s="141"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8"/>
        <v>FC BarcelonaMaibach 1822 eV</v>
      </c>
      <c r="AA88" s="13">
        <f ca="1">IF(AND(Vorrunde!$I36&lt;&gt;"",Vorrunde!$K36&lt;&gt;"",Vorrunde!$I36&lt;&gt;Vorrunde!$K36,OR(AND(Vorrunde!$L36="",Vorrunde!$N36=""),AND(Vorrunde!$L36&lt;&gt;"",Vorrunde!$N36&lt;&gt;"",Vorrunde!$L36&lt;&gt;Vorrunde!$N36)),Vorrunde!$F36&lt;&gt;"",Vorrunde!$H36&lt;&gt;"",Vorrunde!$F36&lt;&gt;Vorrunde!$H36),1,0)</f>
        <v>1</v>
      </c>
      <c r="AB88" s="13" t="str">
        <f ca="1">IF(AA88&gt;0,(X88+AG88)&amp;Sprache!$E$90&amp;(Y88+AH88),"")</f>
        <v>45:45</v>
      </c>
      <c r="AD88" s="141"/>
      <c r="AE88" s="146">
        <f t="shared" ca="1" si="66"/>
        <v>1</v>
      </c>
      <c r="AF88" s="141">
        <f t="shared" ca="1" si="67"/>
        <v>1</v>
      </c>
      <c r="AG88" s="146">
        <f ca="1">IF($AA88=1,Vorrunde!$L36,"")</f>
        <v>25</v>
      </c>
      <c r="AH88" s="141">
        <f ca="1">IF($AA88=1,Vorrunde!$N36,"")</f>
        <v>20</v>
      </c>
      <c r="AI88" s="141"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8"/>
        <v>Inter MailandManchester City</v>
      </c>
      <c r="AA89" s="13">
        <f ca="1">IF(AND(Vorrunde!$I37&lt;&gt;"",Vorrunde!$K37&lt;&gt;"",Vorrunde!$I37&lt;&gt;Vorrunde!$K37,OR(AND(Vorrunde!$L37="",Vorrunde!$N37=""),AND(Vorrunde!$L37&lt;&gt;"",Vorrunde!$N37&lt;&gt;"",Vorrunde!$L37&lt;&gt;Vorrunde!$N37)),Vorrunde!$F37&lt;&gt;"",Vorrunde!$H37&lt;&gt;"",Vorrunde!$F37&lt;&gt;Vorrunde!$H37),1,0)</f>
        <v>1</v>
      </c>
      <c r="AB89" s="13" t="str">
        <f ca="1">IF(AA89&gt;0,(X89+AG89)&amp;Sprache!$E$90&amp;(Y89+AH89),"")</f>
        <v>44:46</v>
      </c>
      <c r="AD89" s="141"/>
      <c r="AE89" s="146">
        <f t="shared" ca="1" si="66"/>
        <v>1</v>
      </c>
      <c r="AF89" s="141">
        <f t="shared" ca="1" si="67"/>
        <v>1</v>
      </c>
      <c r="AG89" s="146">
        <f ca="1">IF($AA89=1,Vorrunde!$L37,"")</f>
        <v>25</v>
      </c>
      <c r="AH89" s="141">
        <f ca="1">IF($AA89=1,Vorrunde!$N37,"")</f>
        <v>21</v>
      </c>
      <c r="AI89" s="141"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8"/>
        <v>Real MadridFSV Rauen</v>
      </c>
      <c r="AA90" s="13">
        <f ca="1">IF(AND(Vorrunde!$I38&lt;&gt;"",Vorrunde!$K38&lt;&gt;"",Vorrunde!$I38&lt;&gt;Vorrunde!$K38,OR(AND(Vorrunde!$L38="",Vorrunde!$N38=""),AND(Vorrunde!$L38&lt;&gt;"",Vorrunde!$N38&lt;&gt;"",Vorrunde!$L38&lt;&gt;Vorrunde!$N38)),Vorrunde!$F38&lt;&gt;"",Vorrunde!$H38&lt;&gt;"",Vorrunde!$F38&lt;&gt;Vorrunde!$H38),1,0)</f>
        <v>1</v>
      </c>
      <c r="AB90" s="13" t="str">
        <f ca="1">IF(AA90&gt;0,(X90+AG90)&amp;Sprache!$E$90&amp;(Y90+AH90),"")</f>
        <v>42:47</v>
      </c>
      <c r="AD90" s="141"/>
      <c r="AE90" s="146">
        <f t="shared" ca="1" si="66"/>
        <v>1</v>
      </c>
      <c r="AF90" s="141">
        <f t="shared" ca="1" si="67"/>
        <v>1</v>
      </c>
      <c r="AG90" s="146">
        <f ca="1">IF($AA90=1,Vorrunde!$L38,"")</f>
        <v>25</v>
      </c>
      <c r="AH90" s="141">
        <f ca="1">IF($AA90=1,Vorrunde!$N38,"")</f>
        <v>22</v>
      </c>
      <c r="AI90" s="141"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8"/>
        <v>Paris St. GermainRB Leipzig</v>
      </c>
      <c r="AA91" s="13">
        <f ca="1">IF(AND(Vorrunde!$I39&lt;&gt;"",Vorrunde!$K39&lt;&gt;"",Vorrunde!$I39&lt;&gt;Vorrunde!$K39,OR(AND(Vorrunde!$L39="",Vorrunde!$N39=""),AND(Vorrunde!$L39&lt;&gt;"",Vorrunde!$N39&lt;&gt;"",Vorrunde!$L39&lt;&gt;Vorrunde!$N39)),Vorrunde!$F39&lt;&gt;"",Vorrunde!$H39&lt;&gt;"",Vorrunde!$F39&lt;&gt;Vorrunde!$H39),1,0)</f>
        <v>1</v>
      </c>
      <c r="AB91" s="13" t="str">
        <f ca="1">IF(AA91&gt;0,(X91+AG91)&amp;Sprache!$E$90&amp;(Y91+AH91),"")</f>
        <v>44:48</v>
      </c>
      <c r="AD91" s="141"/>
      <c r="AE91" s="146">
        <f t="shared" ca="1" si="66"/>
        <v>1</v>
      </c>
      <c r="AF91" s="141">
        <f t="shared" ca="1" si="67"/>
        <v>1</v>
      </c>
      <c r="AG91" s="146">
        <f ca="1">IF($AA91=1,Vorrunde!$L39,"")</f>
        <v>25</v>
      </c>
      <c r="AH91" s="141">
        <f ca="1">IF($AA91=1,Vorrunde!$N39,"")</f>
        <v>23</v>
      </c>
      <c r="AI91" s="141"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8"/>
        <v>Eintracht Frankfurt1. FC Riedwald</v>
      </c>
      <c r="AA92" s="13">
        <f ca="1">IF(AND(Vorrunde!$I40&lt;&gt;"",Vorrunde!$K40&lt;&gt;"",Vorrunde!$I40&lt;&gt;Vorrunde!$K40,OR(AND(Vorrunde!$L40="",Vorrunde!$N40=""),AND(Vorrunde!$L40&lt;&gt;"",Vorrunde!$N40&lt;&gt;"",Vorrunde!$L40&lt;&gt;Vorrunde!$N40)),Vorrunde!$F40&lt;&gt;"",Vorrunde!$H40&lt;&gt;"",Vorrunde!$F40&lt;&gt;Vorrunde!$H40),1,0)</f>
        <v>1</v>
      </c>
      <c r="AB92" s="13" t="str">
        <f ca="1">IF(AA92&gt;0,(X92+AG92)&amp;Sprache!$E$90&amp;(Y92+AH92),"")</f>
        <v>34:50</v>
      </c>
      <c r="AD92" s="141"/>
      <c r="AE92" s="146">
        <f t="shared" ca="1" si="66"/>
        <v>0</v>
      </c>
      <c r="AF92" s="141">
        <f t="shared" ca="1" si="67"/>
        <v>2</v>
      </c>
      <c r="AG92" s="146">
        <f ca="1">IF($AA92=1,Vorrunde!$L40,"")</f>
        <v>17</v>
      </c>
      <c r="AH92" s="141">
        <f ca="1">IF($AA92=1,Vorrunde!$N40,"")</f>
        <v>25</v>
      </c>
      <c r="AI92" s="141"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8"/>
        <v>SSV WildbachMainz 05</v>
      </c>
      <c r="AA93" s="13">
        <f ca="1">IF(AND(Vorrunde!$I41&lt;&gt;"",Vorrunde!$K41&lt;&gt;"",Vorrunde!$I41&lt;&gt;Vorrunde!$K41,OR(AND(Vorrunde!$L41="",Vorrunde!$N41=""),AND(Vorrunde!$L41&lt;&gt;"",Vorrunde!$N41&lt;&gt;"",Vorrunde!$L41&lt;&gt;Vorrunde!$N41)),Vorrunde!$F41&lt;&gt;"",Vorrunde!$H41&lt;&gt;"",Vorrunde!$F41&lt;&gt;Vorrunde!$H41),1,0)</f>
        <v>1</v>
      </c>
      <c r="AB93" s="13" t="str">
        <f ca="1">IF(AA93&gt;0,(X93+AG93)&amp;Sprache!$E$90&amp;(Y93+AH93),"")</f>
        <v>39:43</v>
      </c>
      <c r="AD93" s="141"/>
      <c r="AE93" s="146">
        <f t="shared" ca="1" si="66"/>
        <v>1</v>
      </c>
      <c r="AF93" s="141">
        <f t="shared" ca="1" si="67"/>
        <v>1</v>
      </c>
      <c r="AG93" s="146">
        <f ca="1">IF($AA93=1,Vorrunde!$L41,"")</f>
        <v>25</v>
      </c>
      <c r="AH93" s="141">
        <f ca="1">IF($AA93=1,Vorrunde!$N41,"")</f>
        <v>18</v>
      </c>
      <c r="AI93" s="141"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ref="Z94:Z123" ca="1" si="69">V94&amp;W94</f>
        <v>Borussia DortmundKickers Rodendorf</v>
      </c>
      <c r="AA94" s="13">
        <f ca="1">IF(AND(Vorrunde!$I42&lt;&gt;"",Vorrunde!$K42&lt;&gt;"",Vorrunde!$I42&lt;&gt;Vorrunde!$K42,OR(AND(Vorrunde!$L42="",Vorrunde!$N42=""),AND(Vorrunde!$L42&lt;&gt;"",Vorrunde!$N42&lt;&gt;"",Vorrunde!$L42&lt;&gt;Vorrunde!$N42)),Vorrunde!$F42&lt;&gt;"",Vorrunde!$H42&lt;&gt;"",Vorrunde!$F42&lt;&gt;Vorrunde!$H42),1,0)</f>
        <v>1</v>
      </c>
      <c r="AB94" s="13" t="str">
        <f ca="1">IF(AA94&gt;0,(X94+AG94)&amp;Sprache!$E$90&amp;(Y94+AH94),"")</f>
        <v>45:44</v>
      </c>
      <c r="AD94" s="141"/>
      <c r="AE94" s="146">
        <f t="shared" ca="1" si="66"/>
        <v>1</v>
      </c>
      <c r="AF94" s="141">
        <f t="shared" ca="1" si="67"/>
        <v>1</v>
      </c>
      <c r="AG94" s="146">
        <f ca="1">IF($AA94=1,Vorrunde!$L42,"")</f>
        <v>25</v>
      </c>
      <c r="AH94" s="141">
        <f ca="1">IF($AA94=1,Vorrunde!$N42,"")</f>
        <v>19</v>
      </c>
      <c r="AI94" s="141"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9"/>
        <v>HSVTSG Saalberg eV</v>
      </c>
      <c r="AA95" s="13">
        <f ca="1">IF(AND(Vorrunde!$I43&lt;&gt;"",Vorrunde!$K43&lt;&gt;"",Vorrunde!$I43&lt;&gt;Vorrunde!$K43,OR(AND(Vorrunde!$L43="",Vorrunde!$N43=""),AND(Vorrunde!$L43&lt;&gt;"",Vorrunde!$N43&lt;&gt;"",Vorrunde!$L43&lt;&gt;Vorrunde!$N43)),Vorrunde!$F43&lt;&gt;"",Vorrunde!$H43&lt;&gt;"",Vorrunde!$F43&lt;&gt;Vorrunde!$H43),1,0)</f>
        <v>1</v>
      </c>
      <c r="AB95" s="13" t="str">
        <f ca="1">IF(AA95&gt;0,(X95+AG95)&amp;Sprache!$E$90&amp;(Y95+AH95),"")</f>
        <v>44:45</v>
      </c>
      <c r="AD95" s="141"/>
      <c r="AE95" s="146">
        <f t="shared" ca="1" si="66"/>
        <v>1</v>
      </c>
      <c r="AF95" s="141">
        <f t="shared" ca="1" si="67"/>
        <v>1</v>
      </c>
      <c r="AG95" s="146">
        <f ca="1">IF($AA95=1,Vorrunde!$L43,"")</f>
        <v>25</v>
      </c>
      <c r="AH95" s="141">
        <f ca="1">IF($AA95=1,Vorrunde!$N43,"")</f>
        <v>20</v>
      </c>
      <c r="AI95" s="141"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9"/>
        <v>Maibach 1822 eVVFB Essenheim</v>
      </c>
      <c r="AA96" s="13">
        <f ca="1">IF(AND(Vorrunde!$I44&lt;&gt;"",Vorrunde!$K44&lt;&gt;"",Vorrunde!$I44&lt;&gt;Vorrunde!$K44,OR(AND(Vorrunde!$L44="",Vorrunde!$N44=""),AND(Vorrunde!$L44&lt;&gt;"",Vorrunde!$N44&lt;&gt;"",Vorrunde!$L44&lt;&gt;Vorrunde!$N44)),Vorrunde!$F44&lt;&gt;"",Vorrunde!$H44&lt;&gt;"",Vorrunde!$F44&lt;&gt;Vorrunde!$H44),1,0)</f>
        <v>1</v>
      </c>
      <c r="AB96" s="13" t="str">
        <f ca="1">IF(AA96&gt;0,(X96+AG96)&amp;Sprache!$E$90&amp;(Y96+AH96),"")</f>
        <v>42:46</v>
      </c>
      <c r="AD96" s="141"/>
      <c r="AE96" s="146">
        <f t="shared" ca="1" si="66"/>
        <v>1</v>
      </c>
      <c r="AF96" s="141">
        <f t="shared" ca="1" si="67"/>
        <v>1</v>
      </c>
      <c r="AG96" s="146">
        <f ca="1">IF($AA96=1,Vorrunde!$L44,"")</f>
        <v>25</v>
      </c>
      <c r="AH96" s="141">
        <f ca="1">IF($AA96=1,Vorrunde!$N44,"")</f>
        <v>21</v>
      </c>
      <c r="AI96" s="141"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9"/>
        <v>Manchester CityFC Grönlingen</v>
      </c>
      <c r="AA97" s="13">
        <f ca="1">IF(AND(Vorrunde!$I45&lt;&gt;"",Vorrunde!$K45&lt;&gt;"",Vorrunde!$I45&lt;&gt;Vorrunde!$K45,OR(AND(Vorrunde!$L45="",Vorrunde!$N45=""),AND(Vorrunde!$L45&lt;&gt;"",Vorrunde!$N45&lt;&gt;"",Vorrunde!$L45&lt;&gt;Vorrunde!$N45)),Vorrunde!$F45&lt;&gt;"",Vorrunde!$H45&lt;&gt;"",Vorrunde!$F45&lt;&gt;Vorrunde!$H45),1,0)</f>
        <v>1</v>
      </c>
      <c r="AB97" s="13" t="str">
        <f ca="1">IF(AA97&gt;0,(X97+AG97)&amp;Sprache!$E$90&amp;(Y97+AH97),"")</f>
        <v>39:47</v>
      </c>
      <c r="AD97" s="141"/>
      <c r="AE97" s="146">
        <f t="shared" ca="1" si="66"/>
        <v>1</v>
      </c>
      <c r="AF97" s="141">
        <f t="shared" ca="1" si="67"/>
        <v>1</v>
      </c>
      <c r="AG97" s="146">
        <f ca="1">IF($AA97=1,Vorrunde!$L45,"")</f>
        <v>25</v>
      </c>
      <c r="AH97" s="141">
        <f ca="1">IF($AA97=1,Vorrunde!$N45,"")</f>
        <v>22</v>
      </c>
      <c r="AI97" s="141"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9"/>
        <v>FSV Rauen1. FC Nürnberg</v>
      </c>
      <c r="AA98" s="13">
        <f ca="1">IF(AND(Vorrunde!$I46&lt;&gt;"",Vorrunde!$K46&lt;&gt;"",Vorrunde!$I46&lt;&gt;Vorrunde!$K46,OR(AND(Vorrunde!$L46="",Vorrunde!$N46=""),AND(Vorrunde!$L46&lt;&gt;"",Vorrunde!$N46&lt;&gt;"",Vorrunde!$L46&lt;&gt;Vorrunde!$N46)),Vorrunde!$F46&lt;&gt;"",Vorrunde!$H46&lt;&gt;"",Vorrunde!$F46&lt;&gt;Vorrunde!$H46),1,0)</f>
        <v>1</v>
      </c>
      <c r="AB98" s="13" t="str">
        <f ca="1">IF(AA98&gt;0,(X98+AG98)&amp;Sprache!$E$90&amp;(Y98+AH98),"")</f>
        <v>50:34</v>
      </c>
      <c r="AD98" s="141"/>
      <c r="AE98" s="146">
        <f t="shared" ca="1" si="66"/>
        <v>2</v>
      </c>
      <c r="AF98" s="141">
        <f t="shared" ca="1" si="67"/>
        <v>0</v>
      </c>
      <c r="AG98" s="146">
        <f ca="1">IF($AA98=1,Vorrunde!$L46,"")</f>
        <v>25</v>
      </c>
      <c r="AH98" s="141">
        <f ca="1">IF($AA98=1,Vorrunde!$N46,"")</f>
        <v>13</v>
      </c>
      <c r="AI98" s="141"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9"/>
        <v>RB LeipzigSV Oberredenburg</v>
      </c>
      <c r="AA99" s="13">
        <f ca="1">IF(AND(Vorrunde!$I47&lt;&gt;"",Vorrunde!$K47&lt;&gt;"",Vorrunde!$I47&lt;&gt;Vorrunde!$K47,OR(AND(Vorrunde!$L47="",Vorrunde!$N47=""),AND(Vorrunde!$L47&lt;&gt;"",Vorrunde!$N47&lt;&gt;"",Vorrunde!$L47&lt;&gt;Vorrunde!$N47)),Vorrunde!$F47&lt;&gt;"",Vorrunde!$H47&lt;&gt;"",Vorrunde!$F47&lt;&gt;Vorrunde!$H47),1,0)</f>
        <v>1</v>
      </c>
      <c r="AB99" s="13" t="str">
        <f ca="1">IF(AA99&gt;0,(X99+AG99)&amp;Sprache!$E$90&amp;(Y99+AH99),"")</f>
        <v>50:36</v>
      </c>
      <c r="AD99" s="141"/>
      <c r="AE99" s="146">
        <f t="shared" ca="1" si="66"/>
        <v>2</v>
      </c>
      <c r="AF99" s="141">
        <f t="shared" ca="1" si="67"/>
        <v>0</v>
      </c>
      <c r="AG99" s="146">
        <f ca="1">IF($AA99=1,Vorrunde!$L47,"")</f>
        <v>25</v>
      </c>
      <c r="AH99" s="141">
        <f ca="1">IF($AA99=1,Vorrunde!$N47,"")</f>
        <v>17</v>
      </c>
      <c r="AI99" s="141"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9"/>
        <v>1. FC RiedwaldFC Barcelona</v>
      </c>
      <c r="AA100" s="13">
        <f ca="1">IF(AND(Vorrunde!$I48&lt;&gt;"",Vorrunde!$K48&lt;&gt;"",Vorrunde!$I48&lt;&gt;Vorrunde!$K48,OR(AND(Vorrunde!$L48="",Vorrunde!$N48=""),AND(Vorrunde!$L48&lt;&gt;"",Vorrunde!$N48&lt;&gt;"",Vorrunde!$L48&lt;&gt;Vorrunde!$N48)),Vorrunde!$F48&lt;&gt;"",Vorrunde!$H48&lt;&gt;"",Vorrunde!$F48&lt;&gt;Vorrunde!$H48),1,0)</f>
        <v>1</v>
      </c>
      <c r="AB100" s="13" t="str">
        <f ca="1">IF(AA100&gt;0,(X100+AG100)&amp;Sprache!$E$90&amp;(Y100+AH100),"")</f>
        <v>50:35</v>
      </c>
      <c r="AD100" s="141"/>
      <c r="AE100" s="146">
        <f t="shared" ca="1" si="66"/>
        <v>2</v>
      </c>
      <c r="AF100" s="141">
        <f t="shared" ca="1" si="67"/>
        <v>0</v>
      </c>
      <c r="AG100" s="146">
        <f ca="1">IF($AA100=1,Vorrunde!$L48,"")</f>
        <v>25</v>
      </c>
      <c r="AH100" s="141">
        <f ca="1">IF($AA100=1,Vorrunde!$N48,"")</f>
        <v>18</v>
      </c>
      <c r="AI100" s="141"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9"/>
        <v>Mainz 05Inter Mailand</v>
      </c>
      <c r="AA101" s="13">
        <f ca="1">IF(AND(Vorrunde!$I49&lt;&gt;"",Vorrunde!$K49&lt;&gt;"",Vorrunde!$I49&lt;&gt;Vorrunde!$K49,OR(AND(Vorrunde!$L49="",Vorrunde!$N49=""),AND(Vorrunde!$L49&lt;&gt;"",Vorrunde!$N49&lt;&gt;"",Vorrunde!$L49&lt;&gt;Vorrunde!$N49)),Vorrunde!$F49&lt;&gt;"",Vorrunde!$H49&lt;&gt;"",Vorrunde!$F49&lt;&gt;Vorrunde!$H49),1,0)</f>
        <v>1</v>
      </c>
      <c r="AB101" s="13" t="str">
        <f ca="1">IF(AA101&gt;0,(X101+AG101)&amp;Sprache!$E$90&amp;(Y101+AH101),"")</f>
        <v>50:33</v>
      </c>
      <c r="AD101" s="141"/>
      <c r="AE101" s="146">
        <f t="shared" ca="1" si="66"/>
        <v>2</v>
      </c>
      <c r="AF101" s="141">
        <f t="shared" ca="1" si="67"/>
        <v>0</v>
      </c>
      <c r="AG101" s="146">
        <f ca="1">IF($AA101=1,Vorrunde!$L49,"")</f>
        <v>25</v>
      </c>
      <c r="AH101" s="141">
        <f ca="1">IF($AA101=1,Vorrunde!$N49,"")</f>
        <v>19</v>
      </c>
      <c r="AI101" s="141"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9"/>
        <v>Kickers RodendorfReal Madrid</v>
      </c>
      <c r="AA102" s="13">
        <f ca="1">IF(AND(Vorrunde!$I50&lt;&gt;"",Vorrunde!$K50&lt;&gt;"",Vorrunde!$I50&lt;&gt;Vorrunde!$K50,OR(AND(Vorrunde!$L50="",Vorrunde!$N50=""),AND(Vorrunde!$L50&lt;&gt;"",Vorrunde!$N50&lt;&gt;"",Vorrunde!$L50&lt;&gt;Vorrunde!$N50)),Vorrunde!$F50&lt;&gt;"",Vorrunde!$H50&lt;&gt;"",Vorrunde!$F50&lt;&gt;Vorrunde!$H50),1,0)</f>
        <v>1</v>
      </c>
      <c r="AB102" s="13" t="str">
        <f ca="1">IF(AA102&gt;0,(X102+AG102)&amp;Sprache!$E$90&amp;(Y102+AH102),"")</f>
        <v>38:45</v>
      </c>
      <c r="AD102" s="141"/>
      <c r="AE102" s="146">
        <f t="shared" ca="1" si="66"/>
        <v>1</v>
      </c>
      <c r="AF102" s="141">
        <f t="shared" ca="1" si="67"/>
        <v>1</v>
      </c>
      <c r="AG102" s="146">
        <f ca="1">IF($AA102=1,Vorrunde!$L50,"")</f>
        <v>25</v>
      </c>
      <c r="AH102" s="141">
        <f ca="1">IF($AA102=1,Vorrunde!$N50,"")</f>
        <v>20</v>
      </c>
      <c r="AI102" s="141"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9"/>
        <v>TSG Saalberg eVParis St. Germain</v>
      </c>
      <c r="AA103" s="13">
        <f ca="1">IF(AND(Vorrunde!$I51&lt;&gt;"",Vorrunde!$K51&lt;&gt;"",Vorrunde!$I51&lt;&gt;Vorrunde!$K51,OR(AND(Vorrunde!$L51="",Vorrunde!$N51=""),AND(Vorrunde!$L51&lt;&gt;"",Vorrunde!$N51&lt;&gt;"",Vorrunde!$L51&lt;&gt;Vorrunde!$N51)),Vorrunde!$F51&lt;&gt;"",Vorrunde!$H51&lt;&gt;"",Vorrunde!$F51&lt;&gt;Vorrunde!$H51),1,0)</f>
        <v>1</v>
      </c>
      <c r="AB103" s="13" t="str">
        <f ca="1">IF(AA103&gt;0,(X103+AG103)&amp;Sprache!$E$90&amp;(Y103+AH103),"")</f>
        <v>43:46</v>
      </c>
      <c r="AD103" s="141"/>
      <c r="AE103" s="146">
        <f t="shared" ca="1" si="66"/>
        <v>1</v>
      </c>
      <c r="AF103" s="141">
        <f t="shared" ca="1" si="67"/>
        <v>1</v>
      </c>
      <c r="AG103" s="146">
        <f ca="1">IF($AA103=1,Vorrunde!$L51,"")</f>
        <v>25</v>
      </c>
      <c r="AH103" s="141">
        <f ca="1">IF($AA103=1,Vorrunde!$N51,"")</f>
        <v>21</v>
      </c>
      <c r="AI103" s="141"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9"/>
        <v/>
      </c>
      <c r="AA104" s="13">
        <f ca="1">IF(AND(Vorrunde!$I52&lt;&gt;"",Vorrunde!$K52&lt;&gt;"",Vorrunde!$I52&lt;&gt;Vorrunde!$K52,OR(AND(Vorrunde!$L52="",Vorrunde!$N52=""),AND(Vorrunde!$L52&lt;&gt;"",Vorrunde!$N52&lt;&gt;"",Vorrunde!$L52&lt;&gt;Vorrunde!$N52)),Vorrunde!$F52&lt;&gt;"",Vorrunde!$H52&lt;&gt;"",Vorrunde!$F52&lt;&gt;Vorrunde!$H52),1,0)</f>
        <v>0</v>
      </c>
      <c r="AB104" s="13" t="str">
        <f ca="1">IF(AA104&gt;0,(X104+AG104)&amp;Sprache!$E$90&amp;(Y104+AH104),"")</f>
        <v/>
      </c>
      <c r="AD104" s="141"/>
      <c r="AE104" s="146">
        <f t="shared" ca="1" si="66"/>
        <v>0</v>
      </c>
      <c r="AF104" s="141">
        <f t="shared" ca="1" si="67"/>
        <v>0</v>
      </c>
      <c r="AG104" s="146" t="str">
        <f ca="1">IF($AA104=1,Vorrunde!$L52,"")</f>
        <v/>
      </c>
      <c r="AH104" s="141" t="str">
        <f ca="1">IF($AA104=1,Vorrunde!$N52,"")</f>
        <v/>
      </c>
      <c r="AI104" s="141"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9"/>
        <v/>
      </c>
      <c r="AA105" s="13">
        <f ca="1">IF(AND(Vorrunde!$I53&lt;&gt;"",Vorrunde!$K53&lt;&gt;"",Vorrunde!$I53&lt;&gt;Vorrunde!$K53,OR(AND(Vorrunde!$L53="",Vorrunde!$N53=""),AND(Vorrunde!$L53&lt;&gt;"",Vorrunde!$N53&lt;&gt;"",Vorrunde!$L53&lt;&gt;Vorrunde!$N53)),Vorrunde!$F53&lt;&gt;"",Vorrunde!$H53&lt;&gt;"",Vorrunde!$F53&lt;&gt;Vorrunde!$H53),1,0)</f>
        <v>0</v>
      </c>
      <c r="AB105" s="13" t="str">
        <f ca="1">IF(AA105&gt;0,(X105+AG105)&amp;Sprache!$E$90&amp;(Y105+AH105),"")</f>
        <v/>
      </c>
      <c r="AD105" s="141"/>
      <c r="AE105" s="146">
        <f t="shared" ca="1" si="66"/>
        <v>0</v>
      </c>
      <c r="AF105" s="141">
        <f t="shared" ca="1" si="67"/>
        <v>0</v>
      </c>
      <c r="AG105" s="146" t="str">
        <f ca="1">IF($AA105=1,Vorrunde!$L53,"")</f>
        <v/>
      </c>
      <c r="AH105" s="141" t="str">
        <f ca="1">IF($AA105=1,Vorrunde!$N53,"")</f>
        <v/>
      </c>
      <c r="AI105" s="141"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9"/>
        <v/>
      </c>
      <c r="AA106" s="13">
        <f ca="1">IF(AND(Vorrunde!$I54&lt;&gt;"",Vorrunde!$K54&lt;&gt;"",Vorrunde!$I54&lt;&gt;Vorrunde!$K54,OR(AND(Vorrunde!$L54="",Vorrunde!$N54=""),AND(Vorrunde!$L54&lt;&gt;"",Vorrunde!$N54&lt;&gt;"",Vorrunde!$L54&lt;&gt;Vorrunde!$N54)),Vorrunde!$F54&lt;&gt;"",Vorrunde!$H54&lt;&gt;"",Vorrunde!$F54&lt;&gt;Vorrunde!$H54),1,0)</f>
        <v>0</v>
      </c>
      <c r="AB106" s="13" t="str">
        <f ca="1">IF(AA106&gt;0,(X106+AG106)&amp;Sprache!$E$90&amp;(Y106+AH106),"")</f>
        <v/>
      </c>
      <c r="AD106" s="141"/>
      <c r="AE106" s="146">
        <f t="shared" ca="1" si="66"/>
        <v>0</v>
      </c>
      <c r="AF106" s="141">
        <f t="shared" ca="1" si="67"/>
        <v>0</v>
      </c>
      <c r="AG106" s="146" t="str">
        <f ca="1">IF($AA106=1,Vorrunde!$L54,"")</f>
        <v/>
      </c>
      <c r="AH106" s="141" t="str">
        <f ca="1">IF($AA106=1,Vorrunde!$N54,"")</f>
        <v/>
      </c>
      <c r="AI106" s="141"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9"/>
        <v/>
      </c>
      <c r="AA107" s="13">
        <f ca="1">IF(AND(Vorrunde!$I55&lt;&gt;"",Vorrunde!$K55&lt;&gt;"",Vorrunde!$I55&lt;&gt;Vorrunde!$K55,OR(AND(Vorrunde!$L55="",Vorrunde!$N55=""),AND(Vorrunde!$L55&lt;&gt;"",Vorrunde!$N55&lt;&gt;"",Vorrunde!$L55&lt;&gt;Vorrunde!$N55)),Vorrunde!$F55&lt;&gt;"",Vorrunde!$H55&lt;&gt;"",Vorrunde!$F55&lt;&gt;Vorrunde!$H55),1,0)</f>
        <v>0</v>
      </c>
      <c r="AB107" s="13" t="str">
        <f ca="1">IF(AA107&gt;0,(X107+AG107)&amp;Sprache!$E$90&amp;(Y107+AH107),"")</f>
        <v/>
      </c>
      <c r="AD107" s="141"/>
      <c r="AE107" s="146">
        <f t="shared" ca="1" si="66"/>
        <v>0</v>
      </c>
      <c r="AF107" s="141">
        <f t="shared" ca="1" si="67"/>
        <v>0</v>
      </c>
      <c r="AG107" s="146" t="str">
        <f ca="1">IF($AA107=1,Vorrunde!$L55,"")</f>
        <v/>
      </c>
      <c r="AH107" s="141" t="str">
        <f ca="1">IF($AA107=1,Vorrunde!$N55,"")</f>
        <v/>
      </c>
      <c r="AI107" s="141"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9"/>
        <v/>
      </c>
      <c r="AA108" s="13">
        <f ca="1">IF(AND(Vorrunde!$I56&lt;&gt;"",Vorrunde!$K56&lt;&gt;"",Vorrunde!$I56&lt;&gt;Vorrunde!$K56,OR(AND(Vorrunde!$L56="",Vorrunde!$N56=""),AND(Vorrunde!$L56&lt;&gt;"",Vorrunde!$N56&lt;&gt;"",Vorrunde!$L56&lt;&gt;Vorrunde!$N56)),Vorrunde!$F56&lt;&gt;"",Vorrunde!$H56&lt;&gt;"",Vorrunde!$F56&lt;&gt;Vorrunde!$H56),1,0)</f>
        <v>0</v>
      </c>
      <c r="AB108" s="13" t="str">
        <f ca="1">IF(AA108&gt;0,(X108+AG108)&amp;Sprache!$E$90&amp;(Y108+AH108),"")</f>
        <v/>
      </c>
      <c r="AD108" s="141"/>
      <c r="AE108" s="146">
        <f t="shared" ca="1" si="66"/>
        <v>0</v>
      </c>
      <c r="AF108" s="141">
        <f t="shared" ca="1" si="67"/>
        <v>0</v>
      </c>
      <c r="AG108" s="146" t="str">
        <f ca="1">IF($AA108=1,Vorrunde!$L56,"")</f>
        <v/>
      </c>
      <c r="AH108" s="141" t="str">
        <f ca="1">IF($AA108=1,Vorrunde!$N56,"")</f>
        <v/>
      </c>
      <c r="AI108" s="141"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9"/>
        <v/>
      </c>
      <c r="AA109" s="13">
        <f ca="1">IF(AND(Vorrunde!$I57&lt;&gt;"",Vorrunde!$K57&lt;&gt;"",Vorrunde!$I57&lt;&gt;Vorrunde!$K57,OR(AND(Vorrunde!$L57="",Vorrunde!$N57=""),AND(Vorrunde!$L57&lt;&gt;"",Vorrunde!$N57&lt;&gt;"",Vorrunde!$L57&lt;&gt;Vorrunde!$N57)),Vorrunde!$F57&lt;&gt;"",Vorrunde!$H57&lt;&gt;"",Vorrunde!$F57&lt;&gt;Vorrunde!$H57),1,0)</f>
        <v>0</v>
      </c>
      <c r="AB109" s="13" t="str">
        <f ca="1">IF(AA109&gt;0,(X109+AG109)&amp;Sprache!$E$90&amp;(Y109+AH109),"")</f>
        <v/>
      </c>
      <c r="AD109" s="141"/>
      <c r="AE109" s="146">
        <f t="shared" ca="1" si="66"/>
        <v>0</v>
      </c>
      <c r="AF109" s="141">
        <f t="shared" ca="1" si="67"/>
        <v>0</v>
      </c>
      <c r="AG109" s="146" t="str">
        <f ca="1">IF($AA109=1,Vorrunde!$L57,"")</f>
        <v/>
      </c>
      <c r="AH109" s="141" t="str">
        <f ca="1">IF($AA109=1,Vorrunde!$N57,"")</f>
        <v/>
      </c>
      <c r="AI109" s="141"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9"/>
        <v/>
      </c>
      <c r="AA110" s="13">
        <f ca="1">IF(AND(Vorrunde!$I58&lt;&gt;"",Vorrunde!$K58&lt;&gt;"",Vorrunde!$I58&lt;&gt;Vorrunde!$K58,OR(AND(Vorrunde!$L58="",Vorrunde!$N58=""),AND(Vorrunde!$L58&lt;&gt;"",Vorrunde!$N58&lt;&gt;"",Vorrunde!$L58&lt;&gt;Vorrunde!$N58)),Vorrunde!$F58&lt;&gt;"",Vorrunde!$H58&lt;&gt;"",Vorrunde!$F58&lt;&gt;Vorrunde!$H58),1,0)</f>
        <v>0</v>
      </c>
      <c r="AB110" s="13" t="str">
        <f ca="1">IF(AA110&gt;0,(X110+AG110)&amp;Sprache!$E$90&amp;(Y110+AH110),"")</f>
        <v/>
      </c>
      <c r="AD110" s="141"/>
      <c r="AE110" s="146">
        <f t="shared" ca="1" si="66"/>
        <v>0</v>
      </c>
      <c r="AF110" s="141">
        <f t="shared" ca="1" si="67"/>
        <v>0</v>
      </c>
      <c r="AG110" s="146" t="str">
        <f ca="1">IF($AA110=1,Vorrunde!$L58,"")</f>
        <v/>
      </c>
      <c r="AH110" s="141" t="str">
        <f ca="1">IF($AA110=1,Vorrunde!$N58,"")</f>
        <v/>
      </c>
      <c r="AI110" s="141"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9"/>
        <v/>
      </c>
      <c r="AA111" s="13">
        <f ca="1">IF(AND(Vorrunde!$I59&lt;&gt;"",Vorrunde!$K59&lt;&gt;"",Vorrunde!$I59&lt;&gt;Vorrunde!$K59,OR(AND(Vorrunde!$L59="",Vorrunde!$N59=""),AND(Vorrunde!$L59&lt;&gt;"",Vorrunde!$N59&lt;&gt;"",Vorrunde!$L59&lt;&gt;Vorrunde!$N59)),Vorrunde!$F59&lt;&gt;"",Vorrunde!$H59&lt;&gt;"",Vorrunde!$F59&lt;&gt;Vorrunde!$H59),1,0)</f>
        <v>0</v>
      </c>
      <c r="AB111" s="13" t="str">
        <f ca="1">IF(AA111&gt;0,(X111+AG111)&amp;Sprache!$E$90&amp;(Y111+AH111),"")</f>
        <v/>
      </c>
      <c r="AD111" s="141"/>
      <c r="AE111" s="146">
        <f t="shared" ca="1" si="66"/>
        <v>0</v>
      </c>
      <c r="AF111" s="141">
        <f t="shared" ca="1" si="67"/>
        <v>0</v>
      </c>
      <c r="AG111" s="146" t="str">
        <f ca="1">IF($AA111=1,Vorrunde!$L59,"")</f>
        <v/>
      </c>
      <c r="AH111" s="141" t="str">
        <f ca="1">IF($AA111=1,Vorrunde!$N59,"")</f>
        <v/>
      </c>
      <c r="AI111" s="141"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9"/>
        <v/>
      </c>
      <c r="AA112" s="13">
        <f ca="1">IF(AND(Vorrunde!$I60&lt;&gt;"",Vorrunde!$K60&lt;&gt;"",Vorrunde!$I60&lt;&gt;Vorrunde!$K60,OR(AND(Vorrunde!$L60="",Vorrunde!$N60=""),AND(Vorrunde!$L60&lt;&gt;"",Vorrunde!$N60&lt;&gt;"",Vorrunde!$L60&lt;&gt;Vorrunde!$N60)),Vorrunde!$F60&lt;&gt;"",Vorrunde!$H60&lt;&gt;"",Vorrunde!$F60&lt;&gt;Vorrunde!$H60),1,0)</f>
        <v>0</v>
      </c>
      <c r="AB112" s="13" t="str">
        <f ca="1">IF(AA112&gt;0,(X112+AG112)&amp;Sprache!$E$90&amp;(Y112+AH112),"")</f>
        <v/>
      </c>
      <c r="AD112" s="141"/>
      <c r="AE112" s="146">
        <f t="shared" ca="1" si="66"/>
        <v>0</v>
      </c>
      <c r="AF112" s="141">
        <f t="shared" ca="1" si="67"/>
        <v>0</v>
      </c>
      <c r="AG112" s="146" t="str">
        <f ca="1">IF($AA112=1,Vorrunde!$L60,"")</f>
        <v/>
      </c>
      <c r="AH112" s="141" t="str">
        <f ca="1">IF($AA112=1,Vorrunde!$N60,"")</f>
        <v/>
      </c>
      <c r="AI112" s="141"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9"/>
        <v/>
      </c>
      <c r="AA113" s="13">
        <f ca="1">IF(AND(Vorrunde!$I61&lt;&gt;"",Vorrunde!$K61&lt;&gt;"",Vorrunde!$I61&lt;&gt;Vorrunde!$K61,OR(AND(Vorrunde!$L61="",Vorrunde!$N61=""),AND(Vorrunde!$L61&lt;&gt;"",Vorrunde!$N61&lt;&gt;"",Vorrunde!$L61&lt;&gt;Vorrunde!$N61)),Vorrunde!$F61&lt;&gt;"",Vorrunde!$H61&lt;&gt;"",Vorrunde!$F61&lt;&gt;Vorrunde!$H61),1,0)</f>
        <v>0</v>
      </c>
      <c r="AB113" s="13" t="str">
        <f ca="1">IF(AA113&gt;0,(X113+AG113)&amp;Sprache!$E$90&amp;(Y113+AH113),"")</f>
        <v/>
      </c>
      <c r="AD113" s="141"/>
      <c r="AE113" s="146">
        <f t="shared" ca="1" si="66"/>
        <v>0</v>
      </c>
      <c r="AF113" s="141">
        <f t="shared" ca="1" si="67"/>
        <v>0</v>
      </c>
      <c r="AG113" s="146" t="str">
        <f ca="1">IF($AA113=1,Vorrunde!$L61,"")</f>
        <v/>
      </c>
      <c r="AH113" s="141" t="str">
        <f ca="1">IF($AA113=1,Vorrunde!$N61,"")</f>
        <v/>
      </c>
      <c r="AI113" s="141"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9"/>
        <v/>
      </c>
      <c r="AA114" s="13">
        <f ca="1">IF(AND(Vorrunde!$I62&lt;&gt;"",Vorrunde!$K62&lt;&gt;"",Vorrunde!$I62&lt;&gt;Vorrunde!$K62,OR(AND(Vorrunde!$L62="",Vorrunde!$N62=""),AND(Vorrunde!$L62&lt;&gt;"",Vorrunde!$N62&lt;&gt;"",Vorrunde!$L62&lt;&gt;Vorrunde!$N62)),Vorrunde!$F62&lt;&gt;"",Vorrunde!$H62&lt;&gt;"",Vorrunde!$F62&lt;&gt;Vorrunde!$H62),1,0)</f>
        <v>0</v>
      </c>
      <c r="AB114" s="13" t="str">
        <f ca="1">IF(AA114&gt;0,(X114+AG114)&amp;Sprache!$E$90&amp;(Y114+AH114),"")</f>
        <v/>
      </c>
      <c r="AD114" s="141"/>
      <c r="AE114" s="146">
        <f t="shared" ca="1" si="66"/>
        <v>0</v>
      </c>
      <c r="AF114" s="141">
        <f t="shared" ca="1" si="67"/>
        <v>0</v>
      </c>
      <c r="AG114" s="146" t="str">
        <f ca="1">IF($AA114=1,Vorrunde!$L62,"")</f>
        <v/>
      </c>
      <c r="AH114" s="141" t="str">
        <f ca="1">IF($AA114=1,Vorrunde!$N62,"")</f>
        <v/>
      </c>
      <c r="AI114" s="141"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9"/>
        <v/>
      </c>
      <c r="AA115" s="13">
        <f ca="1">IF(AND(Vorrunde!$I63&lt;&gt;"",Vorrunde!$K63&lt;&gt;"",Vorrunde!$I63&lt;&gt;Vorrunde!$K63,OR(AND(Vorrunde!$L63="",Vorrunde!$N63=""),AND(Vorrunde!$L63&lt;&gt;"",Vorrunde!$N63&lt;&gt;"",Vorrunde!$L63&lt;&gt;Vorrunde!$N63)),Vorrunde!$F63&lt;&gt;"",Vorrunde!$H63&lt;&gt;"",Vorrunde!$F63&lt;&gt;Vorrunde!$H63),1,0)</f>
        <v>0</v>
      </c>
      <c r="AB115" s="13" t="str">
        <f ca="1">IF(AA115&gt;0,(X115+AG115)&amp;Sprache!$E$90&amp;(Y115+AH115),"")</f>
        <v/>
      </c>
      <c r="AD115" s="141"/>
      <c r="AE115" s="146">
        <f t="shared" ca="1" si="66"/>
        <v>0</v>
      </c>
      <c r="AF115" s="141">
        <f t="shared" ca="1" si="67"/>
        <v>0</v>
      </c>
      <c r="AG115" s="146" t="str">
        <f ca="1">IF($AA115=1,Vorrunde!$L63,"")</f>
        <v/>
      </c>
      <c r="AH115" s="141" t="str">
        <f ca="1">IF($AA115=1,Vorrunde!$N63,"")</f>
        <v/>
      </c>
      <c r="AI115" s="141"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9"/>
        <v/>
      </c>
      <c r="AA116" s="13">
        <f ca="1">IF(AND(Vorrunde!$I64&lt;&gt;"",Vorrunde!$K64&lt;&gt;"",Vorrunde!$I64&lt;&gt;Vorrunde!$K64,OR(AND(Vorrunde!$L64="",Vorrunde!$N64=""),AND(Vorrunde!$L64&lt;&gt;"",Vorrunde!$N64&lt;&gt;"",Vorrunde!$L64&lt;&gt;Vorrunde!$N64)),Vorrunde!$F64&lt;&gt;"",Vorrunde!$H64&lt;&gt;"",Vorrunde!$F64&lt;&gt;Vorrunde!$H64),1,0)</f>
        <v>0</v>
      </c>
      <c r="AB116" s="13" t="str">
        <f ca="1">IF(AA116&gt;0,(X116+AG116)&amp;Sprache!$E$90&amp;(Y116+AH116),"")</f>
        <v/>
      </c>
      <c r="AD116" s="141"/>
      <c r="AE116" s="146">
        <f t="shared" ca="1" si="66"/>
        <v>0</v>
      </c>
      <c r="AF116" s="141">
        <f t="shared" ca="1" si="67"/>
        <v>0</v>
      </c>
      <c r="AG116" s="146" t="str">
        <f ca="1">IF($AA116=1,Vorrunde!$L64,"")</f>
        <v/>
      </c>
      <c r="AH116" s="141" t="str">
        <f ca="1">IF($AA116=1,Vorrunde!$N64,"")</f>
        <v/>
      </c>
      <c r="AI116" s="141"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9"/>
        <v/>
      </c>
      <c r="AA117" s="13">
        <f ca="1">IF(AND(Vorrunde!$I65&lt;&gt;"",Vorrunde!$K65&lt;&gt;"",Vorrunde!$I65&lt;&gt;Vorrunde!$K65,OR(AND(Vorrunde!$L65="",Vorrunde!$N65=""),AND(Vorrunde!$L65&lt;&gt;"",Vorrunde!$N65&lt;&gt;"",Vorrunde!$L65&lt;&gt;Vorrunde!$N65)),Vorrunde!$F65&lt;&gt;"",Vorrunde!$H65&lt;&gt;"",Vorrunde!$F65&lt;&gt;Vorrunde!$H65),1,0)</f>
        <v>0</v>
      </c>
      <c r="AB117" s="13" t="str">
        <f ca="1">IF(AA117&gt;0,(X117+AG117)&amp;Sprache!$E$90&amp;(Y117+AH117),"")</f>
        <v/>
      </c>
      <c r="AD117" s="141"/>
      <c r="AE117" s="146">
        <f t="shared" ca="1" si="66"/>
        <v>0</v>
      </c>
      <c r="AF117" s="141">
        <f t="shared" ca="1" si="67"/>
        <v>0</v>
      </c>
      <c r="AG117" s="146" t="str">
        <f ca="1">IF($AA117=1,Vorrunde!$L65,"")</f>
        <v/>
      </c>
      <c r="AH117" s="141" t="str">
        <f ca="1">IF($AA117=1,Vorrunde!$N65,"")</f>
        <v/>
      </c>
      <c r="AI117" s="141"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9"/>
        <v/>
      </c>
      <c r="AA118" s="13">
        <f ca="1">IF(AND(Vorrunde!$I66&lt;&gt;"",Vorrunde!$K66&lt;&gt;"",Vorrunde!$I66&lt;&gt;Vorrunde!$K66,OR(AND(Vorrunde!$L66="",Vorrunde!$N66=""),AND(Vorrunde!$L66&lt;&gt;"",Vorrunde!$N66&lt;&gt;"",Vorrunde!$L66&lt;&gt;Vorrunde!$N66)),Vorrunde!$F66&lt;&gt;"",Vorrunde!$H66&lt;&gt;"",Vorrunde!$F66&lt;&gt;Vorrunde!$H66),1,0)</f>
        <v>0</v>
      </c>
      <c r="AB118" s="13" t="str">
        <f ca="1">IF(AA118&gt;0,(X118+AG118)&amp;Sprache!$E$90&amp;(Y118+AH118),"")</f>
        <v/>
      </c>
      <c r="AD118" s="141"/>
      <c r="AE118" s="146">
        <f t="shared" ca="1" si="66"/>
        <v>0</v>
      </c>
      <c r="AF118" s="141">
        <f t="shared" ca="1" si="67"/>
        <v>0</v>
      </c>
      <c r="AG118" s="146" t="str">
        <f ca="1">IF($AA118=1,Vorrunde!$L66,"")</f>
        <v/>
      </c>
      <c r="AH118" s="141" t="str">
        <f ca="1">IF($AA118=1,Vorrunde!$N66,"")</f>
        <v/>
      </c>
      <c r="AI118" s="141"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9"/>
        <v/>
      </c>
      <c r="AA119" s="13">
        <f ca="1">IF(AND(Vorrunde!$I67&lt;&gt;"",Vorrunde!$K67&lt;&gt;"",Vorrunde!$I67&lt;&gt;Vorrunde!$K67,OR(AND(Vorrunde!$L67="",Vorrunde!$N67=""),AND(Vorrunde!$L67&lt;&gt;"",Vorrunde!$N67&lt;&gt;"",Vorrunde!$L67&lt;&gt;Vorrunde!$N67)),Vorrunde!$F67&lt;&gt;"",Vorrunde!$H67&lt;&gt;"",Vorrunde!$F67&lt;&gt;Vorrunde!$H67),1,0)</f>
        <v>0</v>
      </c>
      <c r="AB119" s="13" t="str">
        <f ca="1">IF(AA119&gt;0,(X119+AG119)&amp;Sprache!$E$90&amp;(Y119+AH119),"")</f>
        <v/>
      </c>
      <c r="AD119" s="141"/>
      <c r="AE119" s="146">
        <f t="shared" ca="1" si="66"/>
        <v>0</v>
      </c>
      <c r="AF119" s="141">
        <f t="shared" ca="1" si="67"/>
        <v>0</v>
      </c>
      <c r="AG119" s="146" t="str">
        <f ca="1">IF($AA119=1,Vorrunde!$L67,"")</f>
        <v/>
      </c>
      <c r="AH119" s="141" t="str">
        <f ca="1">IF($AA119=1,Vorrunde!$N67,"")</f>
        <v/>
      </c>
      <c r="AI119" s="141"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9"/>
        <v/>
      </c>
      <c r="AA120" s="13">
        <f ca="1">IF(AND(Vorrunde!$I68&lt;&gt;"",Vorrunde!$K68&lt;&gt;"",Vorrunde!$I68&lt;&gt;Vorrunde!$K68,OR(AND(Vorrunde!$L68="",Vorrunde!$N68=""),AND(Vorrunde!$L68&lt;&gt;"",Vorrunde!$N68&lt;&gt;"",Vorrunde!$L68&lt;&gt;Vorrunde!$N68)),Vorrunde!$F68&lt;&gt;"",Vorrunde!$H68&lt;&gt;"",Vorrunde!$F68&lt;&gt;Vorrunde!$H68),1,0)</f>
        <v>0</v>
      </c>
      <c r="AB120" s="13" t="str">
        <f ca="1">IF(AA120&gt;0,(X120+AG120)&amp;Sprache!$E$90&amp;(Y120+AH120),"")</f>
        <v/>
      </c>
      <c r="AD120" s="141"/>
      <c r="AE120" s="146">
        <f t="shared" ca="1" si="66"/>
        <v>0</v>
      </c>
      <c r="AF120" s="141">
        <f t="shared" ca="1" si="67"/>
        <v>0</v>
      </c>
      <c r="AG120" s="146" t="str">
        <f ca="1">IF($AA120=1,Vorrunde!$L68,"")</f>
        <v/>
      </c>
      <c r="AH120" s="141" t="str">
        <f ca="1">IF($AA120=1,Vorrunde!$N68,"")</f>
        <v/>
      </c>
      <c r="AI120" s="141"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9"/>
        <v/>
      </c>
      <c r="AA121" s="13">
        <f ca="1">IF(AND(Vorrunde!$I69&lt;&gt;"",Vorrunde!$K69&lt;&gt;"",Vorrunde!$I69&lt;&gt;Vorrunde!$K69,OR(AND(Vorrunde!$L69="",Vorrunde!$N69=""),AND(Vorrunde!$L69&lt;&gt;"",Vorrunde!$N69&lt;&gt;"",Vorrunde!$L69&lt;&gt;Vorrunde!$N69)),Vorrunde!$F69&lt;&gt;"",Vorrunde!$H69&lt;&gt;"",Vorrunde!$F69&lt;&gt;Vorrunde!$H69),1,0)</f>
        <v>0</v>
      </c>
      <c r="AB121" s="13" t="str">
        <f ca="1">IF(AA121&gt;0,(X121+AG121)&amp;Sprache!$E$90&amp;(Y121+AH121),"")</f>
        <v/>
      </c>
      <c r="AD121" s="141"/>
      <c r="AE121" s="146">
        <f t="shared" ca="1" si="66"/>
        <v>0</v>
      </c>
      <c r="AF121" s="141">
        <f t="shared" ca="1" si="67"/>
        <v>0</v>
      </c>
      <c r="AG121" s="146" t="str">
        <f ca="1">IF($AA121=1,Vorrunde!$L69,"")</f>
        <v/>
      </c>
      <c r="AH121" s="141" t="str">
        <f ca="1">IF($AA121=1,Vorrunde!$N69,"")</f>
        <v/>
      </c>
      <c r="AI121" s="141"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9"/>
        <v/>
      </c>
      <c r="AA122" s="13">
        <f ca="1">IF(AND(Vorrunde!$I70&lt;&gt;"",Vorrunde!$K70&lt;&gt;"",Vorrunde!$I70&lt;&gt;Vorrunde!$K70,OR(AND(Vorrunde!$L70="",Vorrunde!$N70=""),AND(Vorrunde!$L70&lt;&gt;"",Vorrunde!$N70&lt;&gt;"",Vorrunde!$L70&lt;&gt;Vorrunde!$N70)),Vorrunde!$F70&lt;&gt;"",Vorrunde!$H70&lt;&gt;"",Vorrunde!$F70&lt;&gt;Vorrunde!$H70),1,0)</f>
        <v>0</v>
      </c>
      <c r="AB122" s="13" t="str">
        <f ca="1">IF(AA122&gt;0,(X122+AG122)&amp;Sprache!$E$90&amp;(Y122+AH122),"")</f>
        <v/>
      </c>
      <c r="AD122" s="141"/>
      <c r="AE122" s="146">
        <f t="shared" ca="1" si="66"/>
        <v>0</v>
      </c>
      <c r="AF122" s="141">
        <f t="shared" ca="1" si="67"/>
        <v>0</v>
      </c>
      <c r="AG122" s="146" t="str">
        <f ca="1">IF($AA122=1,Vorrunde!$L70,"")</f>
        <v/>
      </c>
      <c r="AH122" s="141" t="str">
        <f ca="1">IF($AA122=1,Vorrunde!$N70,"")</f>
        <v/>
      </c>
      <c r="AI122" s="141"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9"/>
        <v/>
      </c>
      <c r="AA123" s="13">
        <f ca="1">IF(AND(Vorrunde!$I71&lt;&gt;"",Vorrunde!$K71&lt;&gt;"",Vorrunde!$I71&lt;&gt;Vorrunde!$K71,OR(AND(Vorrunde!$L71="",Vorrunde!$N71=""),AND(Vorrunde!$L71&lt;&gt;"",Vorrunde!$N71&lt;&gt;"",Vorrunde!$L71&lt;&gt;Vorrunde!$N71)),Vorrunde!$F71&lt;&gt;"",Vorrunde!$H71&lt;&gt;"",Vorrunde!$F71&lt;&gt;Vorrunde!$H71),1,0)</f>
        <v>0</v>
      </c>
      <c r="AB123" s="13" t="str">
        <f ca="1">IF(AA123&gt;0,(X123+AG123)&amp;Sprache!$E$90&amp;(Y123+AH123),"")</f>
        <v/>
      </c>
      <c r="AD123" s="141"/>
      <c r="AE123" s="146">
        <f t="shared" ca="1" si="66"/>
        <v>0</v>
      </c>
      <c r="AF123" s="141">
        <f t="shared" ca="1" si="67"/>
        <v>0</v>
      </c>
      <c r="AG123" s="146" t="str">
        <f ca="1">IF($AA123=1,Vorrunde!$L71,"")</f>
        <v/>
      </c>
      <c r="AH123" s="141" t="str">
        <f ca="1">IF($AA123=1,Vorrunde!$N71,"")</f>
        <v/>
      </c>
      <c r="AI123" s="141" t="str">
        <f ca="1">IF(AA123&gt;0,AE123&amp;Sprache!$E$90&amp;AF123,"")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t="str">
        <f>""</f>
        <v/>
      </c>
      <c r="AD125" s="141"/>
      <c r="AE125" s="146"/>
      <c r="AF125" s="141"/>
      <c r="AG125" s="646" t="str">
        <f>""</f>
        <v/>
      </c>
      <c r="AH125" s="647" t="str">
        <f>""</f>
        <v/>
      </c>
      <c r="AI125" s="647"/>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t="str">
        <f>""</f>
        <v/>
      </c>
      <c r="AD126" s="141"/>
      <c r="AE126" s="146"/>
      <c r="AF126" s="141"/>
      <c r="AG126" s="646" t="str">
        <f>""</f>
        <v/>
      </c>
      <c r="AH126" s="647" t="str">
        <f>""</f>
        <v/>
      </c>
      <c r="AI126" s="647"/>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t="str">
        <f>""</f>
        <v/>
      </c>
      <c r="AD127" s="141"/>
      <c r="AE127" s="146"/>
      <c r="AF127" s="141"/>
      <c r="AG127" s="646" t="str">
        <f>""</f>
        <v/>
      </c>
      <c r="AH127" s="647" t="str">
        <f>""</f>
        <v/>
      </c>
      <c r="AI127" s="647"/>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t="str">
        <f>""</f>
        <v/>
      </c>
      <c r="AD128" s="141"/>
      <c r="AE128" s="146"/>
      <c r="AF128" s="141"/>
      <c r="AG128" s="646" t="str">
        <f>""</f>
        <v/>
      </c>
      <c r="AH128" s="647" t="str">
        <f>""</f>
        <v/>
      </c>
      <c r="AI128" s="647"/>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t="str">
        <f>""</f>
        <v/>
      </c>
      <c r="AD129" s="141"/>
      <c r="AE129" s="146"/>
      <c r="AF129" s="141"/>
      <c r="AG129" s="646" t="str">
        <f>""</f>
        <v/>
      </c>
      <c r="AH129" s="647" t="str">
        <f>""</f>
        <v/>
      </c>
      <c r="AI129" s="647"/>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t="str">
        <f>""</f>
        <v/>
      </c>
      <c r="AD130" s="141"/>
      <c r="AE130" s="146"/>
      <c r="AF130" s="141"/>
      <c r="AG130" s="646" t="str">
        <f>""</f>
        <v/>
      </c>
      <c r="AH130" s="647" t="str">
        <f>""</f>
        <v/>
      </c>
      <c r="AI130" s="647"/>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t="str">
        <f>""</f>
        <v/>
      </c>
      <c r="AD131" s="141"/>
      <c r="AE131" s="146"/>
      <c r="AF131" s="141"/>
      <c r="AG131" s="646" t="str">
        <f>""</f>
        <v/>
      </c>
      <c r="AH131" s="647" t="str">
        <f>""</f>
        <v/>
      </c>
      <c r="AI131" s="647"/>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t="str">
        <f>""</f>
        <v/>
      </c>
      <c r="AD132" s="141"/>
      <c r="AE132" s="146"/>
      <c r="AF132" s="141"/>
      <c r="AG132" s="646" t="str">
        <f>""</f>
        <v/>
      </c>
      <c r="AH132" s="647" t="str">
        <f>""</f>
        <v/>
      </c>
      <c r="AI132" s="647"/>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t="str">
        <f>""</f>
        <v/>
      </c>
      <c r="AD133" s="141"/>
      <c r="AE133" s="146"/>
      <c r="AF133" s="141"/>
      <c r="AG133" s="646" t="str">
        <f>""</f>
        <v/>
      </c>
      <c r="AH133" s="647" t="str">
        <f>""</f>
        <v/>
      </c>
      <c r="AI133" s="647"/>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t="str">
        <f>""</f>
        <v/>
      </c>
      <c r="AD134" s="141"/>
      <c r="AE134" s="146"/>
      <c r="AF134" s="141"/>
      <c r="AG134" s="646" t="str">
        <f>""</f>
        <v/>
      </c>
      <c r="AH134" s="647" t="str">
        <f>""</f>
        <v/>
      </c>
      <c r="AI134" s="647"/>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48" t="str">
        <f>""</f>
        <v/>
      </c>
      <c r="AH135" s="649" t="str">
        <f>""</f>
        <v/>
      </c>
      <c r="AI135" s="649"/>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13" t="str">
        <f ca="1">IF(AA136&gt;0,(Y64+AH64)&amp;Sprache!$E$90&amp;(X64+AG64),"")</f>
        <v>36:50</v>
      </c>
      <c r="AD136" s="141"/>
      <c r="AI136" s="654" t="str">
        <f ca="1">IF(AA64&gt;0,AF64&amp;Sprache!$E$90&amp;AE64,"")</f>
        <v>0:2</v>
      </c>
    </row>
    <row r="137" spans="2:35" x14ac:dyDescent="0.2">
      <c r="Y137" s="66" t="s">
        <v>7</v>
      </c>
      <c r="Z137" s="34" t="str">
        <f ca="1">W65&amp;V65</f>
        <v>Inter MailandFC Grönlingen</v>
      </c>
      <c r="AA137" s="13">
        <f t="shared" ref="AA137:AA195" ca="1" si="70">AA65</f>
        <v>1</v>
      </c>
      <c r="AB137" s="13" t="str">
        <f ca="1">IF(AA137&gt;0,(Y65+AH65)&amp;Sprache!$E$90&amp;(X65+AG65),"")</f>
        <v>45:45</v>
      </c>
      <c r="AC137" s="2"/>
      <c r="AD137" s="141"/>
      <c r="AI137" s="655" t="str">
        <f ca="1">IF(AA65&gt;0,AF65&amp;Sprache!$E$90&amp;AE65,"")</f>
        <v>1:1</v>
      </c>
    </row>
    <row r="138" spans="2:35" x14ac:dyDescent="0.2">
      <c r="Y138" s="66" t="s">
        <v>8</v>
      </c>
      <c r="Z138" s="34" t="str">
        <f t="shared" ref="Z138:Z195" ca="1" si="71">W66&amp;V66</f>
        <v>Real Madrid1. FC Nürnberg</v>
      </c>
      <c r="AA138" s="13">
        <f t="shared" ca="1" si="70"/>
        <v>1</v>
      </c>
      <c r="AB138" s="13" t="str">
        <f ca="1">IF(AA138&gt;0,(Y66+AH66)&amp;Sprache!$E$90&amp;(X66+AG66),"")</f>
        <v>40:50</v>
      </c>
      <c r="AC138" s="2"/>
      <c r="AD138" s="141"/>
      <c r="AI138" s="655" t="str">
        <f ca="1">IF(AA66&gt;0,AF66&amp;Sprache!$E$90&amp;AE66,"")</f>
        <v>0:2</v>
      </c>
    </row>
    <row r="139" spans="2:35" x14ac:dyDescent="0.2">
      <c r="Y139" s="66" t="s">
        <v>9</v>
      </c>
      <c r="Z139" s="34" t="str">
        <f t="shared" ca="1" si="71"/>
        <v>Paris St. GermainSV Oberredenburg</v>
      </c>
      <c r="AA139" s="13">
        <f t="shared" ca="1" si="70"/>
        <v>1</v>
      </c>
      <c r="AB139" s="13" t="str">
        <f ca="1">IF(AA139&gt;0,(Y67+AH67)&amp;Sprache!$E$90&amp;(X67+AG67),"")</f>
        <v>42:50</v>
      </c>
      <c r="AC139" s="2"/>
      <c r="AD139" s="141"/>
      <c r="AI139" s="655" t="str">
        <f ca="1">IF(AA67&gt;0,AF67&amp;Sprache!$E$90&amp;AE67,"")</f>
        <v>0:2</v>
      </c>
    </row>
    <row r="140" spans="2:35" x14ac:dyDescent="0.2">
      <c r="Y140" s="66" t="s">
        <v>10</v>
      </c>
      <c r="Z140" s="34" t="str">
        <f t="shared" ca="1" si="71"/>
        <v>Maibach 1822 eVEintracht Frankfurt</v>
      </c>
      <c r="AA140" s="13">
        <f t="shared" ca="1" si="70"/>
        <v>1</v>
      </c>
      <c r="AB140" s="13" t="str">
        <f ca="1">IF(AA140&gt;0,(Y68+AH68)&amp;Sprache!$E$90&amp;(X68+AG68),"")</f>
        <v>44:50</v>
      </c>
      <c r="AC140" s="2"/>
      <c r="AD140" s="141"/>
      <c r="AI140" s="655" t="str">
        <f ca="1">IF(AA68&gt;0,AF68&amp;Sprache!$E$90&amp;AE68,"")</f>
        <v>0:2</v>
      </c>
    </row>
    <row r="141" spans="2:35" x14ac:dyDescent="0.2">
      <c r="Y141" s="66" t="s">
        <v>11</v>
      </c>
      <c r="Z141" s="34" t="str">
        <f t="shared" ca="1" si="71"/>
        <v>Manchester CitySSV Wildbach</v>
      </c>
      <c r="AA141" s="13">
        <f t="shared" ca="1" si="70"/>
        <v>1</v>
      </c>
      <c r="AB141" s="13" t="str">
        <f ca="1">IF(AA141&gt;0,(Y69+AH69)&amp;Sprache!$E$90&amp;(X69+AG69),"")</f>
        <v>39:50</v>
      </c>
      <c r="AC141" s="2"/>
      <c r="AD141" s="141"/>
      <c r="AI141" s="655" t="str">
        <f ca="1">IF(AA69&gt;0,AF69&amp;Sprache!$E$90&amp;AE69,"")</f>
        <v>0:2</v>
      </c>
    </row>
    <row r="142" spans="2:35" x14ac:dyDescent="0.2">
      <c r="Y142" s="66" t="s">
        <v>16</v>
      </c>
      <c r="Z142" s="34" t="str">
        <f t="shared" ca="1" si="71"/>
        <v>FSV RauenBorussia Dortmund</v>
      </c>
      <c r="AA142" s="13">
        <f t="shared" ca="1" si="70"/>
        <v>1</v>
      </c>
      <c r="AB142" s="13" t="str">
        <f ca="1">IF(AA142&gt;0,(Y70+AH70)&amp;Sprache!$E$90&amp;(X70+AG70),"")</f>
        <v>48:45</v>
      </c>
      <c r="AC142" s="2"/>
      <c r="AD142" s="141"/>
      <c r="AI142" s="655" t="str">
        <f ca="1">IF(AA70&gt;0,AF70&amp;Sprache!$E$90&amp;AE70,"")</f>
        <v>1:1</v>
      </c>
    </row>
    <row r="143" spans="2:35" x14ac:dyDescent="0.2">
      <c r="Y143" s="66" t="s">
        <v>17</v>
      </c>
      <c r="Z143" s="34" t="str">
        <f t="shared" ca="1" si="71"/>
        <v>RB LeipzigHSV</v>
      </c>
      <c r="AA143" s="13">
        <f t="shared" ca="1" si="70"/>
        <v>1</v>
      </c>
      <c r="AB143" s="13" t="str">
        <f ca="1">IF(AA143&gt;0,(Y71+AH71)&amp;Sprache!$E$90&amp;(X71+AG71),"")</f>
        <v>42:44</v>
      </c>
      <c r="AC143" s="2"/>
      <c r="AD143" s="141"/>
      <c r="AI143" s="655" t="str">
        <f ca="1">IF(AA71&gt;0,AF71&amp;Sprache!$E$90&amp;AE71,"")</f>
        <v>1:1</v>
      </c>
    </row>
    <row r="144" spans="2:35" x14ac:dyDescent="0.2">
      <c r="Y144" s="66" t="s">
        <v>18</v>
      </c>
      <c r="Z144" s="34" t="str">
        <f t="shared" ca="1" si="71"/>
        <v>1. FC RiedwaldVFB Essenheim</v>
      </c>
      <c r="AA144" s="13">
        <f t="shared" ca="1" si="70"/>
        <v>1</v>
      </c>
      <c r="AB144" s="13" t="str">
        <f ca="1">IF(AA144&gt;0,(Y72+AH72)&amp;Sprache!$E$90&amp;(X72+AG72),"")</f>
        <v>43:41</v>
      </c>
      <c r="AC144" s="2"/>
      <c r="AD144" s="141"/>
      <c r="AI144" s="655" t="str">
        <f ca="1">IF(AA72&gt;0,AF72&amp;Sprache!$E$90&amp;AE72,"")</f>
        <v>1:1</v>
      </c>
    </row>
    <row r="145" spans="25:35" x14ac:dyDescent="0.2">
      <c r="Y145" s="66" t="s">
        <v>24</v>
      </c>
      <c r="Z145" s="34" t="str">
        <f t="shared" ca="1" si="71"/>
        <v>Mainz 05FC Grönlingen</v>
      </c>
      <c r="AA145" s="13">
        <f t="shared" ca="1" si="70"/>
        <v>1</v>
      </c>
      <c r="AB145" s="13" t="str">
        <f ca="1">IF(AA145&gt;0,(Y73+AH73)&amp;Sprache!$E$90&amp;(X73+AG73),"")</f>
        <v>44:39</v>
      </c>
      <c r="AC145" s="2"/>
      <c r="AD145" s="141"/>
      <c r="AI145" s="655" t="str">
        <f ca="1">IF(AA73&gt;0,AF73&amp;Sprache!$E$90&amp;AE73,"")</f>
        <v>1:1</v>
      </c>
    </row>
    <row r="146" spans="25:35" x14ac:dyDescent="0.2">
      <c r="Y146" s="66" t="s">
        <v>25</v>
      </c>
      <c r="Z146" s="34" t="str">
        <f t="shared" ca="1" si="71"/>
        <v>Kickers Rodendorf1. FC Nürnberg</v>
      </c>
      <c r="AA146" s="13">
        <f t="shared" ca="1" si="70"/>
        <v>1</v>
      </c>
      <c r="AB146" s="13" t="str">
        <f ca="1">IF(AA146&gt;0,(Y74+AH74)&amp;Sprache!$E$90&amp;(X74+AG74),"")</f>
        <v>45:47</v>
      </c>
      <c r="AC146" s="2"/>
      <c r="AD146" s="141"/>
      <c r="AI146" s="655" t="str">
        <f ca="1">IF(AA74&gt;0,AF74&amp;Sprache!$E$90&amp;AE74,"")</f>
        <v>1:1</v>
      </c>
    </row>
    <row r="147" spans="25:35" x14ac:dyDescent="0.2">
      <c r="Y147" s="66" t="s">
        <v>26</v>
      </c>
      <c r="Z147" s="34" t="str">
        <f t="shared" ca="1" si="71"/>
        <v>TSG Saalberg eVSV Oberredenburg</v>
      </c>
      <c r="AA147" s="13">
        <f t="shared" ca="1" si="70"/>
        <v>1</v>
      </c>
      <c r="AB147" s="13" t="str">
        <f ca="1">IF(AA147&gt;0,(Y75+AH75)&amp;Sprache!$E$90&amp;(X75+AG75),"")</f>
        <v>46:44</v>
      </c>
      <c r="AC147" s="2"/>
      <c r="AD147" s="141"/>
      <c r="AI147" s="655" t="str">
        <f ca="1">IF(AA75&gt;0,AF75&amp;Sprache!$E$90&amp;AE75,"")</f>
        <v>1:1</v>
      </c>
    </row>
    <row r="148" spans="25:35" x14ac:dyDescent="0.2">
      <c r="Y148" s="66" t="s">
        <v>27</v>
      </c>
      <c r="Z148" s="34" t="str">
        <f t="shared" ca="1" si="71"/>
        <v>Eintracht FrankfurtFC Barcelona</v>
      </c>
      <c r="AA148" s="13">
        <f t="shared" ca="1" si="70"/>
        <v>1</v>
      </c>
      <c r="AB148" s="13" t="str">
        <f ca="1">IF(AA148&gt;0,(Y76+AH76)&amp;Sprache!$E$90&amp;(X76+AG76),"")</f>
        <v>50:29</v>
      </c>
      <c r="AC148" s="2"/>
      <c r="AD148" s="141"/>
      <c r="AI148" s="655" t="str">
        <f ca="1">IF(AA76&gt;0,AF76&amp;Sprache!$E$90&amp;AE76,"")</f>
        <v>2:0</v>
      </c>
    </row>
    <row r="149" spans="25:35" x14ac:dyDescent="0.2">
      <c r="Y149" s="66" t="s">
        <v>28</v>
      </c>
      <c r="Z149" s="34" t="str">
        <f t="shared" ca="1" si="71"/>
        <v>SSV WildbachInter Mailand</v>
      </c>
      <c r="AA149" s="13">
        <f t="shared" ca="1" si="70"/>
        <v>1</v>
      </c>
      <c r="AB149" s="13" t="str">
        <f ca="1">IF(AA149&gt;0,(Y77+AH77)&amp;Sprache!$E$90&amp;(X77+AG77),"")</f>
        <v>48:39</v>
      </c>
      <c r="AC149" s="2"/>
      <c r="AD149" s="141"/>
      <c r="AI149" s="655" t="str">
        <f ca="1">IF(AA77&gt;0,AF77&amp;Sprache!$E$90&amp;AE77,"")</f>
        <v>1:1</v>
      </c>
    </row>
    <row r="150" spans="25:35" x14ac:dyDescent="0.2">
      <c r="Y150" s="66" t="s">
        <v>29</v>
      </c>
      <c r="Z150" s="34" t="str">
        <f t="shared" ca="1" si="71"/>
        <v>Borussia DortmundReal Madrid</v>
      </c>
      <c r="AA150" s="13">
        <f t="shared" ca="1" si="70"/>
        <v>1</v>
      </c>
      <c r="AB150" s="13" t="str">
        <f ca="1">IF(AA150&gt;0,(Y78+AH78)&amp;Sprache!$E$90&amp;(X78+AG78),"")</f>
        <v>42:46</v>
      </c>
      <c r="AC150" s="2"/>
      <c r="AD150" s="141"/>
      <c r="AI150" s="655" t="str">
        <f ca="1">IF(AA78&gt;0,AF78&amp;Sprache!$E$90&amp;AE78,"")</f>
        <v>1:1</v>
      </c>
    </row>
    <row r="151" spans="25:35" x14ac:dyDescent="0.2">
      <c r="Y151" s="66" t="s">
        <v>30</v>
      </c>
      <c r="Z151" s="34" t="str">
        <f t="shared" ca="1" si="71"/>
        <v>HSVParis St. Germain</v>
      </c>
      <c r="AA151" s="13">
        <f t="shared" ca="1" si="70"/>
        <v>1</v>
      </c>
      <c r="AB151" s="13" t="str">
        <f ca="1">IF(AA151&gt;0,(Y79+AH79)&amp;Sprache!$E$90&amp;(X79+AG79),"")</f>
        <v>20:50</v>
      </c>
      <c r="AC151" s="2"/>
      <c r="AD151" s="141"/>
      <c r="AI151" s="655" t="str">
        <f ca="1">IF(AA79&gt;0,AF79&amp;Sprache!$E$90&amp;AE79,"")</f>
        <v>0:2</v>
      </c>
    </row>
    <row r="152" spans="25:35" x14ac:dyDescent="0.2">
      <c r="Y152" s="66" t="s">
        <v>31</v>
      </c>
      <c r="Z152" s="34" t="str">
        <f t="shared" ca="1" si="71"/>
        <v>Maibach 1822 eV1. FC Riedwald</v>
      </c>
      <c r="AA152" s="13">
        <f t="shared" ca="1" si="70"/>
        <v>1</v>
      </c>
      <c r="AB152" s="13" t="str">
        <f ca="1">IF(AA152&gt;0,(Y80+AH80)&amp;Sprache!$E$90&amp;(X80+AG80),"")</f>
        <v>39:50</v>
      </c>
      <c r="AC152" s="2"/>
      <c r="AD152" s="141"/>
      <c r="AI152" s="655" t="str">
        <f ca="1">IF(AA80&gt;0,AF80&amp;Sprache!$E$90&amp;AE80,"")</f>
        <v>0:2</v>
      </c>
    </row>
    <row r="153" spans="25:35" x14ac:dyDescent="0.2">
      <c r="Y153" s="66" t="s">
        <v>32</v>
      </c>
      <c r="Z153" s="34" t="str">
        <f t="shared" ca="1" si="71"/>
        <v>Manchester CityMainz 05</v>
      </c>
      <c r="AA153" s="13">
        <f t="shared" ca="1" si="70"/>
        <v>1</v>
      </c>
      <c r="AB153" s="13" t="str">
        <f ca="1">IF(AA153&gt;0,(Y81+AH81)&amp;Sprache!$E$90&amp;(X81+AG81),"")</f>
        <v>22:50</v>
      </c>
      <c r="AC153" s="2"/>
      <c r="AD153" s="141"/>
      <c r="AI153" s="655" t="str">
        <f ca="1">IF(AA81&gt;0,AF81&amp;Sprache!$E$90&amp;AE81,"")</f>
        <v>0:2</v>
      </c>
    </row>
    <row r="154" spans="25:35" x14ac:dyDescent="0.2">
      <c r="Y154" s="66" t="s">
        <v>33</v>
      </c>
      <c r="Z154" s="34" t="str">
        <f t="shared" ca="1" si="71"/>
        <v>FSV RauenKickers Rodendorf</v>
      </c>
      <c r="AA154" s="13">
        <f t="shared" ca="1" si="70"/>
        <v>1</v>
      </c>
      <c r="AB154" s="13" t="str">
        <f ca="1">IF(AA154&gt;0,(Y82+AH82)&amp;Sprache!$E$90&amp;(X82+AG82),"")</f>
        <v>23:50</v>
      </c>
      <c r="AC154" s="2"/>
      <c r="AD154" s="141"/>
      <c r="AI154" s="655" t="str">
        <f ca="1">IF(AA82&gt;0,AF82&amp;Sprache!$E$90&amp;AE82,"")</f>
        <v>0:2</v>
      </c>
    </row>
    <row r="155" spans="25:35" x14ac:dyDescent="0.2">
      <c r="Y155" s="66" t="s">
        <v>34</v>
      </c>
      <c r="Z155" s="34" t="str">
        <f t="shared" ca="1" si="71"/>
        <v>RB LeipzigTSG Saalberg eV</v>
      </c>
      <c r="AA155" s="13">
        <f t="shared" ca="1" si="70"/>
        <v>1</v>
      </c>
      <c r="AB155" s="13" t="str">
        <f ca="1">IF(AA155&gt;0,(Y83+AH83)&amp;Sprache!$E$90&amp;(X83+AG83),"")</f>
        <v>24:50</v>
      </c>
      <c r="AC155" s="2"/>
      <c r="AD155" s="141"/>
      <c r="AI155" s="655" t="str">
        <f ca="1">IF(AA83&gt;0,AF83&amp;Sprache!$E$90&amp;AE83,"")</f>
        <v>0:2</v>
      </c>
    </row>
    <row r="156" spans="25:35" x14ac:dyDescent="0.2">
      <c r="Y156" s="66" t="s">
        <v>35</v>
      </c>
      <c r="Z156" s="34" t="str">
        <f t="shared" ca="1" si="71"/>
        <v>VFB EssenheimEintracht Frankfurt</v>
      </c>
      <c r="AA156" s="13">
        <f t="shared" ca="1" si="70"/>
        <v>1</v>
      </c>
      <c r="AB156" s="13" t="str">
        <f ca="1">IF(AA156&gt;0,(Y84+AH84)&amp;Sprache!$E$90&amp;(X84+AG84),"")</f>
        <v>36:38</v>
      </c>
      <c r="AC156" s="2"/>
      <c r="AD156" s="141"/>
      <c r="AI156" s="655" t="str">
        <f ca="1">IF(AA84&gt;0,AF84&amp;Sprache!$E$90&amp;AE84,"")</f>
        <v>1:1</v>
      </c>
    </row>
    <row r="157" spans="25:35" x14ac:dyDescent="0.2">
      <c r="Y157" s="66" t="s">
        <v>36</v>
      </c>
      <c r="Z157" s="34" t="str">
        <f t="shared" ca="1" si="71"/>
        <v>FC GrönlingenSSV Wildbach</v>
      </c>
      <c r="AA157" s="13">
        <f t="shared" ca="1" si="70"/>
        <v>1</v>
      </c>
      <c r="AB157" s="13" t="str">
        <f ca="1">IF(AA157&gt;0,(Y85+AH85)&amp;Sprache!$E$90&amp;(X85+AG85),"")</f>
        <v>42:44</v>
      </c>
      <c r="AC157" s="2"/>
      <c r="AD157" s="141"/>
      <c r="AI157" s="655" t="str">
        <f ca="1">IF(AA85&gt;0,AF85&amp;Sprache!$E$90&amp;AE85,"")</f>
        <v>1:1</v>
      </c>
    </row>
    <row r="158" spans="25:35" x14ac:dyDescent="0.2">
      <c r="Y158" s="66" t="s">
        <v>37</v>
      </c>
      <c r="Z158" s="34" t="str">
        <f t="shared" ca="1" si="71"/>
        <v>1. FC NürnbergBorussia Dortmund</v>
      </c>
      <c r="AA158" s="13">
        <f t="shared" ca="1" si="70"/>
        <v>1</v>
      </c>
      <c r="AB158" s="13" t="str">
        <f ca="1">IF(AA158&gt;0,(Y86+AH86)&amp;Sprache!$E$90&amp;(X86+AG86),"")</f>
        <v>41:42</v>
      </c>
      <c r="AC158" s="2"/>
      <c r="AD158" s="141"/>
      <c r="AI158" s="655" t="str">
        <f ca="1">IF(AA86&gt;0,AF86&amp;Sprache!$E$90&amp;AE86,"")</f>
        <v>1:1</v>
      </c>
    </row>
    <row r="159" spans="25:35" x14ac:dyDescent="0.2">
      <c r="Y159" s="66" t="s">
        <v>38</v>
      </c>
      <c r="Z159" s="34" t="str">
        <f t="shared" ca="1" si="71"/>
        <v>SV OberredenburgHSV</v>
      </c>
      <c r="AA159" s="13">
        <f t="shared" ca="1" si="70"/>
        <v>1</v>
      </c>
      <c r="AB159" s="13" t="str">
        <f ca="1">IF(AA159&gt;0,(Y87+AH87)&amp;Sprache!$E$90&amp;(X87+AG87),"")</f>
        <v>44:39</v>
      </c>
      <c r="AC159" s="2"/>
      <c r="AD159" s="141"/>
      <c r="AI159" s="655" t="str">
        <f ca="1">IF(AA87&gt;0,AF87&amp;Sprache!$E$90&amp;AE87,"")</f>
        <v>1:1</v>
      </c>
    </row>
    <row r="160" spans="25:35" x14ac:dyDescent="0.2">
      <c r="Y160" s="66" t="s">
        <v>39</v>
      </c>
      <c r="Z160" s="34" t="str">
        <f t="shared" ca="1" si="71"/>
        <v>Maibach 1822 eVFC Barcelona</v>
      </c>
      <c r="AA160" s="13">
        <f t="shared" ca="1" si="70"/>
        <v>1</v>
      </c>
      <c r="AB160" s="13" t="str">
        <f ca="1">IF(AA160&gt;0,(Y88+AH88)&amp;Sprache!$E$90&amp;(X88+AG88),"")</f>
        <v>45:45</v>
      </c>
      <c r="AC160" s="2"/>
      <c r="AD160" s="141"/>
      <c r="AI160" s="655" t="str">
        <f ca="1">IF(AA88&gt;0,AF88&amp;Sprache!$E$90&amp;AE88,"")</f>
        <v>1:1</v>
      </c>
    </row>
    <row r="161" spans="25:35" x14ac:dyDescent="0.2">
      <c r="Y161" s="66" t="s">
        <v>40</v>
      </c>
      <c r="Z161" s="34" t="str">
        <f t="shared" ca="1" si="71"/>
        <v>Manchester CityInter Mailand</v>
      </c>
      <c r="AA161" s="13">
        <f t="shared" ca="1" si="70"/>
        <v>1</v>
      </c>
      <c r="AB161" s="13" t="str">
        <f ca="1">IF(AA161&gt;0,(Y89+AH89)&amp;Sprache!$E$90&amp;(X89+AG89),"")</f>
        <v>46:44</v>
      </c>
      <c r="AC161" s="2"/>
      <c r="AD161" s="141"/>
      <c r="AI161" s="655" t="str">
        <f ca="1">IF(AA89&gt;0,AF89&amp;Sprache!$E$90&amp;AE89,"")</f>
        <v>1:1</v>
      </c>
    </row>
    <row r="162" spans="25:35" x14ac:dyDescent="0.2">
      <c r="Y162" s="66" t="s">
        <v>41</v>
      </c>
      <c r="Z162" s="34" t="str">
        <f t="shared" ca="1" si="71"/>
        <v>FSV RauenReal Madrid</v>
      </c>
      <c r="AA162" s="13">
        <f t="shared" ca="1" si="70"/>
        <v>1</v>
      </c>
      <c r="AB162" s="13" t="str">
        <f ca="1">IF(AA162&gt;0,(Y90+AH90)&amp;Sprache!$E$90&amp;(X90+AG90),"")</f>
        <v>47:42</v>
      </c>
      <c r="AC162" s="2"/>
      <c r="AD162" s="141"/>
      <c r="AI162" s="655" t="str">
        <f ca="1">IF(AA90&gt;0,AF90&amp;Sprache!$E$90&amp;AE90,"")</f>
        <v>1:1</v>
      </c>
    </row>
    <row r="163" spans="25:35" x14ac:dyDescent="0.2">
      <c r="Y163" s="66" t="s">
        <v>42</v>
      </c>
      <c r="Z163" s="34" t="str">
        <f t="shared" ca="1" si="71"/>
        <v>RB LeipzigParis St. Germain</v>
      </c>
      <c r="AA163" s="13">
        <f t="shared" ca="1" si="70"/>
        <v>1</v>
      </c>
      <c r="AB163" s="13" t="str">
        <f ca="1">IF(AA163&gt;0,(Y91+AH91)&amp;Sprache!$E$90&amp;(X91+AG91),"")</f>
        <v>48:44</v>
      </c>
      <c r="AC163" s="2"/>
      <c r="AD163" s="141"/>
      <c r="AI163" s="655" t="str">
        <f ca="1">IF(AA91&gt;0,AF91&amp;Sprache!$E$90&amp;AE91,"")</f>
        <v>1:1</v>
      </c>
    </row>
    <row r="164" spans="25:35" x14ac:dyDescent="0.2">
      <c r="Y164" s="66" t="s">
        <v>43</v>
      </c>
      <c r="Z164" s="34" t="str">
        <f t="shared" ca="1" si="71"/>
        <v>1. FC RiedwaldEintracht Frankfurt</v>
      </c>
      <c r="AA164" s="13">
        <f t="shared" ca="1" si="70"/>
        <v>1</v>
      </c>
      <c r="AB164" s="13" t="str">
        <f ca="1">IF(AA164&gt;0,(Y92+AH92)&amp;Sprache!$E$90&amp;(X92+AG92),"")</f>
        <v>50:34</v>
      </c>
      <c r="AC164" s="2"/>
      <c r="AD164" s="141"/>
      <c r="AI164" s="655" t="str">
        <f ca="1">IF(AA92&gt;0,AF92&amp;Sprache!$E$90&amp;AE92,"")</f>
        <v>2:0</v>
      </c>
    </row>
    <row r="165" spans="25:35" x14ac:dyDescent="0.2">
      <c r="Y165" s="66" t="s">
        <v>44</v>
      </c>
      <c r="Z165" s="34" t="str">
        <f t="shared" ca="1" si="71"/>
        <v>Mainz 05SSV Wildbach</v>
      </c>
      <c r="AA165" s="13">
        <f t="shared" ca="1" si="70"/>
        <v>1</v>
      </c>
      <c r="AB165" s="13" t="str">
        <f ca="1">IF(AA165&gt;0,(Y93+AH93)&amp;Sprache!$E$90&amp;(X93+AG93),"")</f>
        <v>43:39</v>
      </c>
      <c r="AC165" s="2"/>
      <c r="AD165" s="141"/>
      <c r="AI165" s="655" t="str">
        <f ca="1">IF(AA93&gt;0,AF93&amp;Sprache!$E$90&amp;AE93,"")</f>
        <v>1:1</v>
      </c>
    </row>
    <row r="166" spans="25:35" x14ac:dyDescent="0.2">
      <c r="Y166" s="66" t="s">
        <v>45</v>
      </c>
      <c r="Z166" s="34" t="str">
        <f t="shared" ca="1" si="71"/>
        <v>Kickers RodendorfBorussia Dortmund</v>
      </c>
      <c r="AA166" s="13">
        <f t="shared" ca="1" si="70"/>
        <v>1</v>
      </c>
      <c r="AB166" s="13" t="str">
        <f ca="1">IF(AA166&gt;0,(Y94+AH94)&amp;Sprache!$E$90&amp;(X94+AG94),"")</f>
        <v>44:45</v>
      </c>
      <c r="AC166" s="2"/>
      <c r="AD166" s="141"/>
      <c r="AI166" s="655" t="str">
        <f ca="1">IF(AA94&gt;0,AF94&amp;Sprache!$E$90&amp;AE94,"")</f>
        <v>1:1</v>
      </c>
    </row>
    <row r="167" spans="25:35" x14ac:dyDescent="0.2">
      <c r="Y167" s="66" t="s">
        <v>46</v>
      </c>
      <c r="Z167" s="34" t="str">
        <f t="shared" ca="1" si="71"/>
        <v>TSG Saalberg eVHSV</v>
      </c>
      <c r="AA167" s="13">
        <f t="shared" ca="1" si="70"/>
        <v>1</v>
      </c>
      <c r="AB167" s="13" t="str">
        <f ca="1">IF(AA167&gt;0,(Y95+AH95)&amp;Sprache!$E$90&amp;(X95+AG95),"")</f>
        <v>45:44</v>
      </c>
      <c r="AC167" s="2"/>
      <c r="AD167" s="141"/>
      <c r="AI167" s="655" t="str">
        <f ca="1">IF(AA95&gt;0,AF95&amp;Sprache!$E$90&amp;AE95,"")</f>
        <v>1:1</v>
      </c>
    </row>
    <row r="168" spans="25:35" x14ac:dyDescent="0.2">
      <c r="Y168" s="66" t="s">
        <v>47</v>
      </c>
      <c r="Z168" s="34" t="str">
        <f t="shared" ca="1" si="71"/>
        <v>VFB EssenheimMaibach 1822 eV</v>
      </c>
      <c r="AA168" s="13">
        <f t="shared" ca="1" si="70"/>
        <v>1</v>
      </c>
      <c r="AB168" s="13" t="str">
        <f ca="1">IF(AA168&gt;0,(Y96+AH96)&amp;Sprache!$E$90&amp;(X96+AG96),"")</f>
        <v>46:42</v>
      </c>
      <c r="AC168" s="2"/>
      <c r="AD168" s="141"/>
      <c r="AI168" s="655" t="str">
        <f ca="1">IF(AA96&gt;0,AF96&amp;Sprache!$E$90&amp;AE96,"")</f>
        <v>1:1</v>
      </c>
    </row>
    <row r="169" spans="25:35" x14ac:dyDescent="0.2">
      <c r="Y169" s="66" t="s">
        <v>48</v>
      </c>
      <c r="Z169" s="34" t="str">
        <f t="shared" ca="1" si="71"/>
        <v>FC GrönlingenManchester City</v>
      </c>
      <c r="AA169" s="13">
        <f t="shared" ca="1" si="70"/>
        <v>1</v>
      </c>
      <c r="AB169" s="13" t="str">
        <f ca="1">IF(AA169&gt;0,(Y97+AH97)&amp;Sprache!$E$90&amp;(X97+AG97),"")</f>
        <v>47:39</v>
      </c>
      <c r="AC169" s="2"/>
      <c r="AD169" s="141"/>
      <c r="AI169" s="655" t="str">
        <f ca="1">IF(AA97&gt;0,AF97&amp;Sprache!$E$90&amp;AE97,"")</f>
        <v>1:1</v>
      </c>
    </row>
    <row r="170" spans="25:35" x14ac:dyDescent="0.2">
      <c r="Y170" s="66" t="s">
        <v>49</v>
      </c>
      <c r="Z170" s="34" t="str">
        <f t="shared" ca="1" si="71"/>
        <v>1. FC NürnbergFSV Rauen</v>
      </c>
      <c r="AA170" s="13">
        <f t="shared" ca="1" si="70"/>
        <v>1</v>
      </c>
      <c r="AB170" s="13" t="str">
        <f ca="1">IF(AA170&gt;0,(Y98+AH98)&amp;Sprache!$E$90&amp;(X98+AG98),"")</f>
        <v>34:50</v>
      </c>
      <c r="AC170" s="2"/>
      <c r="AD170" s="141"/>
      <c r="AI170" s="655" t="str">
        <f ca="1">IF(AA98&gt;0,AF98&amp;Sprache!$E$90&amp;AE98,"")</f>
        <v>0:2</v>
      </c>
    </row>
    <row r="171" spans="25:35" x14ac:dyDescent="0.2">
      <c r="Y171" s="66" t="s">
        <v>50</v>
      </c>
      <c r="Z171" s="34" t="str">
        <f t="shared" ca="1" si="71"/>
        <v>SV OberredenburgRB Leipzig</v>
      </c>
      <c r="AA171" s="13">
        <f t="shared" ca="1" si="70"/>
        <v>1</v>
      </c>
      <c r="AB171" s="13" t="str">
        <f ca="1">IF(AA171&gt;0,(Y99+AH99)&amp;Sprache!$E$90&amp;(X99+AG99),"")</f>
        <v>36:50</v>
      </c>
      <c r="AC171" s="2"/>
      <c r="AD171" s="141"/>
      <c r="AI171" s="655" t="str">
        <f ca="1">IF(AA99&gt;0,AF99&amp;Sprache!$E$90&amp;AE99,"")</f>
        <v>0:2</v>
      </c>
    </row>
    <row r="172" spans="25:35" x14ac:dyDescent="0.2">
      <c r="Y172" s="66" t="s">
        <v>58</v>
      </c>
      <c r="Z172" s="34" t="str">
        <f t="shared" ca="1" si="71"/>
        <v>FC Barcelona1. FC Riedwald</v>
      </c>
      <c r="AA172" s="13">
        <f t="shared" ca="1" si="70"/>
        <v>1</v>
      </c>
      <c r="AB172" s="13" t="str">
        <f ca="1">IF(AA172&gt;0,(Y100+AH100)&amp;Sprache!$E$90&amp;(X100+AG100),"")</f>
        <v>35:50</v>
      </c>
      <c r="AC172" s="2"/>
      <c r="AD172" s="141"/>
      <c r="AI172" s="655" t="str">
        <f ca="1">IF(AA100&gt;0,AF100&amp;Sprache!$E$90&amp;AE100,"")</f>
        <v>0:2</v>
      </c>
    </row>
    <row r="173" spans="25:35" x14ac:dyDescent="0.2">
      <c r="Y173" s="66" t="s">
        <v>59</v>
      </c>
      <c r="Z173" s="34" t="str">
        <f t="shared" ca="1" si="71"/>
        <v>Inter MailandMainz 05</v>
      </c>
      <c r="AA173" s="13">
        <f t="shared" ca="1" si="70"/>
        <v>1</v>
      </c>
      <c r="AB173" s="13" t="str">
        <f ca="1">IF(AA173&gt;0,(Y101+AH101)&amp;Sprache!$E$90&amp;(X101+AG101),"")</f>
        <v>33:50</v>
      </c>
      <c r="AC173" s="2"/>
      <c r="AD173" s="141"/>
      <c r="AI173" s="655" t="str">
        <f ca="1">IF(AA101&gt;0,AF101&amp;Sprache!$E$90&amp;AE101,"")</f>
        <v>0:2</v>
      </c>
    </row>
    <row r="174" spans="25:35" x14ac:dyDescent="0.2">
      <c r="Y174" s="66" t="s">
        <v>60</v>
      </c>
      <c r="Z174" s="34" t="str">
        <f t="shared" ca="1" si="71"/>
        <v>Real MadridKickers Rodendorf</v>
      </c>
      <c r="AA174" s="13">
        <f t="shared" ca="1" si="70"/>
        <v>1</v>
      </c>
      <c r="AB174" s="13" t="str">
        <f ca="1">IF(AA174&gt;0,(Y102+AH102)&amp;Sprache!$E$90&amp;(X102+AG102),"")</f>
        <v>45:38</v>
      </c>
      <c r="AC174" s="2"/>
      <c r="AD174" s="141"/>
      <c r="AI174" s="655" t="str">
        <f ca="1">IF(AA102&gt;0,AF102&amp;Sprache!$E$90&amp;AE102,"")</f>
        <v>1:1</v>
      </c>
    </row>
    <row r="175" spans="25:35" x14ac:dyDescent="0.2">
      <c r="Y175" s="66" t="s">
        <v>61</v>
      </c>
      <c r="Z175" s="34" t="str">
        <f t="shared" ca="1" si="71"/>
        <v>Paris St. GermainTSG Saalberg eV</v>
      </c>
      <c r="AA175" s="13">
        <f t="shared" ca="1" si="70"/>
        <v>1</v>
      </c>
      <c r="AB175" s="13" t="str">
        <f ca="1">IF(AA175&gt;0,(Y103+AH103)&amp;Sprache!$E$90&amp;(X103+AG103),"")</f>
        <v>46:43</v>
      </c>
      <c r="AC175" s="2"/>
      <c r="AD175" s="141"/>
      <c r="AI175" s="655" t="str">
        <f ca="1">IF(AA103&gt;0,AF103&amp;Sprache!$E$90&amp;AE103,"")</f>
        <v>1:1</v>
      </c>
    </row>
    <row r="176" spans="25:35" x14ac:dyDescent="0.2">
      <c r="Y176" s="66" t="s">
        <v>62</v>
      </c>
      <c r="Z176" s="34" t="str">
        <f t="shared" ca="1" si="71"/>
        <v/>
      </c>
      <c r="AA176" s="13">
        <f t="shared" ca="1" si="70"/>
        <v>0</v>
      </c>
      <c r="AB176" s="13" t="str">
        <f ca="1">IF(AA176&gt;0,(Y104+AH104)&amp;Sprache!$E$90&amp;(X104+AG104),"")</f>
        <v/>
      </c>
      <c r="AC176" s="2"/>
      <c r="AD176" s="141"/>
      <c r="AI176" s="655" t="str">
        <f ca="1">IF(AA104&gt;0,AF104&amp;Sprache!$E$90&amp;AE104,"")</f>
        <v/>
      </c>
    </row>
    <row r="177" spans="25:35" x14ac:dyDescent="0.2">
      <c r="Y177" s="66" t="s">
        <v>63</v>
      </c>
      <c r="Z177" s="34" t="str">
        <f t="shared" ca="1" si="71"/>
        <v/>
      </c>
      <c r="AA177" s="13">
        <f t="shared" ca="1" si="70"/>
        <v>0</v>
      </c>
      <c r="AB177" s="13" t="str">
        <f ca="1">IF(AA177&gt;0,(Y105+AH105)&amp;Sprache!$E$90&amp;(X105+AG105),"")</f>
        <v/>
      </c>
      <c r="AC177" s="2"/>
      <c r="AD177" s="141"/>
      <c r="AI177" s="655" t="str">
        <f ca="1">IF(AA105&gt;0,AF105&amp;Sprache!$E$90&amp;AE105,"")</f>
        <v/>
      </c>
    </row>
    <row r="178" spans="25:35" x14ac:dyDescent="0.2">
      <c r="Y178" s="66" t="s">
        <v>64</v>
      </c>
      <c r="Z178" s="34" t="str">
        <f t="shared" ca="1" si="71"/>
        <v/>
      </c>
      <c r="AA178" s="13">
        <f t="shared" ca="1" si="70"/>
        <v>0</v>
      </c>
      <c r="AB178" s="13" t="str">
        <f ca="1">IF(AA178&gt;0,(Y106+AH106)&amp;Sprache!$E$90&amp;(X106+AG106),"")</f>
        <v/>
      </c>
      <c r="AC178" s="2"/>
      <c r="AD178" s="141"/>
      <c r="AI178" s="655" t="str">
        <f ca="1">IF(AA106&gt;0,AF106&amp;Sprache!$E$90&amp;AE106,"")</f>
        <v/>
      </c>
    </row>
    <row r="179" spans="25:35" x14ac:dyDescent="0.2">
      <c r="Y179" s="66" t="s">
        <v>65</v>
      </c>
      <c r="Z179" s="34" t="str">
        <f t="shared" ca="1" si="71"/>
        <v/>
      </c>
      <c r="AA179" s="13">
        <f t="shared" ca="1" si="70"/>
        <v>0</v>
      </c>
      <c r="AB179" s="13" t="str">
        <f ca="1">IF(AA179&gt;0,(Y107+AH107)&amp;Sprache!$E$90&amp;(X107+AG107),"")</f>
        <v/>
      </c>
      <c r="AC179" s="2"/>
      <c r="AD179" s="141"/>
      <c r="AI179" s="655" t="str">
        <f ca="1">IF(AA107&gt;0,AF107&amp;Sprache!$E$90&amp;AE107,"")</f>
        <v/>
      </c>
    </row>
    <row r="180" spans="25:35" x14ac:dyDescent="0.2">
      <c r="Y180" s="66" t="s">
        <v>66</v>
      </c>
      <c r="Z180" s="34" t="str">
        <f t="shared" ca="1" si="71"/>
        <v/>
      </c>
      <c r="AA180" s="13">
        <f t="shared" ca="1" si="70"/>
        <v>0</v>
      </c>
      <c r="AB180" s="13" t="str">
        <f ca="1">IF(AA180&gt;0,(Y108+AH108)&amp;Sprache!$E$90&amp;(X108+AG108),"")</f>
        <v/>
      </c>
      <c r="AC180" s="2"/>
      <c r="AD180" s="141"/>
      <c r="AI180" s="655" t="str">
        <f ca="1">IF(AA108&gt;0,AF108&amp;Sprache!$E$90&amp;AE108,"")</f>
        <v/>
      </c>
    </row>
    <row r="181" spans="25:35" x14ac:dyDescent="0.2">
      <c r="Y181" s="66" t="s">
        <v>67</v>
      </c>
      <c r="Z181" s="34" t="str">
        <f t="shared" ca="1" si="71"/>
        <v/>
      </c>
      <c r="AA181" s="13">
        <f t="shared" ca="1" si="70"/>
        <v>0</v>
      </c>
      <c r="AB181" s="13" t="str">
        <f ca="1">IF(AA181&gt;0,(Y109+AH109)&amp;Sprache!$E$90&amp;(X109+AG109),"")</f>
        <v/>
      </c>
      <c r="AC181" s="2"/>
      <c r="AD181" s="141"/>
      <c r="AI181" s="655" t="str">
        <f ca="1">IF(AA109&gt;0,AF109&amp;Sprache!$E$90&amp;AE109,"")</f>
        <v/>
      </c>
    </row>
    <row r="182" spans="25:35" x14ac:dyDescent="0.2">
      <c r="Y182" s="66" t="s">
        <v>68</v>
      </c>
      <c r="Z182" s="34" t="str">
        <f t="shared" ca="1" si="71"/>
        <v/>
      </c>
      <c r="AA182" s="13">
        <f t="shared" ca="1" si="70"/>
        <v>0</v>
      </c>
      <c r="AB182" s="13" t="str">
        <f ca="1">IF(AA182&gt;0,(Y110+AH110)&amp;Sprache!$E$90&amp;(X110+AG110),"")</f>
        <v/>
      </c>
      <c r="AC182" s="2"/>
      <c r="AD182" s="141"/>
      <c r="AI182" s="655" t="str">
        <f ca="1">IF(AA110&gt;0,AF110&amp;Sprache!$E$90&amp;AE110,"")</f>
        <v/>
      </c>
    </row>
    <row r="183" spans="25:35" x14ac:dyDescent="0.2">
      <c r="Y183" s="66" t="s">
        <v>69</v>
      </c>
      <c r="Z183" s="34" t="str">
        <f t="shared" ca="1" si="71"/>
        <v/>
      </c>
      <c r="AA183" s="13">
        <f t="shared" ca="1" si="70"/>
        <v>0</v>
      </c>
      <c r="AB183" s="13" t="str">
        <f ca="1">IF(AA183&gt;0,(Y111+AH111)&amp;Sprache!$E$90&amp;(X111+AG111),"")</f>
        <v/>
      </c>
      <c r="AC183" s="2"/>
      <c r="AD183" s="141"/>
      <c r="AI183" s="655" t="str">
        <f ca="1">IF(AA111&gt;0,AF111&amp;Sprache!$E$90&amp;AE111,"")</f>
        <v/>
      </c>
    </row>
    <row r="184" spans="25:35" x14ac:dyDescent="0.2">
      <c r="Y184" s="66" t="s">
        <v>70</v>
      </c>
      <c r="Z184" s="34" t="str">
        <f t="shared" ca="1" si="71"/>
        <v/>
      </c>
      <c r="AA184" s="13">
        <f t="shared" ca="1" si="70"/>
        <v>0</v>
      </c>
      <c r="AB184" s="13" t="str">
        <f ca="1">IF(AA184&gt;0,(Y112+AH112)&amp;Sprache!$E$90&amp;(X112+AG112),"")</f>
        <v/>
      </c>
      <c r="AC184" s="2"/>
      <c r="AD184" s="141"/>
      <c r="AI184" s="655" t="str">
        <f ca="1">IF(AA112&gt;0,AF112&amp;Sprache!$E$90&amp;AE112,"")</f>
        <v/>
      </c>
    </row>
    <row r="185" spans="25:35" x14ac:dyDescent="0.2">
      <c r="Y185" s="66" t="s">
        <v>71</v>
      </c>
      <c r="Z185" s="34" t="str">
        <f t="shared" ca="1" si="71"/>
        <v/>
      </c>
      <c r="AA185" s="13">
        <f t="shared" ca="1" si="70"/>
        <v>0</v>
      </c>
      <c r="AB185" s="13" t="str">
        <f ca="1">IF(AA185&gt;0,(Y113+AH113)&amp;Sprache!$E$90&amp;(X113+AG113),"")</f>
        <v/>
      </c>
      <c r="AC185" s="2"/>
      <c r="AD185" s="141"/>
      <c r="AI185" s="655" t="str">
        <f ca="1">IF(AA113&gt;0,AF113&amp;Sprache!$E$90&amp;AE113,"")</f>
        <v/>
      </c>
    </row>
    <row r="186" spans="25:35" x14ac:dyDescent="0.2">
      <c r="Y186" s="66" t="s">
        <v>72</v>
      </c>
      <c r="Z186" s="34" t="str">
        <f t="shared" ca="1" si="71"/>
        <v/>
      </c>
      <c r="AA186" s="13">
        <f t="shared" ca="1" si="70"/>
        <v>0</v>
      </c>
      <c r="AB186" s="13" t="str">
        <f ca="1">IF(AA186&gt;0,(Y114+AH114)&amp;Sprache!$E$90&amp;(X114+AG114),"")</f>
        <v/>
      </c>
      <c r="AC186" s="2"/>
      <c r="AD186" s="141"/>
      <c r="AI186" s="655" t="str">
        <f ca="1">IF(AA114&gt;0,AF114&amp;Sprache!$E$90&amp;AE114,"")</f>
        <v/>
      </c>
    </row>
    <row r="187" spans="25:35" x14ac:dyDescent="0.2">
      <c r="Y187" s="66" t="s">
        <v>73</v>
      </c>
      <c r="Z187" s="34" t="str">
        <f t="shared" ca="1" si="71"/>
        <v/>
      </c>
      <c r="AA187" s="13">
        <f t="shared" ca="1" si="70"/>
        <v>0</v>
      </c>
      <c r="AB187" s="13" t="str">
        <f ca="1">IF(AA187&gt;0,(Y115+AH115)&amp;Sprache!$E$90&amp;(X115+AG115),"")</f>
        <v/>
      </c>
      <c r="AC187" s="2"/>
      <c r="AD187" s="141"/>
      <c r="AI187" s="655" t="str">
        <f ca="1">IF(AA115&gt;0,AF115&amp;Sprache!$E$90&amp;AE115,"")</f>
        <v/>
      </c>
    </row>
    <row r="188" spans="25:35" x14ac:dyDescent="0.2">
      <c r="Y188" s="66" t="s">
        <v>74</v>
      </c>
      <c r="Z188" s="34" t="str">
        <f t="shared" ca="1" si="71"/>
        <v/>
      </c>
      <c r="AA188" s="13">
        <f t="shared" ca="1" si="70"/>
        <v>0</v>
      </c>
      <c r="AB188" s="13" t="str">
        <f ca="1">IF(AA188&gt;0,(Y116+AH116)&amp;Sprache!$E$90&amp;(X116+AG116),"")</f>
        <v/>
      </c>
      <c r="AC188" s="2"/>
      <c r="AD188" s="141"/>
      <c r="AI188" s="655" t="str">
        <f ca="1">IF(AA116&gt;0,AF116&amp;Sprache!$E$90&amp;AE116,"")</f>
        <v/>
      </c>
    </row>
    <row r="189" spans="25:35" x14ac:dyDescent="0.2">
      <c r="Y189" s="66" t="s">
        <v>75</v>
      </c>
      <c r="Z189" s="34" t="str">
        <f t="shared" ca="1" si="71"/>
        <v/>
      </c>
      <c r="AA189" s="13">
        <f t="shared" ca="1" si="70"/>
        <v>0</v>
      </c>
      <c r="AB189" s="13" t="str">
        <f ca="1">IF(AA189&gt;0,(Y117+AH117)&amp;Sprache!$E$90&amp;(X117+AG117),"")</f>
        <v/>
      </c>
      <c r="AC189" s="2"/>
      <c r="AD189" s="141"/>
      <c r="AI189" s="655" t="str">
        <f ca="1">IF(AA117&gt;0,AF117&amp;Sprache!$E$90&amp;AE117,"")</f>
        <v/>
      </c>
    </row>
    <row r="190" spans="25:35" x14ac:dyDescent="0.2">
      <c r="Y190" s="66" t="s">
        <v>76</v>
      </c>
      <c r="Z190" s="34" t="str">
        <f t="shared" ca="1" si="71"/>
        <v/>
      </c>
      <c r="AA190" s="13">
        <f t="shared" ca="1" si="70"/>
        <v>0</v>
      </c>
      <c r="AB190" s="13" t="str">
        <f ca="1">IF(AA190&gt;0,(Y118+AH118)&amp;Sprache!$E$90&amp;(X118+AG118),"")</f>
        <v/>
      </c>
      <c r="AC190" s="2"/>
      <c r="AD190" s="141"/>
      <c r="AI190" s="655" t="str">
        <f ca="1">IF(AA118&gt;0,AF118&amp;Sprache!$E$90&amp;AE118,"")</f>
        <v/>
      </c>
    </row>
    <row r="191" spans="25:35" x14ac:dyDescent="0.2">
      <c r="Y191" s="66" t="s">
        <v>77</v>
      </c>
      <c r="Z191" s="34" t="str">
        <f t="shared" ca="1" si="71"/>
        <v/>
      </c>
      <c r="AA191" s="13">
        <f t="shared" ca="1" si="70"/>
        <v>0</v>
      </c>
      <c r="AB191" s="13" t="str">
        <f ca="1">IF(AA191&gt;0,(Y119+AH119)&amp;Sprache!$E$90&amp;(X119+AG119),"")</f>
        <v/>
      </c>
      <c r="AC191" s="2"/>
      <c r="AD191" s="141"/>
      <c r="AI191" s="655" t="str">
        <f ca="1">IF(AA119&gt;0,AF119&amp;Sprache!$E$90&amp;AE119,"")</f>
        <v/>
      </c>
    </row>
    <row r="192" spans="25:35" x14ac:dyDescent="0.2">
      <c r="Y192" s="66" t="s">
        <v>78</v>
      </c>
      <c r="Z192" s="34" t="str">
        <f t="shared" ca="1" si="71"/>
        <v/>
      </c>
      <c r="AA192" s="13">
        <f t="shared" ca="1" si="70"/>
        <v>0</v>
      </c>
      <c r="AB192" s="13" t="str">
        <f ca="1">IF(AA192&gt;0,(Y120+AH120)&amp;Sprache!$E$90&amp;(X120+AG120),"")</f>
        <v/>
      </c>
      <c r="AC192" s="2"/>
      <c r="AD192" s="141"/>
      <c r="AI192" s="655" t="str">
        <f ca="1">IF(AA120&gt;0,AF120&amp;Sprache!$E$90&amp;AE120,"")</f>
        <v/>
      </c>
    </row>
    <row r="193" spans="25:35" x14ac:dyDescent="0.2">
      <c r="Y193" s="66" t="s">
        <v>79</v>
      </c>
      <c r="Z193" s="34" t="str">
        <f t="shared" ca="1" si="71"/>
        <v/>
      </c>
      <c r="AA193" s="13">
        <f t="shared" ca="1" si="70"/>
        <v>0</v>
      </c>
      <c r="AB193" s="13" t="str">
        <f ca="1">IF(AA193&gt;0,(Y121+AH121)&amp;Sprache!$E$90&amp;(X121+AG121),"")</f>
        <v/>
      </c>
      <c r="AC193" s="2"/>
      <c r="AD193" s="141"/>
      <c r="AI193" s="655" t="str">
        <f ca="1">IF(AA121&gt;0,AF121&amp;Sprache!$E$90&amp;AE121,"")</f>
        <v/>
      </c>
    </row>
    <row r="194" spans="25:35" x14ac:dyDescent="0.2">
      <c r="Y194" s="66" t="s">
        <v>80</v>
      </c>
      <c r="Z194" s="34" t="str">
        <f t="shared" ca="1" si="71"/>
        <v/>
      </c>
      <c r="AA194" s="13">
        <f t="shared" ca="1" si="70"/>
        <v>0</v>
      </c>
      <c r="AB194" s="13" t="str">
        <f ca="1">IF(AA194&gt;0,(Y122+AH122)&amp;Sprache!$E$90&amp;(X122+AG122),"")</f>
        <v/>
      </c>
      <c r="AC194" s="2"/>
      <c r="AD194" s="141"/>
      <c r="AI194" s="655" t="str">
        <f ca="1">IF(AA122&gt;0,AF122&amp;Sprache!$E$90&amp;AE122,"")</f>
        <v/>
      </c>
    </row>
    <row r="195" spans="25:35" ht="12.75" thickBot="1" x14ac:dyDescent="0.25">
      <c r="Y195" s="66" t="s">
        <v>81</v>
      </c>
      <c r="Z195" s="34" t="str">
        <f t="shared" ca="1" si="71"/>
        <v/>
      </c>
      <c r="AA195" s="13">
        <f t="shared" ca="1" si="70"/>
        <v>0</v>
      </c>
      <c r="AB195" s="13" t="str">
        <f ca="1">IF(AA195&gt;0,(Y123+AH123)&amp;Sprache!$E$90&amp;(X123+AG123),"")</f>
        <v/>
      </c>
      <c r="AC195" s="2"/>
      <c r="AD195" s="141"/>
      <c r="AI195" s="655" t="str">
        <f ca="1">IF(AA123&gt;0,AF123&amp;Sprache!$E$90&amp;AE123,"")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13" t="str">
        <f>""</f>
        <v/>
      </c>
      <c r="AC197" s="2"/>
      <c r="AD197" s="141"/>
      <c r="AI197" s="656"/>
    </row>
    <row r="198" spans="25:35" x14ac:dyDescent="0.2">
      <c r="Y198" s="66" t="s">
        <v>84</v>
      </c>
      <c r="Z198" s="34" t="str">
        <f>""</f>
        <v/>
      </c>
      <c r="AA198" s="13">
        <v>0</v>
      </c>
      <c r="AB198" s="13" t="str">
        <f>""</f>
        <v/>
      </c>
      <c r="AC198" s="2"/>
      <c r="AD198" s="141"/>
      <c r="AI198" s="656"/>
    </row>
    <row r="199" spans="25:35" x14ac:dyDescent="0.2">
      <c r="Y199" s="66" t="s">
        <v>85</v>
      </c>
      <c r="Z199" s="34" t="str">
        <f>""</f>
        <v/>
      </c>
      <c r="AA199" s="13">
        <v>0</v>
      </c>
      <c r="AB199" s="13" t="str">
        <f>""</f>
        <v/>
      </c>
      <c r="AC199" s="2"/>
      <c r="AD199" s="141"/>
      <c r="AI199" s="656"/>
    </row>
    <row r="200" spans="25:35" x14ac:dyDescent="0.2">
      <c r="Y200" s="66" t="s">
        <v>86</v>
      </c>
      <c r="Z200" s="34" t="str">
        <f>""</f>
        <v/>
      </c>
      <c r="AA200" s="13">
        <v>0</v>
      </c>
      <c r="AB200" s="13" t="str">
        <f>""</f>
        <v/>
      </c>
      <c r="AC200" s="2"/>
      <c r="AD200" s="141"/>
      <c r="AI200" s="656"/>
    </row>
    <row r="201" spans="25:35" x14ac:dyDescent="0.2">
      <c r="Y201" s="66" t="s">
        <v>87</v>
      </c>
      <c r="Z201" s="34" t="str">
        <f>""</f>
        <v/>
      </c>
      <c r="AA201" s="13">
        <v>0</v>
      </c>
      <c r="AB201" s="13" t="str">
        <f>""</f>
        <v/>
      </c>
      <c r="AC201" s="2"/>
      <c r="AD201" s="141"/>
      <c r="AI201" s="656"/>
    </row>
    <row r="202" spans="25:35" x14ac:dyDescent="0.2">
      <c r="Y202" s="66" t="s">
        <v>88</v>
      </c>
      <c r="Z202" s="34" t="str">
        <f>""</f>
        <v/>
      </c>
      <c r="AA202" s="13">
        <v>0</v>
      </c>
      <c r="AB202" s="13" t="str">
        <f>""</f>
        <v/>
      </c>
      <c r="AC202" s="2"/>
      <c r="AD202" s="141"/>
      <c r="AE202" s="658"/>
      <c r="AF202" s="659"/>
      <c r="AG202" s="659"/>
      <c r="AH202" s="660"/>
      <c r="AI202" s="656"/>
    </row>
    <row r="203" spans="25:35" x14ac:dyDescent="0.2">
      <c r="Y203" s="66" t="s">
        <v>89</v>
      </c>
      <c r="Z203" s="34" t="str">
        <f>""</f>
        <v/>
      </c>
      <c r="AA203" s="13">
        <v>0</v>
      </c>
      <c r="AB203" s="13" t="str">
        <f>""</f>
        <v/>
      </c>
      <c r="AC203" s="2"/>
      <c r="AD203" s="141"/>
      <c r="AE203" s="658"/>
      <c r="AF203" s="659"/>
      <c r="AG203" s="659"/>
      <c r="AH203" s="660"/>
      <c r="AI203" s="656"/>
    </row>
    <row r="204" spans="25:35" x14ac:dyDescent="0.2">
      <c r="Y204" s="66" t="s">
        <v>90</v>
      </c>
      <c r="Z204" s="34" t="str">
        <f>""</f>
        <v/>
      </c>
      <c r="AA204" s="13">
        <v>0</v>
      </c>
      <c r="AB204" s="13" t="str">
        <f>""</f>
        <v/>
      </c>
      <c r="AC204" s="2"/>
      <c r="AD204" s="141"/>
      <c r="AE204" s="658"/>
      <c r="AF204" s="659"/>
      <c r="AG204" s="659"/>
      <c r="AH204" s="660"/>
      <c r="AI204" s="656"/>
    </row>
    <row r="205" spans="25:35" x14ac:dyDescent="0.2">
      <c r="Y205" s="66" t="s">
        <v>91</v>
      </c>
      <c r="Z205" s="34" t="str">
        <f>""</f>
        <v/>
      </c>
      <c r="AA205" s="13">
        <v>0</v>
      </c>
      <c r="AB205" s="13" t="str">
        <f>""</f>
        <v/>
      </c>
      <c r="AC205" s="2"/>
      <c r="AD205" s="141"/>
      <c r="AE205" s="658"/>
      <c r="AF205" s="659"/>
      <c r="AG205" s="659"/>
      <c r="AH205" s="660"/>
      <c r="AI205" s="656"/>
    </row>
    <row r="206" spans="25:35" x14ac:dyDescent="0.2">
      <c r="Y206" s="66" t="s">
        <v>92</v>
      </c>
      <c r="Z206" s="34" t="str">
        <f>""</f>
        <v/>
      </c>
      <c r="AA206" s="13">
        <v>0</v>
      </c>
      <c r="AB206" s="13" t="str">
        <f>""</f>
        <v/>
      </c>
      <c r="AC206" s="2"/>
      <c r="AD206" s="141"/>
      <c r="AE206" s="658"/>
      <c r="AF206" s="659"/>
      <c r="AG206" s="659"/>
      <c r="AH206" s="660"/>
      <c r="AI206" s="656"/>
    </row>
    <row r="207" spans="25:35" ht="12.75" thickBot="1" x14ac:dyDescent="0.25">
      <c r="Y207" s="67" t="s">
        <v>93</v>
      </c>
      <c r="Z207" s="36" t="str">
        <f>""</f>
        <v/>
      </c>
      <c r="AA207" s="37">
        <v>0</v>
      </c>
      <c r="AB207" s="142" t="str">
        <f>""</f>
        <v/>
      </c>
      <c r="AC207" s="144"/>
      <c r="AD207" s="143"/>
      <c r="AE207" s="661"/>
      <c r="AF207" s="662"/>
      <c r="AG207" s="662"/>
      <c r="AH207" s="663"/>
      <c r="AI207" s="657"/>
    </row>
    <row r="208" spans="25:35" ht="12.75" thickTop="1" x14ac:dyDescent="0.2"/>
  </sheetData>
  <mergeCells count="16">
    <mergeCell ref="AE63:AF63"/>
    <mergeCell ref="W3:AA3"/>
    <mergeCell ref="AB3:AF3"/>
    <mergeCell ref="AG3:AK3"/>
    <mergeCell ref="AL3:AP3"/>
    <mergeCell ref="AD15:AH15"/>
    <mergeCell ref="X63:Y63"/>
    <mergeCell ref="AG63:AH63"/>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376</v>
      </c>
      <c r="K2" s="1"/>
      <c r="L2" s="1"/>
      <c r="M2" s="1"/>
      <c r="N2" s="13"/>
      <c r="O2" s="1"/>
      <c r="P2" s="1"/>
      <c r="Q2" s="1"/>
      <c r="W2" s="2" t="s">
        <v>148</v>
      </c>
    </row>
    <row r="3" spans="1:45" s="2" customFormat="1" ht="13.5" customHeight="1" thickBot="1" x14ac:dyDescent="0.25">
      <c r="B3" s="1"/>
      <c r="C3" s="13"/>
      <c r="D3" s="13"/>
      <c r="E3" s="13"/>
      <c r="F3" s="13"/>
      <c r="G3" s="69" t="s">
        <v>106</v>
      </c>
      <c r="H3" s="69" t="s">
        <v>107</v>
      </c>
      <c r="I3" s="651" t="s">
        <v>108</v>
      </c>
      <c r="J3" s="27" t="s">
        <v>109</v>
      </c>
      <c r="K3" s="651"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95">
        <f ca="1">IF($O$4&lt;10,$O$4,0)</f>
        <v>0</v>
      </c>
      <c r="X3" s="996"/>
      <c r="Y3" s="996"/>
      <c r="Z3" s="996"/>
      <c r="AA3" s="996"/>
      <c r="AB3" s="995">
        <f ca="1">IF($P$4&lt;10,$P$4,0)</f>
        <v>0</v>
      </c>
      <c r="AC3" s="996"/>
      <c r="AD3" s="996"/>
      <c r="AE3" s="996"/>
      <c r="AF3" s="996"/>
      <c r="AG3" s="995">
        <f ca="1">IF($Q$4&lt;10,$Q$4,0)</f>
        <v>0</v>
      </c>
      <c r="AH3" s="996"/>
      <c r="AI3" s="996"/>
      <c r="AJ3" s="996"/>
      <c r="AK3" s="996"/>
      <c r="AL3" s="995">
        <f ca="1">IF($R$4&lt;10,$R$4,0)</f>
        <v>0</v>
      </c>
      <c r="AM3" s="996"/>
      <c r="AN3" s="996"/>
      <c r="AO3" s="996"/>
      <c r="AP3" s="996"/>
      <c r="AR3" s="27" t="s">
        <v>423</v>
      </c>
      <c r="AS3" s="27" t="s">
        <v>424</v>
      </c>
    </row>
    <row r="4" spans="1:45" s="2" customFormat="1" ht="12.75" thickTop="1" x14ac:dyDescent="0.2">
      <c r="A4" s="251"/>
      <c r="B4" s="1">
        <v>1</v>
      </c>
      <c r="C4" s="21">
        <f ca="1">RANK(D4,$D$4:$D$12,1)</f>
        <v>1</v>
      </c>
      <c r="D4" s="13">
        <f ca="1">E4+ROW()/1000+(F4="")*10</f>
        <v>1.004</v>
      </c>
      <c r="E4" s="263">
        <f ca="1">IF($AI$15,RANK(AH17,AH$17:AH$25,1),RANK(X17,X$17:X$25,1))</f>
        <v>1</v>
      </c>
      <c r="F4" s="1" t="str">
        <f>$Q64</f>
        <v>Mainz 05</v>
      </c>
      <c r="G4" s="1">
        <f ca="1">SUMIFS($X$64:$X$135,$V$64:$V$135,$F4)+SUMIFS($Y$64:$Y$135,$W$64:$W$135,$F4)+SUMIFS($AG$64:$AG$135,$V$64:$V$135,$F4)+SUMIFS($AH$64:$AH$135,$W$64:$W$135,$F4)</f>
        <v>187</v>
      </c>
      <c r="H4" s="1">
        <f ca="1">SUMIFS($Y$64:$Y$135,$V$64:$V$135,$F4)+SUMIFS($X$64:$X$135,$W$64:$W$135,$F4)+SUMIFS($AH$64:$AH$135,$V$64:$V$135,$F4)+SUMIFS($AG$64:$AG$135,$W$64:$W$135,$F4)</f>
        <v>133</v>
      </c>
      <c r="I4" s="736">
        <f ca="1">IF(Einstellungen!$G$7,G4-H4,IF(H4=0,IF(G4=0,0,Einstellungen!$F$7),G4/H4))</f>
        <v>54</v>
      </c>
      <c r="J4" s="1">
        <f ca="1">SUMPRODUCT(($V$64:$V$135=F4)*$AE$64:$AE$135*$AA$64:$AA$135)+SUMPRODUCT(($W$64:$W$135=F4)*$AF$64:$AF$135*$AA$64:$AA$135)</f>
        <v>6</v>
      </c>
      <c r="K4" s="1">
        <f ca="1">SUMPRODUCT(($V$64:$V$135=F4)*$AA$64:$AA$135)+SUMPRODUCT(($W$64:$W$135=F4)*$AA$64:$AA$135)</f>
        <v>4</v>
      </c>
      <c r="L4" s="1">
        <f ca="1">K4-M4-N4</f>
        <v>2</v>
      </c>
      <c r="M4" s="1">
        <f ca="1">SUMPRODUCT(($V$64:$W$135=F4)*($AE$64:$AE$135=$AF$64:$AF$135)*$AA$64:$AA$135)</f>
        <v>2</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29" t="str">
        <f ca="1">IFERROR(INDEX($O$17:$V$25,ROW(A1),$W$3),"")</f>
        <v/>
      </c>
      <c r="X4" s="630" t="str">
        <f ca="1">INDEX($W$4:$W$12,MATCH(ROW(A1),$AA$4:$AA$12,0))</f>
        <v/>
      </c>
      <c r="Y4" s="631">
        <f ca="1">IF($W4="",99999,VLOOKUP($W4,$C$17:$Z$25,24,0))</f>
        <v>99999</v>
      </c>
      <c r="Z4" s="632">
        <f ca="1">RANK(Y4,Y$4:Y$12,1)+INDEX($E$4:$E$12,MATCH(W4,$F$4:$F$12,0))/100+ROW()/10000</f>
        <v>1.0604</v>
      </c>
      <c r="AA4" s="633">
        <f ca="1">RANK($Z4,$Z$4:$Z$12,1)</f>
        <v>1</v>
      </c>
      <c r="AB4" s="634" t="str">
        <f t="shared" ref="AB4:AB12" ca="1" si="1">IFERROR(INDEX($O$17:$V$25,ROW(A1),$AB$3),"")</f>
        <v/>
      </c>
      <c r="AC4" s="635" t="str">
        <f ca="1">INDEX($AB$4:$AB$12,MATCH(ROW(A1),$AF$4:$AF$12,0))</f>
        <v/>
      </c>
      <c r="AD4" s="636">
        <f ca="1">IF($AB4="",99999,VLOOKUP($AB4,$C$17:$Z$25,24,0))</f>
        <v>99999</v>
      </c>
      <c r="AE4" s="632">
        <f ca="1">RANK(AD4,AD$4:AD$12,1)+INDEX($E$4:$E$12,MATCH(AB4,$F$4:$F$12,0))/100+ROW()/10000</f>
        <v>1.0604</v>
      </c>
      <c r="AF4" s="632">
        <f ca="1">RANK($AE4,$AE$4:$AE$12,1)</f>
        <v>1</v>
      </c>
      <c r="AG4" s="634" t="str">
        <f t="shared" ref="AG4:AG12" ca="1" si="2">IFERROR(INDEX($O$17:$V$25,ROW(C1),$AG$3),"")</f>
        <v/>
      </c>
      <c r="AH4" s="635" t="str">
        <f ca="1">INDEX($AG$4:$AG$12,MATCH(ROW(A1),$AK$4:$AK$12,0))</f>
        <v/>
      </c>
      <c r="AI4" s="636">
        <f ca="1">IF($AG4="",99999,VLOOKUP($AG4,$C$17:$Z$25,24,0))</f>
        <v>99999</v>
      </c>
      <c r="AJ4" s="632">
        <f ca="1">RANK(AI4,AI$4:AI$12,1)+INDEX($E$4:$E$12,MATCH(AG4,$F$4:$F$12,0))/100+ROW()/10000</f>
        <v>1.0604</v>
      </c>
      <c r="AK4" s="637">
        <f ca="1">RANK($AJ4,$AJ$4:$AJ$12,1)</f>
        <v>1</v>
      </c>
      <c r="AL4" s="635" t="str">
        <f t="shared" ref="AL4:AL12" ca="1" si="3">IFERROR(INDEX($O$17:$V$25,ROW(E1),$AL$3),"")</f>
        <v/>
      </c>
      <c r="AM4" s="635" t="str">
        <f ca="1">INDEX($AL$4:$AL$12,MATCH(ROW(A1),$AP$4:$AP$12,0))</f>
        <v/>
      </c>
      <c r="AN4" s="636">
        <f ca="1">IF($AL4="",99999,VLOOKUP($AL4,$C$17:$Z$25,24,0))</f>
        <v>99999</v>
      </c>
      <c r="AO4" s="632">
        <f ca="1">RANK(AN4,AN$4:AN$12,1)+INDEX($E$4:$E$12,MATCH(AL4,$F$4:$F$12,0))/100+ROW()/10000</f>
        <v>1.0604</v>
      </c>
      <c r="AP4" s="637">
        <f ca="1">RANK($AO4,$AO$4:$AO$12,1)</f>
        <v>1</v>
      </c>
      <c r="AR4" s="1">
        <f ca="1">IF(Einstellungen!$G$7,$I4,ROUND($I4,Einstellungen!$H$7))</f>
        <v>54</v>
      </c>
      <c r="AS4" s="1">
        <f ca="1">SUMPRODUCT(($W$64:$W$135=F4)*$AE$64:$AE$135*$AA$64:$AA$135)+SUMPRODUCT(($V$64:$V$135=F4)*$AF$64:$AF$135*$AA$64:$AA$135)</f>
        <v>2</v>
      </c>
    </row>
    <row r="5" spans="1:45" s="2" customFormat="1" x14ac:dyDescent="0.2">
      <c r="A5" s="251"/>
      <c r="B5" s="1">
        <v>2</v>
      </c>
      <c r="C5" s="22">
        <f t="shared" ref="C5:C12" ca="1" si="4">RANK(D5,$D$4:$D$12,1)</f>
        <v>4</v>
      </c>
      <c r="D5" s="13">
        <f t="shared" ref="D5:D12" ca="1" si="5">E5+ROW()/1000+(F5="")*10</f>
        <v>4.0049999999999999</v>
      </c>
      <c r="E5" s="263">
        <f t="shared" ref="E5:E12" ca="1" si="6">IF($AI$15,RANK(AH18,AH$17:AH$25,1),RANK(X18,X$17:X$25,1))</f>
        <v>4</v>
      </c>
      <c r="F5" s="1" t="str">
        <f t="shared" ref="F5:F12" si="7">$Q65</f>
        <v>Inter Mailand</v>
      </c>
      <c r="G5" s="1">
        <f t="shared" ref="G5:G12" ca="1" si="8">SUMIFS($X$64:$X$135,$V$64:$V$135,$F5)+SUMIFS($Y$64:$Y$135,$W$64:$W$135,$F5)+SUMIFS($AG$64:$AG$135,$V$64:$V$135,$F5)+SUMIFS($AH$64:$AH$135,$W$64:$W$135,$F5)</f>
        <v>161</v>
      </c>
      <c r="H5" s="1">
        <f t="shared" ref="H5:H12" ca="1" si="9">SUMIFS($Y$64:$Y$135,$V$64:$V$135,$F5)+SUMIFS($X$64:$X$135,$W$64:$W$135,$F5)+SUMIFS($AH$64:$AH$135,$V$64:$V$135,$F5)+SUMIFS($AG$64:$AG$135,$W$64:$W$135,$F5)</f>
        <v>189</v>
      </c>
      <c r="I5" s="736">
        <f ca="1">IF(Einstellungen!$G$7,G5-H5,IF(H5=0,IF(G5=0,0,Einstellungen!$F$7),G5/H5))</f>
        <v>-28</v>
      </c>
      <c r="J5" s="1">
        <f t="shared" ref="J5:J12" ca="1" si="10">SUMPRODUCT(($V$64:$V$135=F5)*$AE$64:$AE$135*$AA$64:$AA$135)+SUMPRODUCT(($W$64:$W$135=F5)*$AF$64:$AF$135*$AA$64:$AA$135)</f>
        <v>3</v>
      </c>
      <c r="K5" s="1">
        <f t="shared" ref="K5:K12" ca="1" si="11">SUMPRODUCT(($V$64:$V$135=F5)*$AA$64:$AA$135)+SUMPRODUCT(($W$64:$W$135=F5)*$AA$64:$AA$135)</f>
        <v>4</v>
      </c>
      <c r="L5" s="1">
        <f t="shared" ref="L5:L12" ca="1" si="12">K5-M5-N5</f>
        <v>0</v>
      </c>
      <c r="M5" s="1">
        <f t="shared" ref="M5:M12" ca="1" si="13">SUMPRODUCT(($V$64:$W$135=F5)*($AE$64:$AE$135=$AF$64:$AF$135)*$AA$64:$AA$135)</f>
        <v>3</v>
      </c>
      <c r="N5" s="1">
        <f t="shared" ref="N5:N12" ca="1" si="14">SUMPRODUCT(($V$64:$V$135=F5)*($AE$64:$AE$135&lt;$AF$64:$AF$135)*$AA$64:$AA$135)+SUMPRODUCT(($W$64:$W$135=F5)*($AE$64:$AE$135&gt;$AF$64:$AF$135)*$AA$64:$AA$135)</f>
        <v>1</v>
      </c>
      <c r="O5" s="24"/>
      <c r="P5" s="25"/>
      <c r="V5" s="1"/>
      <c r="W5" s="634" t="str">
        <f t="shared" ref="W5:W12" ca="1" si="15">IFERROR(INDEX($O$17:$V$25,ROW(A2),$W$3),"")</f>
        <v/>
      </c>
      <c r="X5" s="635" t="str">
        <f t="shared" ref="X5:X12" ca="1" si="16">INDEX($W$4:$W$12,MATCH(ROW(A2),$AA$4:$AA$12,0))</f>
        <v/>
      </c>
      <c r="Y5" s="632">
        <f t="shared" ref="Y5:Y12" ca="1" si="17">IF($W5="",99999,VLOOKUP($W5,$C$17:$Z$25,24,0))</f>
        <v>99999</v>
      </c>
      <c r="Z5" s="632">
        <f ca="1">RANK(Y5,Y$4:Y$12,1)+INDEX($E$4:$E$12,MATCH(W5,$F$4:$F$12,0))/100+ROW()/10000</f>
        <v>1.0605</v>
      </c>
      <c r="AA5" s="637">
        <f t="shared" ref="AA5:AA12" ca="1" si="18">RANK($Z5,$Z$4:$Z$12,1)</f>
        <v>2</v>
      </c>
      <c r="AB5" s="634" t="str">
        <f t="shared" ca="1" si="1"/>
        <v/>
      </c>
      <c r="AC5" s="635" t="str">
        <f t="shared" ref="AC5:AC12" ca="1" si="19">INDEX($AB$4:$AB$12,MATCH(ROW(A2),$AF$4:$AF$12,0))</f>
        <v/>
      </c>
      <c r="AD5" s="636">
        <f t="shared" ref="AD5:AD12" ca="1" si="20">IF($AB5="",99999,VLOOKUP($AB5,$C$17:$Z$25,24,0))</f>
        <v>99999</v>
      </c>
      <c r="AE5" s="632">
        <f ca="1">RANK(AD5,AD$4:AD$12,1)+INDEX($E$4:$E$12,MATCH(AB5,$F$4:$F$12,0))/100+ROW()/10000</f>
        <v>1.0605</v>
      </c>
      <c r="AF5" s="632">
        <f t="shared" ref="AF5:AF12" ca="1" si="21">RANK($AE5,$AE$4:$AE$12,1)</f>
        <v>2</v>
      </c>
      <c r="AG5" s="634" t="str">
        <f t="shared" ca="1" si="2"/>
        <v/>
      </c>
      <c r="AH5" s="635" t="str">
        <f t="shared" ref="AH5:AH12" ca="1" si="22">INDEX($AG$4:$AG$12,MATCH(ROW(A2),$AK$4:$AK$12,0))</f>
        <v/>
      </c>
      <c r="AI5" s="636">
        <f t="shared" ref="AI5:AI12" ca="1" si="23">IF($AG5="",99999,VLOOKUP($AG5,$C$17:$Z$25,24,0))</f>
        <v>99999</v>
      </c>
      <c r="AJ5" s="632">
        <f ca="1">RANK(AI5,AI$4:AI$12,1)+INDEX($E$4:$E$12,MATCH(AG5,$F$4:$F$12,0))/100+ROW()/10000</f>
        <v>1.0605</v>
      </c>
      <c r="AK5" s="637">
        <f t="shared" ref="AK5:AK12" ca="1" si="24">RANK($AJ5,$AJ$4:$AJ$12,1)</f>
        <v>2</v>
      </c>
      <c r="AL5" s="635" t="str">
        <f t="shared" ca="1" si="3"/>
        <v/>
      </c>
      <c r="AM5" s="635" t="str">
        <f t="shared" ref="AM5:AM12" ca="1" si="25">INDEX($AL$4:$AL$12,MATCH(ROW(A2),$AP$4:$AP$12,0))</f>
        <v/>
      </c>
      <c r="AN5" s="636">
        <f t="shared" ref="AN5:AN12" ca="1" si="26">IF($AL5="",99999,VLOOKUP($AL5,$C$17:$Z$25,24,0))</f>
        <v>99999</v>
      </c>
      <c r="AO5" s="632">
        <f ca="1">RANK(AN5,AN$4:AN$12,1)+INDEX($E$4:$E$12,MATCH(AL5,$F$4:$F$12,0))/100+ROW()/10000</f>
        <v>1.0605</v>
      </c>
      <c r="AP5" s="637">
        <f t="shared" ref="AP5:AP12" ca="1" si="27">RANK($AO5,$AO$4:$AO$12,1)</f>
        <v>2</v>
      </c>
      <c r="AR5" s="1">
        <f ca="1">IF(Einstellungen!$G$7,$I5,ROUND($I5,Einstellungen!$H$7))</f>
        <v>-28</v>
      </c>
      <c r="AS5" s="1">
        <f t="shared" ref="AS5:AS12" ca="1" si="28">SUMPRODUCT(($W$64:$W$135=F5)*$AE$64:$AE$135*$AA$64:$AA$135)+SUMPRODUCT(($V$64:$V$135=F5)*$AF$64:$AF$135*$AA$64:$AA$135)</f>
        <v>5</v>
      </c>
    </row>
    <row r="6" spans="1:45" s="2" customFormat="1" x14ac:dyDescent="0.2">
      <c r="A6" s="251"/>
      <c r="B6" s="1">
        <v>3</v>
      </c>
      <c r="C6" s="22">
        <f t="shared" ca="1" si="4"/>
        <v>2</v>
      </c>
      <c r="D6" s="13">
        <f t="shared" ca="1" si="5"/>
        <v>2.0059999999999998</v>
      </c>
      <c r="E6" s="263">
        <f t="shared" ca="1" si="6"/>
        <v>2</v>
      </c>
      <c r="F6" s="1" t="str">
        <f t="shared" si="7"/>
        <v>SSV Wildbach</v>
      </c>
      <c r="G6" s="1">
        <f t="shared" ca="1" si="8"/>
        <v>181</v>
      </c>
      <c r="H6" s="1">
        <f t="shared" ca="1" si="9"/>
        <v>163</v>
      </c>
      <c r="I6" s="736">
        <f ca="1">IF(Einstellungen!$G$7,G6-H6,IF(H6=0,IF(G6=0,0,Einstellungen!$F$7),G6/H6))</f>
        <v>18</v>
      </c>
      <c r="J6" s="1">
        <f t="shared" ca="1" si="10"/>
        <v>5</v>
      </c>
      <c r="K6" s="1">
        <f t="shared" ca="1" si="11"/>
        <v>4</v>
      </c>
      <c r="L6" s="1">
        <f t="shared" ca="1" si="12"/>
        <v>1</v>
      </c>
      <c r="M6" s="1">
        <f t="shared" ca="1" si="13"/>
        <v>3</v>
      </c>
      <c r="N6" s="1">
        <f t="shared" ca="1" si="14"/>
        <v>0</v>
      </c>
      <c r="O6" s="24"/>
      <c r="P6" s="25"/>
      <c r="V6" s="1"/>
      <c r="W6" s="634" t="str">
        <f t="shared" ca="1" si="15"/>
        <v/>
      </c>
      <c r="X6" s="635" t="str">
        <f t="shared" ca="1" si="16"/>
        <v/>
      </c>
      <c r="Y6" s="632">
        <f t="shared" ca="1" si="17"/>
        <v>99999</v>
      </c>
      <c r="Z6" s="632">
        <f ca="1">RANK(Y6,Y$4:Y$12,1)+INDEX($E$4:$E$12,MATCH(W6,$F$4:$F$12,0))/100+ROW()/10000</f>
        <v>1.0606</v>
      </c>
      <c r="AA6" s="637">
        <f t="shared" ca="1" si="18"/>
        <v>3</v>
      </c>
      <c r="AB6" s="634" t="str">
        <f t="shared" ca="1" si="1"/>
        <v/>
      </c>
      <c r="AC6" s="635" t="str">
        <f t="shared" ca="1" si="19"/>
        <v/>
      </c>
      <c r="AD6" s="636">
        <f t="shared" ca="1" si="20"/>
        <v>99999</v>
      </c>
      <c r="AE6" s="632">
        <f ca="1">RANK(AD6,AD$4:AD$12,1)+INDEX($E$4:$E$12,MATCH(AB6,$F$4:$F$12,0))/100+ROW()/10000</f>
        <v>1.0606</v>
      </c>
      <c r="AF6" s="632">
        <f t="shared" ca="1" si="21"/>
        <v>3</v>
      </c>
      <c r="AG6" s="634" t="str">
        <f t="shared" ca="1" si="2"/>
        <v/>
      </c>
      <c r="AH6" s="635" t="str">
        <f t="shared" ca="1" si="22"/>
        <v/>
      </c>
      <c r="AI6" s="636">
        <f t="shared" ca="1" si="23"/>
        <v>99999</v>
      </c>
      <c r="AJ6" s="632">
        <f ca="1">RANK(AI6,AI$4:AI$12,1)+INDEX($E$4:$E$12,MATCH(AG6,$F$4:$F$12,0))/100+ROW()/10000</f>
        <v>1.0606</v>
      </c>
      <c r="AK6" s="637">
        <f t="shared" ca="1" si="24"/>
        <v>3</v>
      </c>
      <c r="AL6" s="635" t="str">
        <f t="shared" ca="1" si="3"/>
        <v/>
      </c>
      <c r="AM6" s="635" t="str">
        <f t="shared" ca="1" si="25"/>
        <v/>
      </c>
      <c r="AN6" s="636">
        <f t="shared" ca="1" si="26"/>
        <v>99999</v>
      </c>
      <c r="AO6" s="632">
        <f ca="1">RANK(AN6,AN$4:AN$12,1)+INDEX($E$4:$E$12,MATCH(AL6,$F$4:$F$12,0))/100+ROW()/10000</f>
        <v>1.0606</v>
      </c>
      <c r="AP6" s="637">
        <f t="shared" ca="1" si="27"/>
        <v>3</v>
      </c>
      <c r="AR6" s="1">
        <f ca="1">IF(Einstellungen!$G$7,$I6,ROUND($I6,Einstellungen!$H$7))</f>
        <v>18</v>
      </c>
      <c r="AS6" s="1">
        <f t="shared" ca="1" si="28"/>
        <v>3</v>
      </c>
    </row>
    <row r="7" spans="1:45" s="2" customFormat="1" x14ac:dyDescent="0.2">
      <c r="A7" s="251"/>
      <c r="B7" s="1">
        <v>4</v>
      </c>
      <c r="C7" s="22">
        <f t="shared" ca="1" si="4"/>
        <v>5</v>
      </c>
      <c r="D7" s="13">
        <f t="shared" ca="1" si="5"/>
        <v>5.0069999999999997</v>
      </c>
      <c r="E7" s="263">
        <f t="shared" ca="1" si="6"/>
        <v>5</v>
      </c>
      <c r="F7" s="1" t="str">
        <f t="shared" si="7"/>
        <v>Manchester City</v>
      </c>
      <c r="G7" s="1">
        <f t="shared" ca="1" si="8"/>
        <v>146</v>
      </c>
      <c r="H7" s="1">
        <f t="shared" ca="1" si="9"/>
        <v>191</v>
      </c>
      <c r="I7" s="736">
        <f ca="1">IF(Einstellungen!$G$7,G7-H7,IF(H7=0,IF(G7=0,0,Einstellungen!$F$7),G7/H7))</f>
        <v>-45</v>
      </c>
      <c r="J7" s="1">
        <f t="shared" ca="1" si="10"/>
        <v>2</v>
      </c>
      <c r="K7" s="1">
        <f t="shared" ca="1" si="11"/>
        <v>4</v>
      </c>
      <c r="L7" s="1">
        <f t="shared" ca="1" si="12"/>
        <v>0</v>
      </c>
      <c r="M7" s="1">
        <f t="shared" ca="1" si="13"/>
        <v>2</v>
      </c>
      <c r="N7" s="1">
        <f t="shared" ca="1" si="14"/>
        <v>2</v>
      </c>
      <c r="O7" s="24"/>
      <c r="P7" s="25"/>
      <c r="V7" s="1"/>
      <c r="W7" s="634" t="str">
        <f t="shared" ca="1" si="15"/>
        <v/>
      </c>
      <c r="X7" s="635" t="str">
        <f t="shared" ca="1" si="16"/>
        <v/>
      </c>
      <c r="Y7" s="632">
        <f t="shared" ca="1" si="17"/>
        <v>99999</v>
      </c>
      <c r="Z7" s="632">
        <f ca="1">RANK(Y7,Y$4:Y$12,1)+INDEX($E$4:$E$12,MATCH(W7,$F$4:$F$12,0))/100+ROW()/10000</f>
        <v>1.0607</v>
      </c>
      <c r="AA7" s="637">
        <f t="shared" ca="1" si="18"/>
        <v>4</v>
      </c>
      <c r="AB7" s="634" t="str">
        <f t="shared" ca="1" si="1"/>
        <v/>
      </c>
      <c r="AC7" s="635" t="str">
        <f t="shared" ca="1" si="19"/>
        <v/>
      </c>
      <c r="AD7" s="636">
        <f t="shared" ca="1" si="20"/>
        <v>99999</v>
      </c>
      <c r="AE7" s="632">
        <f ca="1">RANK(AD7,AD$4:AD$12,1)+INDEX($E$4:$E$12,MATCH(AB7,$F$4:$F$12,0))/100+ROW()/10000</f>
        <v>1.0607</v>
      </c>
      <c r="AF7" s="632">
        <f t="shared" ca="1" si="21"/>
        <v>4</v>
      </c>
      <c r="AG7" s="634" t="str">
        <f t="shared" ca="1" si="2"/>
        <v/>
      </c>
      <c r="AH7" s="635" t="str">
        <f t="shared" ca="1" si="22"/>
        <v/>
      </c>
      <c r="AI7" s="636">
        <f t="shared" ca="1" si="23"/>
        <v>99999</v>
      </c>
      <c r="AJ7" s="632">
        <f ca="1">RANK(AI7,AI$4:AI$12,1)+INDEX($E$4:$E$12,MATCH(AG7,$F$4:$F$12,0))/100+ROW()/10000</f>
        <v>1.0607</v>
      </c>
      <c r="AK7" s="637">
        <f t="shared" ca="1" si="24"/>
        <v>4</v>
      </c>
      <c r="AL7" s="635" t="str">
        <f t="shared" ca="1" si="3"/>
        <v/>
      </c>
      <c r="AM7" s="635" t="str">
        <f t="shared" ca="1" si="25"/>
        <v/>
      </c>
      <c r="AN7" s="636">
        <f t="shared" ca="1" si="26"/>
        <v>99999</v>
      </c>
      <c r="AO7" s="632">
        <f ca="1">RANK(AN7,AN$4:AN$12,1)+INDEX($E$4:$E$12,MATCH(AL7,$F$4:$F$12,0))/100+ROW()/10000</f>
        <v>1.0607</v>
      </c>
      <c r="AP7" s="637">
        <f t="shared" ca="1" si="27"/>
        <v>4</v>
      </c>
      <c r="AR7" s="1">
        <f ca="1">IF(Einstellungen!$G$7,$I7,ROUND($I7,Einstellungen!$H$7))</f>
        <v>-45</v>
      </c>
      <c r="AS7" s="1">
        <f t="shared" ca="1" si="28"/>
        <v>6</v>
      </c>
    </row>
    <row r="8" spans="1:45" s="2" customFormat="1" x14ac:dyDescent="0.2">
      <c r="A8" s="251"/>
      <c r="B8" s="1">
        <v>5</v>
      </c>
      <c r="C8" s="22">
        <f t="shared" ca="1" si="4"/>
        <v>3</v>
      </c>
      <c r="D8" s="13">
        <f t="shared" ca="1" si="5"/>
        <v>3.008</v>
      </c>
      <c r="E8" s="263">
        <f t="shared" ca="1" si="6"/>
        <v>3</v>
      </c>
      <c r="F8" s="1" t="str">
        <f t="shared" si="7"/>
        <v>FC Grönlingen</v>
      </c>
      <c r="G8" s="1">
        <f t="shared" ca="1" si="8"/>
        <v>173</v>
      </c>
      <c r="H8" s="1">
        <f t="shared" ca="1" si="9"/>
        <v>172</v>
      </c>
      <c r="I8" s="736">
        <f ca="1">IF(Einstellungen!$G$7,G8-H8,IF(H8=0,IF(G8=0,0,Einstellungen!$F$7),G8/H8))</f>
        <v>1</v>
      </c>
      <c r="J8" s="1">
        <f t="shared" ca="1" si="10"/>
        <v>4</v>
      </c>
      <c r="K8" s="1">
        <f t="shared" ca="1" si="11"/>
        <v>4</v>
      </c>
      <c r="L8" s="1">
        <f t="shared" ca="1" si="12"/>
        <v>0</v>
      </c>
      <c r="M8" s="1">
        <f t="shared" ca="1" si="13"/>
        <v>4</v>
      </c>
      <c r="N8" s="1">
        <f t="shared" ca="1" si="14"/>
        <v>0</v>
      </c>
      <c r="P8" s="25"/>
      <c r="W8" s="634" t="str">
        <f t="shared" ca="1" si="15"/>
        <v/>
      </c>
      <c r="X8" s="635" t="str">
        <f t="shared" ca="1" si="16"/>
        <v/>
      </c>
      <c r="Y8" s="632">
        <f t="shared" ca="1" si="17"/>
        <v>99999</v>
      </c>
      <c r="Z8" s="632">
        <f t="shared" ref="Z8:Z12" ca="1" si="29">RANK(Y8,Y$4:Y$12,1)+INDEX($E$4:$E$12,MATCH(W8,$F$4:$F$12,0))/100+ROW()/10000</f>
        <v>1.0608</v>
      </c>
      <c r="AA8" s="637">
        <f t="shared" ca="1" si="18"/>
        <v>5</v>
      </c>
      <c r="AB8" s="634" t="str">
        <f t="shared" ca="1" si="1"/>
        <v/>
      </c>
      <c r="AC8" s="635" t="str">
        <f t="shared" ca="1" si="19"/>
        <v/>
      </c>
      <c r="AD8" s="636">
        <f t="shared" ca="1" si="20"/>
        <v>99999</v>
      </c>
      <c r="AE8" s="632">
        <f t="shared" ref="AE8:AE12" ca="1" si="30">RANK(AD8,AD$4:AD$12,1)+INDEX($E$4:$E$12,MATCH(AB8,$F$4:$F$12,0))/100+ROW()/10000</f>
        <v>1.0608</v>
      </c>
      <c r="AF8" s="632">
        <f t="shared" ca="1" si="21"/>
        <v>5</v>
      </c>
      <c r="AG8" s="634" t="str">
        <f t="shared" ca="1" si="2"/>
        <v/>
      </c>
      <c r="AH8" s="635" t="str">
        <f t="shared" ca="1" si="22"/>
        <v/>
      </c>
      <c r="AI8" s="636">
        <f t="shared" ca="1" si="23"/>
        <v>99999</v>
      </c>
      <c r="AJ8" s="632">
        <f t="shared" ref="AJ8:AJ12" ca="1" si="31">RANK(AI8,AI$4:AI$12,1)+INDEX($E$4:$E$12,MATCH(AG8,$F$4:$F$12,0))/100+ROW()/10000</f>
        <v>1.0608</v>
      </c>
      <c r="AK8" s="637">
        <f t="shared" ca="1" si="24"/>
        <v>5</v>
      </c>
      <c r="AL8" s="635" t="str">
        <f t="shared" ca="1" si="3"/>
        <v/>
      </c>
      <c r="AM8" s="635" t="str">
        <f t="shared" ca="1" si="25"/>
        <v/>
      </c>
      <c r="AN8" s="636">
        <f t="shared" ca="1" si="26"/>
        <v>99999</v>
      </c>
      <c r="AO8" s="632">
        <f t="shared" ref="AO8:AO12" ca="1" si="32">RANK(AN8,AN$4:AN$12,1)+INDEX($E$4:$E$12,MATCH(AL8,$F$4:$F$12,0))/100+ROW()/10000</f>
        <v>1.0608</v>
      </c>
      <c r="AP8" s="637">
        <f t="shared" ca="1" si="27"/>
        <v>5</v>
      </c>
      <c r="AR8" s="1">
        <f ca="1">IF(Einstellungen!$G$7,$I8,ROUND($I8,Einstellungen!$H$7))</f>
        <v>1</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36">
        <f ca="1">IF(Einstellungen!$G$7,G9-H9,IF(H9=0,IF(G9=0,0,Einstellungen!$F$7),G9/H9))</f>
        <v>0</v>
      </c>
      <c r="J9" s="1">
        <f t="shared" ca="1" si="10"/>
        <v>0</v>
      </c>
      <c r="K9" s="1">
        <f t="shared" ca="1" si="11"/>
        <v>0</v>
      </c>
      <c r="L9" s="1">
        <f t="shared" ca="1" si="12"/>
        <v>0</v>
      </c>
      <c r="M9" s="1">
        <f t="shared" ca="1" si="13"/>
        <v>0</v>
      </c>
      <c r="N9" s="1">
        <f t="shared" ca="1" si="14"/>
        <v>0</v>
      </c>
      <c r="P9" s="25"/>
      <c r="W9" s="634" t="str">
        <f t="shared" ca="1" si="15"/>
        <v/>
      </c>
      <c r="X9" s="635" t="str">
        <f t="shared" ca="1" si="16"/>
        <v/>
      </c>
      <c r="Y9" s="632">
        <f t="shared" ca="1" si="17"/>
        <v>99999</v>
      </c>
      <c r="Z9" s="632">
        <f t="shared" ca="1" si="29"/>
        <v>1.0609</v>
      </c>
      <c r="AA9" s="637">
        <f t="shared" ca="1" si="18"/>
        <v>6</v>
      </c>
      <c r="AB9" s="634" t="str">
        <f t="shared" ca="1" si="1"/>
        <v/>
      </c>
      <c r="AC9" s="635" t="str">
        <f t="shared" ca="1" si="19"/>
        <v/>
      </c>
      <c r="AD9" s="636">
        <f t="shared" ca="1" si="20"/>
        <v>99999</v>
      </c>
      <c r="AE9" s="632">
        <f t="shared" ca="1" si="30"/>
        <v>1.0609</v>
      </c>
      <c r="AF9" s="632">
        <f t="shared" ca="1" si="21"/>
        <v>6</v>
      </c>
      <c r="AG9" s="634" t="str">
        <f t="shared" ca="1" si="2"/>
        <v/>
      </c>
      <c r="AH9" s="635" t="str">
        <f t="shared" ca="1" si="22"/>
        <v/>
      </c>
      <c r="AI9" s="636">
        <f t="shared" ca="1" si="23"/>
        <v>99999</v>
      </c>
      <c r="AJ9" s="632">
        <f t="shared" ca="1" si="31"/>
        <v>1.0609</v>
      </c>
      <c r="AK9" s="637">
        <f t="shared" ca="1" si="24"/>
        <v>6</v>
      </c>
      <c r="AL9" s="635" t="str">
        <f t="shared" ca="1" si="3"/>
        <v/>
      </c>
      <c r="AM9" s="635" t="str">
        <f t="shared" ca="1" si="25"/>
        <v/>
      </c>
      <c r="AN9" s="636">
        <f t="shared" ca="1" si="26"/>
        <v>99999</v>
      </c>
      <c r="AO9" s="632">
        <f t="shared" ca="1" si="32"/>
        <v>1.0609</v>
      </c>
      <c r="AP9" s="637">
        <f t="shared" ca="1" si="27"/>
        <v>6</v>
      </c>
      <c r="AR9" s="1">
        <f ca="1">IF(Einstellungen!$G$7,$I9,ROUND($I9,Einstellungen!$H$7))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36">
        <f ca="1">IF(Einstellungen!$G$7,G10-H10,IF(H10=0,IF(G10=0,0,Einstellungen!$F$7),G10/H10))</f>
        <v>0</v>
      </c>
      <c r="J10" s="1">
        <f t="shared" ca="1" si="10"/>
        <v>0</v>
      </c>
      <c r="K10" s="1">
        <f t="shared" ca="1" si="11"/>
        <v>0</v>
      </c>
      <c r="L10" s="1">
        <f t="shared" ca="1" si="12"/>
        <v>0</v>
      </c>
      <c r="M10" s="1">
        <f t="shared" ca="1" si="13"/>
        <v>0</v>
      </c>
      <c r="N10" s="1">
        <f t="shared" ca="1" si="14"/>
        <v>0</v>
      </c>
      <c r="P10" s="25"/>
      <c r="W10" s="634" t="str">
        <f t="shared" ca="1" si="15"/>
        <v/>
      </c>
      <c r="X10" s="635" t="str">
        <f t="shared" ca="1" si="16"/>
        <v/>
      </c>
      <c r="Y10" s="632">
        <f t="shared" ca="1" si="17"/>
        <v>99999</v>
      </c>
      <c r="Z10" s="632">
        <f t="shared" ca="1" si="29"/>
        <v>1.0609999999999999</v>
      </c>
      <c r="AA10" s="637">
        <f t="shared" ca="1" si="18"/>
        <v>7</v>
      </c>
      <c r="AB10" s="634" t="str">
        <f t="shared" ca="1" si="1"/>
        <v/>
      </c>
      <c r="AC10" s="635" t="str">
        <f t="shared" ca="1" si="19"/>
        <v/>
      </c>
      <c r="AD10" s="636">
        <f t="shared" ca="1" si="20"/>
        <v>99999</v>
      </c>
      <c r="AE10" s="632">
        <f t="shared" ca="1" si="30"/>
        <v>1.0609999999999999</v>
      </c>
      <c r="AF10" s="632">
        <f t="shared" ca="1" si="21"/>
        <v>7</v>
      </c>
      <c r="AG10" s="634" t="str">
        <f t="shared" ca="1" si="2"/>
        <v/>
      </c>
      <c r="AH10" s="635" t="str">
        <f t="shared" ca="1" si="22"/>
        <v/>
      </c>
      <c r="AI10" s="636">
        <f t="shared" ca="1" si="23"/>
        <v>99999</v>
      </c>
      <c r="AJ10" s="632">
        <f t="shared" ca="1" si="31"/>
        <v>1.0609999999999999</v>
      </c>
      <c r="AK10" s="637">
        <f t="shared" ca="1" si="24"/>
        <v>7</v>
      </c>
      <c r="AL10" s="635" t="str">
        <f t="shared" ca="1" si="3"/>
        <v/>
      </c>
      <c r="AM10" s="635" t="str">
        <f t="shared" ca="1" si="25"/>
        <v/>
      </c>
      <c r="AN10" s="636">
        <f t="shared" ca="1" si="26"/>
        <v>99999</v>
      </c>
      <c r="AO10" s="632">
        <f t="shared" ca="1" si="32"/>
        <v>1.0609999999999999</v>
      </c>
      <c r="AP10" s="637">
        <f t="shared" ca="1" si="27"/>
        <v>7</v>
      </c>
      <c r="AR10" s="1">
        <f ca="1">IF(Einstellungen!$G$7,$I10,ROUND($I10,Einstellungen!$H$7))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36">
        <f ca="1">IF(Einstellungen!$G$7,G11-H11,IF(H11=0,IF(G11=0,0,Einstellungen!$F$7),G11/H11))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34" t="str">
        <f t="shared" ca="1" si="15"/>
        <v/>
      </c>
      <c r="X11" s="635" t="str">
        <f t="shared" ca="1" si="16"/>
        <v/>
      </c>
      <c r="Y11" s="632">
        <f t="shared" ca="1" si="17"/>
        <v>99999</v>
      </c>
      <c r="Z11" s="632">
        <f t="shared" ca="1" si="29"/>
        <v>1.0611000000000002</v>
      </c>
      <c r="AA11" s="637">
        <f t="shared" ca="1" si="18"/>
        <v>8</v>
      </c>
      <c r="AB11" s="634" t="str">
        <f t="shared" ca="1" si="1"/>
        <v/>
      </c>
      <c r="AC11" s="635" t="str">
        <f t="shared" ca="1" si="19"/>
        <v/>
      </c>
      <c r="AD11" s="636">
        <f t="shared" ca="1" si="20"/>
        <v>99999</v>
      </c>
      <c r="AE11" s="632">
        <f t="shared" ca="1" si="30"/>
        <v>1.0611000000000002</v>
      </c>
      <c r="AF11" s="632">
        <f t="shared" ca="1" si="21"/>
        <v>8</v>
      </c>
      <c r="AG11" s="634" t="str">
        <f t="shared" ca="1" si="2"/>
        <v/>
      </c>
      <c r="AH11" s="635" t="str">
        <f t="shared" ca="1" si="22"/>
        <v/>
      </c>
      <c r="AI11" s="636">
        <f t="shared" ca="1" si="23"/>
        <v>99999</v>
      </c>
      <c r="AJ11" s="632">
        <f t="shared" ca="1" si="31"/>
        <v>1.0611000000000002</v>
      </c>
      <c r="AK11" s="637">
        <f t="shared" ca="1" si="24"/>
        <v>8</v>
      </c>
      <c r="AL11" s="635" t="str">
        <f t="shared" ca="1" si="3"/>
        <v/>
      </c>
      <c r="AM11" s="635" t="str">
        <f t="shared" ca="1" si="25"/>
        <v/>
      </c>
      <c r="AN11" s="636">
        <f t="shared" ca="1" si="26"/>
        <v>99999</v>
      </c>
      <c r="AO11" s="632">
        <f t="shared" ca="1" si="32"/>
        <v>1.0611000000000002</v>
      </c>
      <c r="AP11" s="637">
        <f t="shared" ca="1" si="27"/>
        <v>8</v>
      </c>
      <c r="AR11" s="1">
        <f ca="1">IF(Einstellungen!$G$7,$I11,ROUND($I11,Einstellungen!$H$7))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36">
        <f ca="1">IF(Einstellungen!$G$7,G12-H12,IF(H12=0,IF(G12=0,0,Einstellungen!$F$7),G12/H12))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38" t="str">
        <f t="shared" ca="1" si="15"/>
        <v/>
      </c>
      <c r="X12" s="639" t="str">
        <f t="shared" ca="1" si="16"/>
        <v/>
      </c>
      <c r="Y12" s="640">
        <f t="shared" ca="1" si="17"/>
        <v>99999</v>
      </c>
      <c r="Z12" s="640">
        <f t="shared" ca="1" si="29"/>
        <v>1.0612000000000001</v>
      </c>
      <c r="AA12" s="641">
        <f t="shared" ca="1" si="18"/>
        <v>9</v>
      </c>
      <c r="AB12" s="638" t="str">
        <f t="shared" ca="1" si="1"/>
        <v/>
      </c>
      <c r="AC12" s="639" t="str">
        <f t="shared" ca="1" si="19"/>
        <v/>
      </c>
      <c r="AD12" s="642">
        <f t="shared" ca="1" si="20"/>
        <v>99999</v>
      </c>
      <c r="AE12" s="640">
        <f t="shared" ca="1" si="30"/>
        <v>1.0612000000000001</v>
      </c>
      <c r="AF12" s="640">
        <f t="shared" ca="1" si="21"/>
        <v>9</v>
      </c>
      <c r="AG12" s="638" t="str">
        <f t="shared" ca="1" si="2"/>
        <v/>
      </c>
      <c r="AH12" s="639" t="str">
        <f t="shared" ca="1" si="22"/>
        <v/>
      </c>
      <c r="AI12" s="642">
        <f t="shared" ca="1" si="23"/>
        <v>99999</v>
      </c>
      <c r="AJ12" s="640">
        <f t="shared" ca="1" si="31"/>
        <v>1.0612000000000001</v>
      </c>
      <c r="AK12" s="641">
        <f t="shared" ca="1" si="24"/>
        <v>9</v>
      </c>
      <c r="AL12" s="639" t="str">
        <f t="shared" ca="1" si="3"/>
        <v/>
      </c>
      <c r="AM12" s="639" t="str">
        <f t="shared" ca="1" si="25"/>
        <v/>
      </c>
      <c r="AN12" s="642">
        <f t="shared" ca="1" si="26"/>
        <v>99999</v>
      </c>
      <c r="AO12" s="640">
        <f t="shared" ca="1" si="32"/>
        <v>1.0612000000000001</v>
      </c>
      <c r="AP12" s="641">
        <f t="shared" ca="1" si="27"/>
        <v>9</v>
      </c>
      <c r="AR12" s="1">
        <f ca="1">IF(Einstellungen!$G$7,$I12,ROUND($I12,Einstellungen!$H$7))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O14" s="1"/>
      <c r="P14" s="1"/>
      <c r="Q14" s="1"/>
      <c r="R14" s="1"/>
      <c r="S14" s="1"/>
      <c r="T14" s="1"/>
      <c r="U14" s="1"/>
      <c r="V14" s="1"/>
      <c r="W14" s="1"/>
      <c r="Y14" s="1"/>
      <c r="Z14" s="1"/>
    </row>
    <row r="15" spans="1:45" s="2" customFormat="1" x14ac:dyDescent="0.2">
      <c r="O15" s="12"/>
      <c r="AD15" s="997" t="s">
        <v>179</v>
      </c>
      <c r="AE15" s="998"/>
      <c r="AF15" s="998"/>
      <c r="AG15" s="998"/>
      <c r="AH15" s="999"/>
      <c r="AI15" s="2" t="b">
        <v>0</v>
      </c>
      <c r="AK15" s="251"/>
    </row>
    <row r="16" spans="1:45" s="2" customFormat="1" ht="15.75" thickBot="1" x14ac:dyDescent="0.25">
      <c r="B16" s="13" t="s">
        <v>5</v>
      </c>
      <c r="C16" s="697" t="s">
        <v>97</v>
      </c>
      <c r="D16" s="697" t="s">
        <v>102</v>
      </c>
      <c r="E16" s="697" t="s">
        <v>103</v>
      </c>
      <c r="F16" s="697" t="s">
        <v>104</v>
      </c>
      <c r="G16" s="697" t="s">
        <v>105</v>
      </c>
      <c r="H16" s="697" t="s">
        <v>106</v>
      </c>
      <c r="I16" s="697" t="s">
        <v>107</v>
      </c>
      <c r="J16" s="697" t="s">
        <v>108</v>
      </c>
      <c r="K16" s="697"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Mainz 05</v>
      </c>
      <c r="D17" s="1">
        <f t="shared" ref="D17:G25" ca="1" si="33">K4</f>
        <v>4</v>
      </c>
      <c r="E17" s="1">
        <f t="shared" ca="1" si="33"/>
        <v>2</v>
      </c>
      <c r="F17" s="1">
        <f t="shared" ca="1" si="33"/>
        <v>2</v>
      </c>
      <c r="G17" s="1">
        <f t="shared" ca="1" si="33"/>
        <v>0</v>
      </c>
      <c r="H17" s="1">
        <f t="shared" ref="H17:K25" ca="1" si="34">G4</f>
        <v>187</v>
      </c>
      <c r="I17" s="1">
        <f t="shared" ca="1" si="34"/>
        <v>133</v>
      </c>
      <c r="J17" s="13">
        <f t="shared" ca="1" si="34"/>
        <v>54</v>
      </c>
      <c r="K17" s="1">
        <f t="shared" ca="1" si="34"/>
        <v>6</v>
      </c>
      <c r="L17" s="29">
        <f ca="1">K17*$F$64+(J17+$H$65)*$F$65</f>
        <v>6554000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Vorrunde!$AQ22</f>
        <v>0</v>
      </c>
      <c r="Z17" s="1">
        <f ca="1">RANK($W17,$W$17:$W$25)+(9-$Y17)/10</f>
        <v>1.9</v>
      </c>
      <c r="AA17" s="1">
        <f ca="1">SUM(E30:BP30)</f>
        <v>0</v>
      </c>
      <c r="AB17" s="1">
        <f ca="1">SUM(E41:BP41)</f>
        <v>0</v>
      </c>
      <c r="AC17" s="1"/>
      <c r="AD17" s="257">
        <f ca="1">RANK($K17,$K$17:$K$25)</f>
        <v>1</v>
      </c>
      <c r="AE17" s="29">
        <f ca="1">(J17+$H$65)*$F$65</f>
        <v>554000</v>
      </c>
      <c r="AF17" s="1">
        <f ca="1">RANK($AE17,$AE$17:$AE$25)</f>
        <v>1</v>
      </c>
      <c r="AG17" s="1">
        <f ca="1">RANK($W17,$W$17:$W$25)</f>
        <v>1</v>
      </c>
      <c r="AH17" s="259">
        <f ca="1">AD17+AG17/100+AF17/10000+(10-Y17)/1000000</f>
        <v>1.0101100000000001</v>
      </c>
      <c r="AI17" s="1"/>
    </row>
    <row r="18" spans="2:80" s="2" customFormat="1" x14ac:dyDescent="0.2">
      <c r="C18" s="2" t="str">
        <f t="shared" ref="C18:C25" si="43">$Q65</f>
        <v>Inter Mailand</v>
      </c>
      <c r="D18" s="1">
        <f t="shared" ca="1" si="33"/>
        <v>4</v>
      </c>
      <c r="E18" s="1">
        <f t="shared" ca="1" si="33"/>
        <v>0</v>
      </c>
      <c r="F18" s="1">
        <f t="shared" ca="1" si="33"/>
        <v>3</v>
      </c>
      <c r="G18" s="1">
        <f t="shared" ca="1" si="33"/>
        <v>1</v>
      </c>
      <c r="H18" s="1">
        <f t="shared" ca="1" si="34"/>
        <v>161</v>
      </c>
      <c r="I18" s="1">
        <f t="shared" ca="1" si="34"/>
        <v>189</v>
      </c>
      <c r="J18" s="13">
        <f t="shared" ca="1" si="34"/>
        <v>-28</v>
      </c>
      <c r="K18" s="1">
        <f t="shared" ca="1" si="34"/>
        <v>3</v>
      </c>
      <c r="L18" s="29">
        <f t="shared" ref="L18:L25" ca="1" si="44">K18*$F$64+(J18+$H$65)*$F$65</f>
        <v>3472000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4.0108999999999995</v>
      </c>
      <c r="Y18" s="13">
        <f>Vorrunde!$AQ23</f>
        <v>0</v>
      </c>
      <c r="Z18" s="1">
        <f t="shared" ref="Z18:Z25" ca="1" si="48">RANK($W18,$W$17:$W$25)+(9-$Y18)/10</f>
        <v>1.9</v>
      </c>
      <c r="AA18" s="1">
        <f t="shared" ref="AA18:AA25" ca="1" si="49">SUM(E31:BP31)</f>
        <v>0</v>
      </c>
      <c r="AB18" s="1">
        <f t="shared" ref="AB18:AB25" ca="1" si="50">SUM(E42:BP42)</f>
        <v>0</v>
      </c>
      <c r="AC18" s="1"/>
      <c r="AD18" s="257">
        <f t="shared" ref="AD18:AD25" ca="1" si="51">RANK($K18,$K$17:$K$25)</f>
        <v>4</v>
      </c>
      <c r="AE18" s="29">
        <f t="shared" ref="AE18:AE25" ca="1" si="52">(J18+$H$65)*$F$65</f>
        <v>472000</v>
      </c>
      <c r="AF18" s="1">
        <f t="shared" ref="AF18:AF25" ca="1" si="53">RANK($AE18,$AE$17:$AE$25)</f>
        <v>8</v>
      </c>
      <c r="AG18" s="1">
        <f t="shared" ref="AG18:AG25" ca="1" si="54">RANK($W18,$W$17:$W$25)</f>
        <v>1</v>
      </c>
      <c r="AH18" s="260">
        <f t="shared" ref="AH18:AH25" ca="1" si="55">AD18+AG18/100+AF18/10000+(10-Y18)/1000000</f>
        <v>4.0108099999999993</v>
      </c>
      <c r="AI18" s="1"/>
    </row>
    <row r="19" spans="2:80" s="2" customFormat="1" x14ac:dyDescent="0.2">
      <c r="C19" s="2" t="str">
        <f t="shared" si="43"/>
        <v>SSV Wildbach</v>
      </c>
      <c r="D19" s="1">
        <f t="shared" ca="1" si="33"/>
        <v>4</v>
      </c>
      <c r="E19" s="1">
        <f t="shared" ca="1" si="33"/>
        <v>1</v>
      </c>
      <c r="F19" s="1">
        <f t="shared" ca="1" si="33"/>
        <v>3</v>
      </c>
      <c r="G19" s="1">
        <f t="shared" ca="1" si="33"/>
        <v>0</v>
      </c>
      <c r="H19" s="1">
        <f t="shared" ca="1" si="34"/>
        <v>181</v>
      </c>
      <c r="I19" s="1">
        <f t="shared" ca="1" si="34"/>
        <v>163</v>
      </c>
      <c r="J19" s="13">
        <f t="shared" ca="1" si="34"/>
        <v>18</v>
      </c>
      <c r="K19" s="1">
        <f t="shared" ca="1" si="34"/>
        <v>5</v>
      </c>
      <c r="L19" s="29">
        <f t="shared" ca="1" si="44"/>
        <v>5518000</v>
      </c>
      <c r="M19" s="14">
        <f t="shared" ca="1" si="45"/>
        <v>1</v>
      </c>
      <c r="N19" s="14">
        <f t="array" aca="1" ref="N19" ca="1">IF($AI$15,SUM(($K$17:$K$25&gt;=K19)/COUNTIF($K$17:$K$25,$K$17:$K$25)),SUM(($L$17:$L$25&gt;=L19)/COUNTIF($L$17:$L$25,$L$17:$L$25)))</f>
        <v>2</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2.0108999999999999</v>
      </c>
      <c r="Y19" s="13">
        <f>Vorrunde!$AQ24</f>
        <v>0</v>
      </c>
      <c r="Z19" s="1">
        <f t="shared" ca="1" si="48"/>
        <v>1.9</v>
      </c>
      <c r="AA19" s="1">
        <f t="shared" ca="1" si="49"/>
        <v>0</v>
      </c>
      <c r="AB19" s="1">
        <f t="shared" ca="1" si="50"/>
        <v>0</v>
      </c>
      <c r="AC19" s="1"/>
      <c r="AD19" s="257">
        <f t="shared" ca="1" si="51"/>
        <v>2</v>
      </c>
      <c r="AE19" s="29">
        <f t="shared" ca="1" si="52"/>
        <v>518000</v>
      </c>
      <c r="AF19" s="1">
        <f t="shared" ca="1" si="53"/>
        <v>2</v>
      </c>
      <c r="AG19" s="1">
        <f t="shared" ca="1" si="54"/>
        <v>1</v>
      </c>
      <c r="AH19" s="260">
        <f t="shared" ca="1" si="55"/>
        <v>2.0102099999999998</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146</v>
      </c>
      <c r="I20" s="1">
        <f t="shared" ca="1" si="34"/>
        <v>191</v>
      </c>
      <c r="J20" s="13">
        <f t="shared" ca="1" si="34"/>
        <v>-45</v>
      </c>
      <c r="K20" s="1">
        <f t="shared" ca="1" si="34"/>
        <v>2</v>
      </c>
      <c r="L20" s="29">
        <f t="shared" ca="1" si="44"/>
        <v>2455000</v>
      </c>
      <c r="M20" s="14">
        <f t="shared" ca="1" si="45"/>
        <v>1</v>
      </c>
      <c r="N20" s="14">
        <f t="array" aca="1" ref="N20" ca="1">IF($AI$15,SUM(($K$17:$K$25&gt;=K20)/COUNTIF($K$17:$K$25,$K$17:$K$25)),SUM(($L$17:$L$25&gt;=L20)/COUNTIF($L$17:$L$25,$L$17:$L$25)))</f>
        <v>5</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5.0108999999999995</v>
      </c>
      <c r="Y20" s="13">
        <f>Vorrunde!$AQ25</f>
        <v>0</v>
      </c>
      <c r="Z20" s="1">
        <f t="shared" ca="1" si="48"/>
        <v>1.9</v>
      </c>
      <c r="AA20" s="1">
        <f t="shared" ca="1" si="49"/>
        <v>0</v>
      </c>
      <c r="AB20" s="1">
        <f t="shared" ca="1" si="50"/>
        <v>0</v>
      </c>
      <c r="AC20" s="1"/>
      <c r="AD20" s="257">
        <f t="shared" ca="1" si="51"/>
        <v>5</v>
      </c>
      <c r="AE20" s="29">
        <f t="shared" ca="1" si="52"/>
        <v>455000</v>
      </c>
      <c r="AF20" s="1">
        <f t="shared" ca="1" si="53"/>
        <v>9</v>
      </c>
      <c r="AG20" s="1">
        <f t="shared" ca="1" si="54"/>
        <v>1</v>
      </c>
      <c r="AH20" s="260">
        <f t="shared" ca="1" si="55"/>
        <v>5.0109099999999991</v>
      </c>
      <c r="AI20" s="1"/>
    </row>
    <row r="21" spans="2:80" s="2" customFormat="1" x14ac:dyDescent="0.2">
      <c r="C21" s="2" t="str">
        <f t="shared" si="43"/>
        <v>FC Grönlingen</v>
      </c>
      <c r="D21" s="1">
        <f t="shared" ca="1" si="33"/>
        <v>4</v>
      </c>
      <c r="E21" s="1">
        <f t="shared" ca="1" si="33"/>
        <v>0</v>
      </c>
      <c r="F21" s="1">
        <f t="shared" ca="1" si="33"/>
        <v>4</v>
      </c>
      <c r="G21" s="1">
        <f t="shared" ca="1" si="33"/>
        <v>0</v>
      </c>
      <c r="H21" s="1">
        <f t="shared" ca="1" si="34"/>
        <v>173</v>
      </c>
      <c r="I21" s="1">
        <f t="shared" ca="1" si="34"/>
        <v>172</v>
      </c>
      <c r="J21" s="13">
        <f t="shared" ca="1" si="34"/>
        <v>1</v>
      </c>
      <c r="K21" s="1">
        <f t="shared" ca="1" si="34"/>
        <v>4</v>
      </c>
      <c r="L21" s="29">
        <f t="shared" ca="1" si="44"/>
        <v>4501000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Vorrunde!$AQ26</f>
        <v>0</v>
      </c>
      <c r="Z21" s="1">
        <f t="shared" ca="1" si="48"/>
        <v>1.9</v>
      </c>
      <c r="AA21" s="1">
        <f t="shared" ca="1" si="49"/>
        <v>0</v>
      </c>
      <c r="AB21" s="1">
        <f t="shared" ca="1" si="50"/>
        <v>0</v>
      </c>
      <c r="AC21" s="1"/>
      <c r="AD21" s="257">
        <f t="shared" ca="1" si="51"/>
        <v>3</v>
      </c>
      <c r="AE21" s="29">
        <f t="shared" ca="1" si="52"/>
        <v>501000</v>
      </c>
      <c r="AF21" s="1">
        <f t="shared" ca="1" si="53"/>
        <v>3</v>
      </c>
      <c r="AG21" s="1">
        <f t="shared" ca="1" si="54"/>
        <v>1</v>
      </c>
      <c r="AH21" s="260">
        <f t="shared" ca="1" si="55"/>
        <v>3.01031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Vorrunde!$AQ27</f>
        <v>0</v>
      </c>
      <c r="Z22" s="1">
        <f t="shared" ca="1" si="48"/>
        <v>1.9</v>
      </c>
      <c r="AA22" s="1">
        <f t="shared" ca="1" si="49"/>
        <v>0</v>
      </c>
      <c r="AB22" s="1">
        <f t="shared" ca="1" si="50"/>
        <v>0</v>
      </c>
      <c r="AC22" s="1"/>
      <c r="AD22" s="257">
        <f t="shared" ca="1" si="51"/>
        <v>6</v>
      </c>
      <c r="AE22" s="29">
        <f t="shared" ca="1" si="52"/>
        <v>500000</v>
      </c>
      <c r="AF22" s="1">
        <f t="shared" ca="1" si="53"/>
        <v>4</v>
      </c>
      <c r="AG22" s="1">
        <f t="shared" ca="1" si="54"/>
        <v>1</v>
      </c>
      <c r="AH22" s="260">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4</v>
      </c>
      <c r="AG23" s="1">
        <f t="shared" ca="1" si="54"/>
        <v>1</v>
      </c>
      <c r="AH23" s="260">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4</v>
      </c>
      <c r="AG24" s="1">
        <f t="shared" ca="1" si="54"/>
        <v>1</v>
      </c>
      <c r="AH24" s="260">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4</v>
      </c>
      <c r="AG25" s="1">
        <f t="shared" ca="1" si="54"/>
        <v>1</v>
      </c>
      <c r="AH25" s="261">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3">
        <v>1</v>
      </c>
      <c r="F29" s="990"/>
      <c r="G29" s="990"/>
      <c r="H29" s="990"/>
      <c r="I29" s="990"/>
      <c r="J29" s="990"/>
      <c r="K29" s="990"/>
      <c r="L29" s="992"/>
      <c r="M29" s="989">
        <v>2</v>
      </c>
      <c r="N29" s="990"/>
      <c r="O29" s="990"/>
      <c r="P29" s="990"/>
      <c r="Q29" s="990"/>
      <c r="R29" s="990"/>
      <c r="S29" s="990"/>
      <c r="T29" s="992"/>
      <c r="U29" s="989">
        <v>3</v>
      </c>
      <c r="V29" s="990"/>
      <c r="W29" s="990"/>
      <c r="X29" s="990"/>
      <c r="Y29" s="990"/>
      <c r="Z29" s="990"/>
      <c r="AA29" s="990"/>
      <c r="AB29" s="992"/>
      <c r="AC29" s="989">
        <v>4</v>
      </c>
      <c r="AD29" s="990"/>
      <c r="AE29" s="990"/>
      <c r="AF29" s="990"/>
      <c r="AG29" s="990"/>
      <c r="AH29" s="990"/>
      <c r="AI29" s="990"/>
      <c r="AJ29" s="992"/>
      <c r="AK29" s="989">
        <v>5</v>
      </c>
      <c r="AL29" s="990"/>
      <c r="AM29" s="990"/>
      <c r="AN29" s="990"/>
      <c r="AO29" s="990"/>
      <c r="AP29" s="990"/>
      <c r="AQ29" s="990"/>
      <c r="AR29" s="992"/>
      <c r="AS29" s="989">
        <v>6</v>
      </c>
      <c r="AT29" s="990"/>
      <c r="AU29" s="990"/>
      <c r="AV29" s="990"/>
      <c r="AW29" s="990"/>
      <c r="AX29" s="990"/>
      <c r="AY29" s="990"/>
      <c r="AZ29" s="992"/>
      <c r="BA29" s="989">
        <v>7</v>
      </c>
      <c r="BB29" s="990"/>
      <c r="BC29" s="990"/>
      <c r="BD29" s="990"/>
      <c r="BE29" s="990"/>
      <c r="BF29" s="990"/>
      <c r="BG29" s="990"/>
      <c r="BH29" s="992"/>
      <c r="BI29" s="989">
        <v>8</v>
      </c>
      <c r="BJ29" s="990"/>
      <c r="BK29" s="990"/>
      <c r="BL29" s="990"/>
      <c r="BM29" s="990"/>
      <c r="BN29" s="990"/>
      <c r="BO29" s="990"/>
      <c r="BP29" s="991"/>
      <c r="BQ29" s="13"/>
      <c r="BR29" s="5"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Mainz 05</v>
      </c>
      <c r="BS30" s="7"/>
      <c r="BT30" s="8">
        <f t="shared" ref="BT30:CA37" ca="1" si="57">SUMIFS($X$64:$X$135,$V$64:$V$135,$BR30,$W$64:$W$135,BT$29)+SUMIFS($Y$64:$Y$135,$W$64:$W$135,$BR30,$V$64:$V$135,BT$29)+SUMIFS($AG$64:$AG$135,$V$64:$V$135,$BR30,$W$64:$W$135,BT$29)+SUMIFS($AH$64:$AH$135,$W$64:$W$135,$BR30,$V$64:$V$135,BT$29)</f>
        <v>50</v>
      </c>
      <c r="BU30" s="8">
        <f t="shared" ca="1" si="57"/>
        <v>43</v>
      </c>
      <c r="BV30" s="8">
        <f t="shared" ca="1" si="57"/>
        <v>50</v>
      </c>
      <c r="BW30" s="8">
        <f t="shared" ca="1" si="57"/>
        <v>44</v>
      </c>
      <c r="BX30" s="8">
        <f t="shared" ca="1" si="57"/>
        <v>0</v>
      </c>
      <c r="BY30" s="8">
        <f t="shared" ca="1" si="57"/>
        <v>0</v>
      </c>
      <c r="BZ30" s="8">
        <f t="shared" ca="1" si="57"/>
        <v>0</v>
      </c>
      <c r="CA30" s="8">
        <f t="shared" ca="1" si="57"/>
        <v>0</v>
      </c>
      <c r="CB30" s="4"/>
    </row>
    <row r="31" spans="2:80" s="2" customFormat="1" x14ac:dyDescent="0.2">
      <c r="C31" s="2" t="str">
        <f t="shared" ref="C31:C38" si="58">$Q65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Inter Mailand</v>
      </c>
      <c r="BS31" s="9">
        <f ca="1">SUMIFS($X$64:$X$135,$V$64:$V$135,$BR31,$W$64:$W$135,BS$29)+SUMIFS($Y$64:$Y$135,$W$64:$W$135,$BR31,$V$64:$V$135,BS$29)+SUMIFS($AG$64:$AG$135,$V$64:$V$135,$BR31,$W$64:$W$135,BS$29)+SUMIFS($AH$64:$AH$135,$W$64:$W$135,$BR31,$V$64:$V$135,BS$29)</f>
        <v>33</v>
      </c>
      <c r="BT31" s="7"/>
      <c r="BU31" s="8">
        <f ca="1">SUMIFS($X$64:$X$135,$V$64:$V$135,$BR31,$W$64:$W$135,BU$29)+SUMIFS($Y$64:$Y$135,$W$64:$W$135,$BR31,$V$64:$V$135,BU$29)+SUMIFS($AG$64:$AG$135,$V$64:$V$135,$BR31,$W$64:$W$135,BU$29)+SUMIFS($AH$64:$AH$135,$W$64:$W$135,$BR31,$V$64:$V$135,BU$29)</f>
        <v>39</v>
      </c>
      <c r="BV31" s="8">
        <f t="shared" ca="1" si="57"/>
        <v>44</v>
      </c>
      <c r="BW31" s="8">
        <f t="shared" ca="1" si="57"/>
        <v>45</v>
      </c>
      <c r="BX31" s="8">
        <f t="shared" ca="1" si="57"/>
        <v>0</v>
      </c>
      <c r="BY31" s="8">
        <f t="shared" ca="1" si="57"/>
        <v>0</v>
      </c>
      <c r="BZ31" s="8">
        <f t="shared" ca="1" si="57"/>
        <v>0</v>
      </c>
      <c r="CA31" s="8">
        <f t="shared" ca="1" si="57"/>
        <v>0</v>
      </c>
      <c r="CB31" s="4"/>
    </row>
    <row r="32" spans="2:80" s="2" customFormat="1" x14ac:dyDescent="0.2">
      <c r="C32" s="2" t="str">
        <f t="shared" si="58"/>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SSV Wildbach</v>
      </c>
      <c r="BS32" s="9">
        <f t="shared" ref="BS32:BY38" ca="1" si="59">SUMIFS($X$64:$X$135,$V$64:$V$135,$BR32,$W$64:$W$135,BS$29)+SUMIFS($Y$64:$Y$135,$W$64:$W$135,$BR32,$V$64:$V$135,BS$29)+SUMIFS($AG$64:$AG$135,$V$64:$V$135,$BR32,$W$64:$W$135,BS$29)+SUMIFS($AH$64:$AH$135,$W$64:$W$135,$BR32,$V$64:$V$135,BS$29)</f>
        <v>39</v>
      </c>
      <c r="BT32" s="9">
        <f t="shared" ca="1" si="59"/>
        <v>48</v>
      </c>
      <c r="BU32" s="7"/>
      <c r="BV32" s="8">
        <f t="shared" ca="1" si="57"/>
        <v>50</v>
      </c>
      <c r="BW32" s="8">
        <f t="shared" ca="1" si="57"/>
        <v>44</v>
      </c>
      <c r="BX32" s="8">
        <f t="shared" ca="1" si="57"/>
        <v>0</v>
      </c>
      <c r="BY32" s="8">
        <f t="shared" ca="1" si="57"/>
        <v>0</v>
      </c>
      <c r="BZ32" s="8">
        <f t="shared" ca="1" si="57"/>
        <v>0</v>
      </c>
      <c r="CA32" s="8">
        <f t="shared" ca="1" si="57"/>
        <v>0</v>
      </c>
      <c r="CB32" s="4"/>
    </row>
    <row r="33" spans="2:80" s="2" customFormat="1" x14ac:dyDescent="0.2">
      <c r="C33" s="2" t="str">
        <f t="shared" si="58"/>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Manchester City</v>
      </c>
      <c r="BS33" s="9">
        <f t="shared" ca="1" si="59"/>
        <v>22</v>
      </c>
      <c r="BT33" s="9">
        <f t="shared" ca="1" si="59"/>
        <v>46</v>
      </c>
      <c r="BU33" s="9">
        <f t="shared" ca="1" si="59"/>
        <v>39</v>
      </c>
      <c r="BV33" s="7"/>
      <c r="BW33" s="8">
        <f t="shared" ca="1" si="57"/>
        <v>39</v>
      </c>
      <c r="BX33" s="8">
        <f t="shared" ca="1" si="57"/>
        <v>0</v>
      </c>
      <c r="BY33" s="8">
        <f t="shared" ca="1" si="57"/>
        <v>0</v>
      </c>
      <c r="BZ33" s="8">
        <f t="shared" ca="1" si="57"/>
        <v>0</v>
      </c>
      <c r="CA33" s="8">
        <f t="shared" ca="1" si="57"/>
        <v>0</v>
      </c>
      <c r="CB33" s="4"/>
    </row>
    <row r="34" spans="2:80" s="2" customFormat="1" x14ac:dyDescent="0.2">
      <c r="C34" s="2" t="str">
        <f t="shared" si="58"/>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FC Grönlingen</v>
      </c>
      <c r="BS34" s="9">
        <f t="shared" ca="1" si="59"/>
        <v>39</v>
      </c>
      <c r="BT34" s="9">
        <f t="shared" ca="1" si="59"/>
        <v>45</v>
      </c>
      <c r="BU34" s="9">
        <f t="shared" ca="1" si="59"/>
        <v>42</v>
      </c>
      <c r="BV34" s="9">
        <f t="shared" ca="1" si="59"/>
        <v>47</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Mainz 05</v>
      </c>
      <c r="BS41" s="7"/>
      <c r="BT41" s="8">
        <f ca="1">BT30-BS31</f>
        <v>17</v>
      </c>
      <c r="BU41" s="8">
        <f ca="1">BU30-BS32</f>
        <v>4</v>
      </c>
      <c r="BV41" s="8">
        <f ca="1">BV30-BS33</f>
        <v>28</v>
      </c>
      <c r="BW41" s="8">
        <f ca="1">BW30-BS34</f>
        <v>5</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Inter Mailand</v>
      </c>
      <c r="BS42" s="9">
        <f ca="1">IF(BT41="","",-1*BT41)</f>
        <v>-17</v>
      </c>
      <c r="BT42" s="7"/>
      <c r="BU42" s="8">
        <f ca="1">BU31-BT32</f>
        <v>-9</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SSV Wildbach</v>
      </c>
      <c r="BS43" s="9">
        <f ca="1">IF(BU41="","",-1*BU41)</f>
        <v>-4</v>
      </c>
      <c r="BT43" s="9">
        <f ca="1">IF(BU42="","",-1*BU42)</f>
        <v>9</v>
      </c>
      <c r="BU43" s="7"/>
      <c r="BV43" s="8">
        <f ca="1">BV32-BU33</f>
        <v>11</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Manchester City</v>
      </c>
      <c r="BS44" s="9">
        <f ca="1">IF(BV41="","",-1*BV41)</f>
        <v>-28</v>
      </c>
      <c r="BT44" s="9">
        <f ca="1">IF(BV42="","",-1*BV42)</f>
        <v>2</v>
      </c>
      <c r="BU44" s="9">
        <f ca="1">IF(BV43="","",-1*BV43)</f>
        <v>-11</v>
      </c>
      <c r="BV44" s="7"/>
      <c r="BW44" s="8">
        <f ca="1">BW33-BV34</f>
        <v>-8</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FC Grönlingen</v>
      </c>
      <c r="BS45" s="9">
        <f ca="1">IF(BW41="","",-1*BW41)</f>
        <v>-5</v>
      </c>
      <c r="BT45" s="9">
        <f ca="1">IF(BW42="","",-1*BW42)</f>
        <v>0</v>
      </c>
      <c r="BU45" s="9">
        <f ca="1">IF(BW43="","",-1*BW43)</f>
        <v>-2</v>
      </c>
      <c r="BV45" s="9">
        <f ca="1">IF(BW44="","",-1*BW44)</f>
        <v>8</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Mainz 05</v>
      </c>
      <c r="BS52" s="7"/>
      <c r="BT52" s="8">
        <f t="shared" ref="BT52:CA58" ca="1" si="63">SUMIFS($AE$64:$AE$135,$V$64:$V$135,$BR52,$W$64:$W$135,BT$51)+SUMIFS($AF$64:$AF$135,$W$64:$W$135,$BR52,$V$64:$V$135,BT$51)</f>
        <v>2</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Inter Mailand</v>
      </c>
      <c r="BS53" s="9">
        <f t="shared" ref="BS53:BU60" ca="1" si="64">SUMIFS($AE$64:$AE$135,$V$64:$V$135,$BR53,$W$64:$W$135,BS$51)+SUMIFS($AF$64:$AF$135,$W$64:$W$135,$BR53,$V$64:$V$135,BS$51)</f>
        <v>0</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1</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SSV Wildbach</v>
      </c>
      <c r="BS54" s="9">
        <f t="shared" ca="1" si="64"/>
        <v>1</v>
      </c>
      <c r="BT54" s="9">
        <f t="shared" ca="1" si="64"/>
        <v>1</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Manchester City</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FC Grönlingen</v>
      </c>
      <c r="BS56" s="9">
        <f t="shared" ca="1" si="64"/>
        <v>1</v>
      </c>
      <c r="BT56" s="9">
        <f t="shared" ca="1" si="64"/>
        <v>1</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1000" t="s">
        <v>374</v>
      </c>
      <c r="Y63" s="1000"/>
      <c r="Z63" s="161" t="s">
        <v>152</v>
      </c>
      <c r="AA63" s="161" t="s">
        <v>15</v>
      </c>
      <c r="AB63" s="161" t="s">
        <v>150</v>
      </c>
      <c r="AC63" s="650" t="s">
        <v>153</v>
      </c>
      <c r="AD63" s="161" t="s">
        <v>151</v>
      </c>
      <c r="AE63" s="994" t="s">
        <v>379</v>
      </c>
      <c r="AF63" s="994"/>
      <c r="AG63" s="1001" t="s">
        <v>375</v>
      </c>
      <c r="AH63" s="1001"/>
      <c r="AI63" s="652" t="s">
        <v>380</v>
      </c>
      <c r="AJ63" s="4"/>
      <c r="AK63" s="4"/>
      <c r="AL63" s="4"/>
      <c r="AM63" s="4"/>
      <c r="AN63" s="4"/>
      <c r="AO63" s="4"/>
      <c r="AP63" s="4"/>
      <c r="AQ63" s="4"/>
      <c r="AR63" s="4"/>
    </row>
    <row r="64" spans="5:80" s="2" customFormat="1" ht="14.25" thickTop="1" thickBot="1" x14ac:dyDescent="0.25">
      <c r="F64" s="189">
        <v>1000000</v>
      </c>
      <c r="G64" s="190" t="s">
        <v>109</v>
      </c>
      <c r="P64" s="44" t="s">
        <v>6</v>
      </c>
      <c r="Q64" s="59" t="str">
        <f>IF(Planung!$C$24="","",Planung!$C$24)</f>
        <v>Mainz 05</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39" t="str">
        <f ca="1">IF(AA64&gt;0,(X64+AG64)&amp;Sprache!$E$90&amp;(Y64+AH64),"")</f>
        <v>50:36</v>
      </c>
      <c r="AD64" s="140"/>
      <c r="AE64" s="145">
        <f ca="1">IF($AA64=0,0,IF($X64&gt;$Y64,1,0)+IF($AG64&gt;$AH64,1,0))</f>
        <v>2</v>
      </c>
      <c r="AF64" s="140">
        <f ca="1">IF($AA64=0,0,IF($X64&lt;$Y64,1,0)+IF($AG64&lt;$AH64,1,0))</f>
        <v>0</v>
      </c>
      <c r="AG64" s="145">
        <f ca="1">IF($AA64=1,Vorrunde!$L12,"")</f>
        <v>25</v>
      </c>
      <c r="AH64" s="140">
        <f ca="1">IF($AA64=1,Vorrunde!$N12,"")</f>
        <v>17</v>
      </c>
      <c r="AI64" s="140" t="str">
        <f ca="1">IF(AA64&gt;0,AE64&amp;Sprache!$E$90&amp;AF64,"")</f>
        <v>2:0</v>
      </c>
      <c r="AJ64" s="4"/>
      <c r="AK64" s="4"/>
      <c r="AL64" s="4"/>
      <c r="AM64" s="4"/>
      <c r="AN64" s="4"/>
      <c r="AO64" s="4"/>
      <c r="AP64" s="4"/>
      <c r="AQ64" s="4"/>
      <c r="AR64" s="4"/>
    </row>
    <row r="65" spans="2:43" s="2" customFormat="1" ht="13.5" thickBot="1" x14ac:dyDescent="0.25">
      <c r="F65" s="191">
        <v>1000</v>
      </c>
      <c r="G65" s="192" t="s">
        <v>108</v>
      </c>
      <c r="H65" s="196">
        <v>500</v>
      </c>
      <c r="I65" s="195" t="s">
        <v>367</v>
      </c>
      <c r="P65" s="45" t="s">
        <v>7</v>
      </c>
      <c r="Q65" s="60" t="str">
        <f>IF(Planung!$C$26="","",Planung!$C$26)</f>
        <v>Inter Mailand</v>
      </c>
      <c r="U65" s="66" t="s">
        <v>7</v>
      </c>
      <c r="V65" s="40" t="str">
        <f ca="1">Planung!$L7</f>
        <v>FC Grönlingen</v>
      </c>
      <c r="W65" s="13" t="str">
        <f ca="1">Planung!$N7</f>
        <v>Inter Mailand</v>
      </c>
      <c r="X65" s="13">
        <f ca="1">IF($AA65=1,Vorrunde!$I13,"")</f>
        <v>25</v>
      </c>
      <c r="Y65" s="35">
        <f ca="1">IF($AA65=1,Vorrunde!$K13,"")</f>
        <v>20</v>
      </c>
      <c r="Z65" s="34" t="str">
        <f t="shared" ref="Z65:Z73" ca="1" si="65">V65&amp;W65</f>
        <v>FC GrönlingenInter Mailand</v>
      </c>
      <c r="AA65" s="739">
        <f ca="1">IF(AND(Vorrunde!$I13&lt;&gt;"",Vorrunde!$K13&lt;&gt;"",Vorrunde!$I13&lt;&gt;Vorrunde!$K13,OR(AND(Vorrunde!$L13="",Vorrunde!$N13=""),AND(Vorrunde!$L13&lt;&gt;"",Vorrunde!$N13&lt;&gt;"",Vorrunde!$L13&lt;&gt;Vorrunde!$N13)),Vorrunde!$F13&lt;&gt;"",Vorrunde!$H13&lt;&gt;"",Vorrunde!$F13&lt;&gt;Vorrunde!$H13),1,0)</f>
        <v>1</v>
      </c>
      <c r="AB65" s="739" t="str">
        <f ca="1">IF(AA65&gt;0,(X65+AG65)&amp;Sprache!$E$90&amp;(Y65+AH65),"")</f>
        <v>45:45</v>
      </c>
      <c r="AD65" s="141"/>
      <c r="AE65" s="146">
        <f t="shared" ref="AE65:AE123" ca="1" si="66">IF($AA65=0,0,IF($X65&gt;$Y65,1,0)+IF($AG65&gt;$AH65,1,0))</f>
        <v>1</v>
      </c>
      <c r="AF65" s="141">
        <f t="shared" ref="AF65:AF123" ca="1" si="67">IF($AA65=0,0,IF($X65&lt;$Y65,1,0)+IF($AG65&lt;$AH65,1,0))</f>
        <v>1</v>
      </c>
      <c r="AG65" s="146">
        <f ca="1">IF($AA65=1,Vorrunde!$L13,"")</f>
        <v>20</v>
      </c>
      <c r="AH65" s="141">
        <f ca="1">IF($AA65=1,Vorrunde!$N13,"")</f>
        <v>25</v>
      </c>
      <c r="AI65" s="141" t="str">
        <f ca="1">IF(AA65&gt;0,AE65&amp;Sprache!$E$90&amp;AF65,"")</f>
        <v>1:1</v>
      </c>
      <c r="AJ65" s="13"/>
      <c r="AK65" s="13"/>
      <c r="AL65" s="13"/>
      <c r="AM65" s="13"/>
      <c r="AN65" s="13"/>
      <c r="AO65" s="13"/>
      <c r="AP65" s="13"/>
      <c r="AQ65" s="13"/>
    </row>
    <row r="66" spans="2:43" s="2" customFormat="1" ht="13.5" thickBot="1" x14ac:dyDescent="0.25">
      <c r="F66" s="193">
        <v>0</v>
      </c>
      <c r="G66" s="194" t="s">
        <v>106</v>
      </c>
      <c r="P66" s="45" t="s">
        <v>8</v>
      </c>
      <c r="Q66" s="60" t="str">
        <f>IF(Planung!$C$28="","",Planung!$C$28)</f>
        <v>SSV Wildbach</v>
      </c>
      <c r="U66" s="66" t="s">
        <v>8</v>
      </c>
      <c r="V66" s="40" t="str">
        <f ca="1">Planung!$L8</f>
        <v>1. FC Nürnberg</v>
      </c>
      <c r="W66" s="13" t="str">
        <f ca="1">Planung!$N8</f>
        <v>Real Madrid</v>
      </c>
      <c r="X66" s="13">
        <f ca="1">IF($AA66=1,Vorrunde!$I14,"")</f>
        <v>25</v>
      </c>
      <c r="Y66" s="35">
        <f ca="1">IF($AA66=1,Vorrunde!$K14,"")</f>
        <v>21</v>
      </c>
      <c r="Z66" s="34" t="str">
        <f t="shared" ca="1" si="65"/>
        <v>1. FC NürnbergReal Madrid</v>
      </c>
      <c r="AA66" s="739">
        <f ca="1">IF(AND(Vorrunde!$I14&lt;&gt;"",Vorrunde!$K14&lt;&gt;"",Vorrunde!$I14&lt;&gt;Vorrunde!$K14,OR(AND(Vorrunde!$L14="",Vorrunde!$N14=""),AND(Vorrunde!$L14&lt;&gt;"",Vorrunde!$N14&lt;&gt;"",Vorrunde!$L14&lt;&gt;Vorrunde!$N14)),Vorrunde!$F14&lt;&gt;"",Vorrunde!$H14&lt;&gt;"",Vorrunde!$F14&lt;&gt;Vorrunde!$H14),1,0)</f>
        <v>1</v>
      </c>
      <c r="AB66" s="739" t="str">
        <f ca="1">IF(AA66&gt;0,(X66+AG66)&amp;Sprache!$E$90&amp;(Y66+AH66),"")</f>
        <v>50:40</v>
      </c>
      <c r="AD66" s="141"/>
      <c r="AE66" s="146">
        <f t="shared" ca="1" si="66"/>
        <v>2</v>
      </c>
      <c r="AF66" s="141">
        <f t="shared" ca="1" si="67"/>
        <v>0</v>
      </c>
      <c r="AG66" s="146">
        <f ca="1">IF($AA66=1,Vorrunde!$L14,"")</f>
        <v>25</v>
      </c>
      <c r="AH66" s="141">
        <f ca="1">IF($AA66=1,Vorrunde!$N14,"")</f>
        <v>19</v>
      </c>
      <c r="AI66" s="141" t="str">
        <f ca="1">IF(AA66&gt;0,AE66&amp;Sprache!$E$90&amp;AF66,"")</f>
        <v>2:0</v>
      </c>
      <c r="AJ66" s="4"/>
      <c r="AK66" s="13"/>
      <c r="AL66" s="13"/>
      <c r="AM66" s="13"/>
      <c r="AN66" s="13"/>
      <c r="AO66" s="13"/>
      <c r="AP66" s="13"/>
      <c r="AQ66" s="13"/>
    </row>
    <row r="67" spans="2:43" s="2" customFormat="1" x14ac:dyDescent="0.2">
      <c r="P67" s="45" t="s">
        <v>9</v>
      </c>
      <c r="Q67" s="60" t="str">
        <f>IF(Planung!$C$30="","",Planung!$C$30)</f>
        <v>Manchester City</v>
      </c>
      <c r="U67" s="66" t="s">
        <v>9</v>
      </c>
      <c r="V67" s="40" t="str">
        <f ca="1">Planung!$L9</f>
        <v>SV Oberredenburg</v>
      </c>
      <c r="W67" s="13" t="str">
        <f ca="1">Planung!$N9</f>
        <v>Paris St. Germain</v>
      </c>
      <c r="X67" s="13">
        <f ca="1">IF($AA67=1,Vorrunde!$I15,"")</f>
        <v>25</v>
      </c>
      <c r="Y67" s="35">
        <f ca="1">IF($AA67=1,Vorrunde!$K15,"")</f>
        <v>22</v>
      </c>
      <c r="Z67" s="34" t="str">
        <f t="shared" ca="1" si="65"/>
        <v>SV OberredenburgParis St. Germain</v>
      </c>
      <c r="AA67" s="739">
        <f ca="1">IF(AND(Vorrunde!$I15&lt;&gt;"",Vorrunde!$K15&lt;&gt;"",Vorrunde!$I15&lt;&gt;Vorrunde!$K15,OR(AND(Vorrunde!$L15="",Vorrunde!$N15=""),AND(Vorrunde!$L15&lt;&gt;"",Vorrunde!$N15&lt;&gt;"",Vorrunde!$L15&lt;&gt;Vorrunde!$N15)),Vorrunde!$F15&lt;&gt;"",Vorrunde!$H15&lt;&gt;"",Vorrunde!$F15&lt;&gt;Vorrunde!$H15),1,0)</f>
        <v>1</v>
      </c>
      <c r="AB67" s="739" t="str">
        <f ca="1">IF(AA67&gt;0,(X67+AG67)&amp;Sprache!$E$90&amp;(Y67+AH67),"")</f>
        <v>50:42</v>
      </c>
      <c r="AD67" s="141"/>
      <c r="AE67" s="146">
        <f t="shared" ca="1" si="66"/>
        <v>2</v>
      </c>
      <c r="AF67" s="141">
        <f t="shared" ca="1" si="67"/>
        <v>0</v>
      </c>
      <c r="AG67" s="146">
        <f ca="1">IF($AA67=1,Vorrunde!$L15,"")</f>
        <v>25</v>
      </c>
      <c r="AH67" s="141">
        <f ca="1">IF($AA67=1,Vorrunde!$N15,"")</f>
        <v>20</v>
      </c>
      <c r="AI67" s="141" t="str">
        <f ca="1">IF(AA67&gt;0,AE67&amp;Sprache!$E$90&amp;AF67,"")</f>
        <v>2:0</v>
      </c>
      <c r="AJ67" s="13"/>
      <c r="AK67" s="4"/>
      <c r="AL67" s="13"/>
      <c r="AM67" s="13"/>
      <c r="AN67" s="13"/>
      <c r="AO67" s="13"/>
      <c r="AP67" s="13"/>
      <c r="AQ67" s="13"/>
    </row>
    <row r="68" spans="2:43" s="2" customFormat="1" x14ac:dyDescent="0.2">
      <c r="P68" s="45" t="s">
        <v>10</v>
      </c>
      <c r="Q68" s="60" t="str">
        <f>IF(Planung!$C$32="","",Planung!$C$32)</f>
        <v>FC Grönlingen</v>
      </c>
      <c r="U68" s="66" t="s">
        <v>10</v>
      </c>
      <c r="V68" s="40" t="str">
        <f ca="1">Planung!$L10</f>
        <v>Eintracht Frankfurt</v>
      </c>
      <c r="W68" s="13" t="str">
        <f ca="1">Planung!$N10</f>
        <v>Maibach 1822 eV</v>
      </c>
      <c r="X68" s="13">
        <f ca="1">IF($AA68=1,Vorrunde!$I16,"")</f>
        <v>25</v>
      </c>
      <c r="Y68" s="35">
        <f ca="1">IF($AA68=1,Vorrunde!$K16,"")</f>
        <v>23</v>
      </c>
      <c r="Z68" s="34" t="str">
        <f t="shared" ca="1" si="65"/>
        <v>Eintracht FrankfurtMaibach 1822 eV</v>
      </c>
      <c r="AA68" s="739">
        <f ca="1">IF(AND(Vorrunde!$I16&lt;&gt;"",Vorrunde!$K16&lt;&gt;"",Vorrunde!$I16&lt;&gt;Vorrunde!$K16,OR(AND(Vorrunde!$L16="",Vorrunde!$N16=""),AND(Vorrunde!$L16&lt;&gt;"",Vorrunde!$N16&lt;&gt;"",Vorrunde!$L16&lt;&gt;Vorrunde!$N16)),Vorrunde!$F16&lt;&gt;"",Vorrunde!$H16&lt;&gt;"",Vorrunde!$F16&lt;&gt;Vorrunde!$H16),1,0)</f>
        <v>1</v>
      </c>
      <c r="AB68" s="739" t="str">
        <f ca="1">IF(AA68&gt;0,(X68+AG68)&amp;Sprache!$E$90&amp;(Y68+AH68),"")</f>
        <v>50:44</v>
      </c>
      <c r="AD68" s="141"/>
      <c r="AE68" s="146">
        <f t="shared" ca="1" si="66"/>
        <v>2</v>
      </c>
      <c r="AF68" s="141">
        <f t="shared" ca="1" si="67"/>
        <v>0</v>
      </c>
      <c r="AG68" s="146">
        <f ca="1">IF($AA68=1,Vorrunde!$L16,"")</f>
        <v>25</v>
      </c>
      <c r="AH68" s="141">
        <f ca="1">IF($AA68=1,Vorrunde!$N16,"")</f>
        <v>21</v>
      </c>
      <c r="AI68" s="141" t="str">
        <f ca="1">IF(AA68&gt;0,AE68&amp;Sprache!$E$90&amp;AF68,"")</f>
        <v>2:0</v>
      </c>
      <c r="AJ68" s="13"/>
      <c r="AK68" s="13"/>
      <c r="AL68" s="4"/>
      <c r="AM68" s="13"/>
      <c r="AN68" s="13"/>
      <c r="AO68" s="13"/>
      <c r="AP68" s="13"/>
      <c r="AQ68" s="13"/>
    </row>
    <row r="69" spans="2:43" s="2" customFormat="1" x14ac:dyDescent="0.2">
      <c r="P69" s="45" t="s">
        <v>11</v>
      </c>
      <c r="Q69" s="60" t="str">
        <f>IF(Planung!$C$34="","",Planung!$C$34)</f>
        <v/>
      </c>
      <c r="U69" s="66" t="s">
        <v>11</v>
      </c>
      <c r="V69" s="40" t="str">
        <f ca="1">Planung!$L11</f>
        <v>SSV Wildbach</v>
      </c>
      <c r="W69" s="13" t="str">
        <f ca="1">Planung!$N11</f>
        <v>Manchester City</v>
      </c>
      <c r="X69" s="13">
        <f ca="1">IF($AA69=1,Vorrunde!$I17,"")</f>
        <v>25</v>
      </c>
      <c r="Y69" s="35">
        <f ca="1">IF($AA69=1,Vorrunde!$K17,"")</f>
        <v>17</v>
      </c>
      <c r="Z69" s="34" t="str">
        <f t="shared" ca="1" si="65"/>
        <v>SSV WildbachManchester City</v>
      </c>
      <c r="AA69" s="739">
        <f ca="1">IF(AND(Vorrunde!$I17&lt;&gt;"",Vorrunde!$K17&lt;&gt;"",Vorrunde!$I17&lt;&gt;Vorrunde!$K17,OR(AND(Vorrunde!$L17="",Vorrunde!$N17=""),AND(Vorrunde!$L17&lt;&gt;"",Vorrunde!$N17&lt;&gt;"",Vorrunde!$L17&lt;&gt;Vorrunde!$N17)),Vorrunde!$F17&lt;&gt;"",Vorrunde!$H17&lt;&gt;"",Vorrunde!$F17&lt;&gt;Vorrunde!$H17),1,0)</f>
        <v>1</v>
      </c>
      <c r="AB69" s="739" t="str">
        <f ca="1">IF(AA69&gt;0,(X69+AG69)&amp;Sprache!$E$90&amp;(Y69+AH69),"")</f>
        <v>50:39</v>
      </c>
      <c r="AD69" s="141"/>
      <c r="AE69" s="146">
        <f t="shared" ca="1" si="66"/>
        <v>2</v>
      </c>
      <c r="AF69" s="141">
        <f t="shared" ca="1" si="67"/>
        <v>0</v>
      </c>
      <c r="AG69" s="146">
        <f ca="1">IF($AA69=1,Vorrunde!$L17,"")</f>
        <v>25</v>
      </c>
      <c r="AH69" s="141">
        <f ca="1">IF($AA69=1,Vorrunde!$N17,"")</f>
        <v>22</v>
      </c>
      <c r="AI69" s="141"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5"/>
        <v>Borussia DortmundFSV Rauen</v>
      </c>
      <c r="AA70" s="739">
        <f ca="1">IF(AND(Vorrunde!$I18&lt;&gt;"",Vorrunde!$K18&lt;&gt;"",Vorrunde!$I18&lt;&gt;Vorrunde!$K18,OR(AND(Vorrunde!$L18="",Vorrunde!$N18=""),AND(Vorrunde!$L18&lt;&gt;"",Vorrunde!$N18&lt;&gt;"",Vorrunde!$L18&lt;&gt;Vorrunde!$N18)),Vorrunde!$F18&lt;&gt;"",Vorrunde!$H18&lt;&gt;"",Vorrunde!$F18&lt;&gt;Vorrunde!$H18),1,0)</f>
        <v>1</v>
      </c>
      <c r="AB70" s="739" t="str">
        <f ca="1">IF(AA70&gt;0,(X70+AG70)&amp;Sprache!$E$90&amp;(Y70+AH70),"")</f>
        <v>45:48</v>
      </c>
      <c r="AD70" s="141"/>
      <c r="AE70" s="146">
        <f t="shared" ca="1" si="66"/>
        <v>1</v>
      </c>
      <c r="AF70" s="141">
        <f t="shared" ca="1" si="67"/>
        <v>1</v>
      </c>
      <c r="AG70" s="146">
        <f ca="1">IF($AA70=1,Vorrunde!$L18,"")</f>
        <v>25</v>
      </c>
      <c r="AH70" s="141">
        <f ca="1">IF($AA70=1,Vorrunde!$N18,"")</f>
        <v>23</v>
      </c>
      <c r="AI70" s="141"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5"/>
        <v>HSVRB Leipzig</v>
      </c>
      <c r="AA71" s="739">
        <f ca="1">IF(AND(Vorrunde!$I19&lt;&gt;"",Vorrunde!$K19&lt;&gt;"",Vorrunde!$I19&lt;&gt;Vorrunde!$K19,OR(AND(Vorrunde!$L19="",Vorrunde!$N19=""),AND(Vorrunde!$L19&lt;&gt;"",Vorrunde!$N19&lt;&gt;"",Vorrunde!$L19&lt;&gt;Vorrunde!$N19)),Vorrunde!$F19&lt;&gt;"",Vorrunde!$H19&lt;&gt;"",Vorrunde!$F19&lt;&gt;Vorrunde!$H19),1,0)</f>
        <v>1</v>
      </c>
      <c r="AB71" s="739" t="str">
        <f ca="1">IF(AA71&gt;0,(X71+AG71)&amp;Sprache!$E$90&amp;(Y71+AH71),"")</f>
        <v>44:42</v>
      </c>
      <c r="AD71" s="141"/>
      <c r="AE71" s="146">
        <f t="shared" ca="1" si="66"/>
        <v>1</v>
      </c>
      <c r="AF71" s="141">
        <f t="shared" ca="1" si="67"/>
        <v>1</v>
      </c>
      <c r="AG71" s="146">
        <f ca="1">IF($AA71=1,Vorrunde!$L19,"")</f>
        <v>25</v>
      </c>
      <c r="AH71" s="141">
        <f ca="1">IF($AA71=1,Vorrunde!$N19,"")</f>
        <v>17</v>
      </c>
      <c r="AI71" s="141"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5"/>
        <v>VFB Essenheim1. FC Riedwald</v>
      </c>
      <c r="AA72" s="739">
        <f ca="1">IF(AND(Vorrunde!$I20&lt;&gt;"",Vorrunde!$K20&lt;&gt;"",Vorrunde!$I20&lt;&gt;Vorrunde!$K20,OR(AND(Vorrunde!$L20="",Vorrunde!$N20=""),AND(Vorrunde!$L20&lt;&gt;"",Vorrunde!$N20&lt;&gt;"",Vorrunde!$L20&lt;&gt;Vorrunde!$N20)),Vorrunde!$F20&lt;&gt;"",Vorrunde!$H20&lt;&gt;"",Vorrunde!$F20&lt;&gt;Vorrunde!$H20),1,0)</f>
        <v>1</v>
      </c>
      <c r="AB72" s="739" t="str">
        <f ca="1">IF(AA72&gt;0,(X72+AG72)&amp;Sprache!$E$90&amp;(Y72+AH72),"")</f>
        <v>41:43</v>
      </c>
      <c r="AD72" s="141"/>
      <c r="AE72" s="146">
        <f t="shared" ca="1" si="66"/>
        <v>1</v>
      </c>
      <c r="AF72" s="141">
        <f t="shared" ca="1" si="67"/>
        <v>1</v>
      </c>
      <c r="AG72" s="146">
        <f ca="1">IF($AA72=1,Vorrunde!$L20,"")</f>
        <v>25</v>
      </c>
      <c r="AH72" s="141">
        <f ca="1">IF($AA72=1,Vorrunde!$N20,"")</f>
        <v>18</v>
      </c>
      <c r="AI72" s="141"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5"/>
        <v>FC GrönlingenMainz 05</v>
      </c>
      <c r="AA73" s="739">
        <f ca="1">IF(AND(Vorrunde!$I21&lt;&gt;"",Vorrunde!$K21&lt;&gt;"",Vorrunde!$I21&lt;&gt;Vorrunde!$K21,OR(AND(Vorrunde!$L21="",Vorrunde!$N21=""),AND(Vorrunde!$L21&lt;&gt;"",Vorrunde!$N21&lt;&gt;"",Vorrunde!$L21&lt;&gt;Vorrunde!$N21)),Vorrunde!$F21&lt;&gt;"",Vorrunde!$H21&lt;&gt;"",Vorrunde!$F21&lt;&gt;Vorrunde!$H21),1,0)</f>
        <v>1</v>
      </c>
      <c r="AB73" s="739" t="str">
        <f ca="1">IF(AA73&gt;0,(X73+AG73)&amp;Sprache!$E$90&amp;(Y73+AH73),"")</f>
        <v>39:44</v>
      </c>
      <c r="AD73" s="141"/>
      <c r="AE73" s="146">
        <f t="shared" ca="1" si="66"/>
        <v>1</v>
      </c>
      <c r="AF73" s="141">
        <f t="shared" ca="1" si="67"/>
        <v>1</v>
      </c>
      <c r="AG73" s="146">
        <f ca="1">IF($AA73=1,Vorrunde!$L21,"")</f>
        <v>25</v>
      </c>
      <c r="AH73" s="141">
        <f ca="1">IF($AA73=1,Vorrunde!$N21,"")</f>
        <v>19</v>
      </c>
      <c r="AI73" s="141"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739">
        <f ca="1">IF(AND(Vorrunde!$I22&lt;&gt;"",Vorrunde!$K22&lt;&gt;"",Vorrunde!$I22&lt;&gt;Vorrunde!$K22,OR(AND(Vorrunde!$L22="",Vorrunde!$N22=""),AND(Vorrunde!$L22&lt;&gt;"",Vorrunde!$N22&lt;&gt;"",Vorrunde!$L22&lt;&gt;Vorrunde!$N22)),Vorrunde!$F22&lt;&gt;"",Vorrunde!$H22&lt;&gt;"",Vorrunde!$F22&lt;&gt;Vorrunde!$H22),1,0)</f>
        <v>1</v>
      </c>
      <c r="AB74" s="739" t="str">
        <f ca="1">IF(AA74&gt;0,(X74+AG74)&amp;Sprache!$E$90&amp;(Y74+AH74),"")</f>
        <v>47:45</v>
      </c>
      <c r="AD74" s="141"/>
      <c r="AE74" s="146">
        <f t="shared" ca="1" si="66"/>
        <v>1</v>
      </c>
      <c r="AF74" s="141">
        <f t="shared" ca="1" si="67"/>
        <v>1</v>
      </c>
      <c r="AG74" s="146">
        <f ca="1">IF($AA74=1,Vorrunde!$L22,"")</f>
        <v>25</v>
      </c>
      <c r="AH74" s="141">
        <f ca="1">IF($AA74=1,Vorrunde!$N22,"")</f>
        <v>20</v>
      </c>
      <c r="AI74" s="141"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123" ca="1" si="68">V75&amp;W75</f>
        <v>SV OberredenburgTSG Saalberg eV</v>
      </c>
      <c r="AA75" s="739">
        <f ca="1">IF(AND(Vorrunde!$I23&lt;&gt;"",Vorrunde!$K23&lt;&gt;"",Vorrunde!$I23&lt;&gt;Vorrunde!$K23,OR(AND(Vorrunde!$L23="",Vorrunde!$N23=""),AND(Vorrunde!$L23&lt;&gt;"",Vorrunde!$N23&lt;&gt;"",Vorrunde!$L23&lt;&gt;Vorrunde!$N23)),Vorrunde!$F23&lt;&gt;"",Vorrunde!$H23&lt;&gt;"",Vorrunde!$F23&lt;&gt;Vorrunde!$H23),1,0)</f>
        <v>1</v>
      </c>
      <c r="AB75" s="739" t="str">
        <f ca="1">IF(AA75&gt;0,(X75+AG75)&amp;Sprache!$E$90&amp;(Y75+AH75),"")</f>
        <v>44:46</v>
      </c>
      <c r="AD75" s="141"/>
      <c r="AE75" s="146">
        <f t="shared" ca="1" si="66"/>
        <v>1</v>
      </c>
      <c r="AF75" s="141">
        <f t="shared" ca="1" si="67"/>
        <v>1</v>
      </c>
      <c r="AG75" s="146">
        <f ca="1">IF($AA75=1,Vorrunde!$L23,"")</f>
        <v>25</v>
      </c>
      <c r="AH75" s="141">
        <f ca="1">IF($AA75=1,Vorrunde!$N23,"")</f>
        <v>21</v>
      </c>
      <c r="AI75" s="141"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8"/>
        <v>FC BarcelonaEintracht Frankfurt</v>
      </c>
      <c r="AA76" s="739">
        <f ca="1">IF(AND(Vorrunde!$I24&lt;&gt;"",Vorrunde!$K24&lt;&gt;"",Vorrunde!$I24&lt;&gt;Vorrunde!$K24,OR(AND(Vorrunde!$L24="",Vorrunde!$N24=""),AND(Vorrunde!$L24&lt;&gt;"",Vorrunde!$N24&lt;&gt;"",Vorrunde!$L24&lt;&gt;Vorrunde!$N24)),Vorrunde!$F24&lt;&gt;"",Vorrunde!$H24&lt;&gt;"",Vorrunde!$F24&lt;&gt;Vorrunde!$H24),1,0)</f>
        <v>1</v>
      </c>
      <c r="AB76" s="739" t="str">
        <f ca="1">IF(AA76&gt;0,(X76+AG76)&amp;Sprache!$E$90&amp;(Y76+AH76),"")</f>
        <v>29:50</v>
      </c>
      <c r="AD76" s="141"/>
      <c r="AE76" s="146">
        <f t="shared" ca="1" si="66"/>
        <v>0</v>
      </c>
      <c r="AF76" s="141">
        <f t="shared" ca="1" si="67"/>
        <v>2</v>
      </c>
      <c r="AG76" s="146">
        <f ca="1">IF($AA76=1,Vorrunde!$L24,"")</f>
        <v>12</v>
      </c>
      <c r="AH76" s="141">
        <f ca="1">IF($AA76=1,Vorrunde!$N24,"")</f>
        <v>25</v>
      </c>
      <c r="AI76" s="141"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8"/>
        <v>Inter MailandSSV Wildbach</v>
      </c>
      <c r="AA77" s="739">
        <f ca="1">IF(AND(Vorrunde!$I25&lt;&gt;"",Vorrunde!$K25&lt;&gt;"",Vorrunde!$I25&lt;&gt;Vorrunde!$K25,OR(AND(Vorrunde!$L25="",Vorrunde!$N25=""),AND(Vorrunde!$L25&lt;&gt;"",Vorrunde!$N25&lt;&gt;"",Vorrunde!$L25&lt;&gt;Vorrunde!$N25)),Vorrunde!$F25&lt;&gt;"",Vorrunde!$H25&lt;&gt;"",Vorrunde!$F25&lt;&gt;Vorrunde!$H25),1,0)</f>
        <v>1</v>
      </c>
      <c r="AB77" s="739" t="str">
        <f ca="1">IF(AA77&gt;0,(X77+AG77)&amp;Sprache!$E$90&amp;(Y77+AH77),"")</f>
        <v>39:48</v>
      </c>
      <c r="AD77" s="141"/>
      <c r="AE77" s="146">
        <f t="shared" ca="1" si="66"/>
        <v>1</v>
      </c>
      <c r="AF77" s="141">
        <f t="shared" ca="1" si="67"/>
        <v>1</v>
      </c>
      <c r="AG77" s="146">
        <f ca="1">IF($AA77=1,Vorrunde!$L25,"")</f>
        <v>25</v>
      </c>
      <c r="AH77" s="141">
        <f ca="1">IF($AA77=1,Vorrunde!$N25,"")</f>
        <v>23</v>
      </c>
      <c r="AI77" s="141"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8"/>
        <v>Real MadridBorussia Dortmund</v>
      </c>
      <c r="AA78" s="739">
        <f ca="1">IF(AND(Vorrunde!$I26&lt;&gt;"",Vorrunde!$K26&lt;&gt;"",Vorrunde!$I26&lt;&gt;Vorrunde!$K26,OR(AND(Vorrunde!$L26="",Vorrunde!$N26=""),AND(Vorrunde!$L26&lt;&gt;"",Vorrunde!$N26&lt;&gt;"",Vorrunde!$L26&lt;&gt;Vorrunde!$N26)),Vorrunde!$F26&lt;&gt;"",Vorrunde!$H26&lt;&gt;"",Vorrunde!$F26&lt;&gt;Vorrunde!$H26),1,0)</f>
        <v>1</v>
      </c>
      <c r="AB78" s="739" t="str">
        <f ca="1">IF(AA78&gt;0,(X78+AG78)&amp;Sprache!$E$90&amp;(Y78+AH78),"")</f>
        <v>46:42</v>
      </c>
      <c r="AD78" s="141"/>
      <c r="AE78" s="146">
        <f t="shared" ca="1" si="66"/>
        <v>1</v>
      </c>
      <c r="AF78" s="141">
        <f t="shared" ca="1" si="67"/>
        <v>1</v>
      </c>
      <c r="AG78" s="146">
        <f ca="1">IF($AA78=1,Vorrunde!$L26,"")</f>
        <v>25</v>
      </c>
      <c r="AH78" s="141">
        <f ca="1">IF($AA78=1,Vorrunde!$N26,"")</f>
        <v>17</v>
      </c>
      <c r="AI78" s="141"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8"/>
        <v>Paris St. GermainHSV</v>
      </c>
      <c r="AA79" s="739">
        <f ca="1">IF(AND(Vorrunde!$I27&lt;&gt;"",Vorrunde!$K27&lt;&gt;"",Vorrunde!$I27&lt;&gt;Vorrunde!$K27,OR(AND(Vorrunde!$L27="",Vorrunde!$N27=""),AND(Vorrunde!$L27&lt;&gt;"",Vorrunde!$N27&lt;&gt;"",Vorrunde!$L27&lt;&gt;Vorrunde!$N27)),Vorrunde!$F27&lt;&gt;"",Vorrunde!$H27&lt;&gt;"",Vorrunde!$F27&lt;&gt;Vorrunde!$H27),1,0)</f>
        <v>1</v>
      </c>
      <c r="AB79" s="739" t="str">
        <f ca="1">IF(AA79&gt;0,(X79+AG79)&amp;Sprache!$E$90&amp;(Y79+AH79),"")</f>
        <v>50:20</v>
      </c>
      <c r="AD79" s="141"/>
      <c r="AE79" s="146">
        <f t="shared" ca="1" si="66"/>
        <v>2</v>
      </c>
      <c r="AF79" s="141">
        <f t="shared" ca="1" si="67"/>
        <v>0</v>
      </c>
      <c r="AG79" s="146">
        <f ca="1">IF($AA79=1,Vorrunde!$L27,"")</f>
        <v>25</v>
      </c>
      <c r="AH79" s="141">
        <f ca="1">IF($AA79=1,Vorrunde!$N27,"")</f>
        <v>18</v>
      </c>
      <c r="AI79" s="141"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8"/>
        <v>1. FC RiedwaldMaibach 1822 eV</v>
      </c>
      <c r="AA80" s="739">
        <f ca="1">IF(AND(Vorrunde!$I28&lt;&gt;"",Vorrunde!$K28&lt;&gt;"",Vorrunde!$I28&lt;&gt;Vorrunde!$K28,OR(AND(Vorrunde!$L28="",Vorrunde!$N28=""),AND(Vorrunde!$L28&lt;&gt;"",Vorrunde!$N28&lt;&gt;"",Vorrunde!$L28&lt;&gt;Vorrunde!$N28)),Vorrunde!$F28&lt;&gt;"",Vorrunde!$H28&lt;&gt;"",Vorrunde!$F28&lt;&gt;Vorrunde!$H28),1,0)</f>
        <v>1</v>
      </c>
      <c r="AB80" s="739" t="str">
        <f ca="1">IF(AA80&gt;0,(X80+AG80)&amp;Sprache!$E$90&amp;(Y80+AH80),"")</f>
        <v>50:39</v>
      </c>
      <c r="AD80" s="141"/>
      <c r="AE80" s="146">
        <f t="shared" ca="1" si="66"/>
        <v>2</v>
      </c>
      <c r="AF80" s="141">
        <f t="shared" ca="1" si="67"/>
        <v>0</v>
      </c>
      <c r="AG80" s="146">
        <f ca="1">IF($AA80=1,Vorrunde!$L28,"")</f>
        <v>25</v>
      </c>
      <c r="AH80" s="141">
        <f ca="1">IF($AA80=1,Vorrunde!$N28,"")</f>
        <v>19</v>
      </c>
      <c r="AI80" s="141"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8"/>
        <v>Mainz 05Manchester City</v>
      </c>
      <c r="AA81" s="739">
        <f ca="1">IF(AND(Vorrunde!$I29&lt;&gt;"",Vorrunde!$K29&lt;&gt;"",Vorrunde!$I29&lt;&gt;Vorrunde!$K29,OR(AND(Vorrunde!$L29="",Vorrunde!$N29=""),AND(Vorrunde!$L29&lt;&gt;"",Vorrunde!$N29&lt;&gt;"",Vorrunde!$L29&lt;&gt;Vorrunde!$N29)),Vorrunde!$F29&lt;&gt;"",Vorrunde!$H29&lt;&gt;"",Vorrunde!$F29&lt;&gt;Vorrunde!$H29),1,0)</f>
        <v>1</v>
      </c>
      <c r="AB81" s="739" t="str">
        <f ca="1">IF(AA81&gt;0,(X81+AG81)&amp;Sprache!$E$90&amp;(Y81+AH81),"")</f>
        <v>50:22</v>
      </c>
      <c r="AD81" s="141"/>
      <c r="AE81" s="146">
        <f t="shared" ca="1" si="66"/>
        <v>2</v>
      </c>
      <c r="AF81" s="141">
        <f t="shared" ca="1" si="67"/>
        <v>0</v>
      </c>
      <c r="AG81" s="146">
        <f ca="1">IF($AA81=1,Vorrunde!$L29,"")</f>
        <v>25</v>
      </c>
      <c r="AH81" s="141">
        <f ca="1">IF($AA81=1,Vorrunde!$N29,"")</f>
        <v>20</v>
      </c>
      <c r="AI81" s="141"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8"/>
        <v>Kickers RodendorfFSV Rauen</v>
      </c>
      <c r="AA82" s="739">
        <f ca="1">IF(AND(Vorrunde!$I30&lt;&gt;"",Vorrunde!$K30&lt;&gt;"",Vorrunde!$I30&lt;&gt;Vorrunde!$K30,OR(AND(Vorrunde!$L30="",Vorrunde!$N30=""),AND(Vorrunde!$L30&lt;&gt;"",Vorrunde!$N30&lt;&gt;"",Vorrunde!$L30&lt;&gt;Vorrunde!$N30)),Vorrunde!$F30&lt;&gt;"",Vorrunde!$H30&lt;&gt;"",Vorrunde!$F30&lt;&gt;Vorrunde!$H30),1,0)</f>
        <v>1</v>
      </c>
      <c r="AB82" s="739" t="str">
        <f ca="1">IF(AA82&gt;0,(X82+AG82)&amp;Sprache!$E$90&amp;(Y82+AH82),"")</f>
        <v>50:23</v>
      </c>
      <c r="AD82" s="141"/>
      <c r="AE82" s="146">
        <f t="shared" ca="1" si="66"/>
        <v>2</v>
      </c>
      <c r="AF82" s="141">
        <f t="shared" ca="1" si="67"/>
        <v>0</v>
      </c>
      <c r="AG82" s="146">
        <f ca="1">IF($AA82=1,Vorrunde!$L30,"")</f>
        <v>25</v>
      </c>
      <c r="AH82" s="141">
        <f ca="1">IF($AA82=1,Vorrunde!$N30,"")</f>
        <v>21</v>
      </c>
      <c r="AI82" s="141"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8"/>
        <v>TSG Saalberg eVRB Leipzig</v>
      </c>
      <c r="AA83" s="739">
        <f ca="1">IF(AND(Vorrunde!$I31&lt;&gt;"",Vorrunde!$K31&lt;&gt;"",Vorrunde!$I31&lt;&gt;Vorrunde!$K31,OR(AND(Vorrunde!$L31="",Vorrunde!$N31=""),AND(Vorrunde!$L31&lt;&gt;"",Vorrunde!$N31&lt;&gt;"",Vorrunde!$L31&lt;&gt;Vorrunde!$N31)),Vorrunde!$F31&lt;&gt;"",Vorrunde!$H31&lt;&gt;"",Vorrunde!$F31&lt;&gt;Vorrunde!$H31),1,0)</f>
        <v>1</v>
      </c>
      <c r="AB83" s="739" t="str">
        <f ca="1">IF(AA83&gt;0,(X83+AG83)&amp;Sprache!$E$90&amp;(Y83+AH83),"")</f>
        <v>50:24</v>
      </c>
      <c r="AD83" s="141"/>
      <c r="AE83" s="146">
        <f t="shared" ca="1" si="66"/>
        <v>2</v>
      </c>
      <c r="AF83" s="141">
        <f t="shared" ca="1" si="67"/>
        <v>0</v>
      </c>
      <c r="AG83" s="146">
        <f ca="1">IF($AA83=1,Vorrunde!$L31,"")</f>
        <v>25</v>
      </c>
      <c r="AH83" s="141">
        <f ca="1">IF($AA83=1,Vorrunde!$N31,"")</f>
        <v>22</v>
      </c>
      <c r="AI83" s="141"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8"/>
        <v>Eintracht FrankfurtVFB Essenheim</v>
      </c>
      <c r="AA84" s="739">
        <f ca="1">IF(AND(Vorrunde!$I32&lt;&gt;"",Vorrunde!$K32&lt;&gt;"",Vorrunde!$I32&lt;&gt;Vorrunde!$K32,OR(AND(Vorrunde!$L32="",Vorrunde!$N32=""),AND(Vorrunde!$L32&lt;&gt;"",Vorrunde!$N32&lt;&gt;"",Vorrunde!$L32&lt;&gt;Vorrunde!$N32)),Vorrunde!$F32&lt;&gt;"",Vorrunde!$H32&lt;&gt;"",Vorrunde!$F32&lt;&gt;Vorrunde!$H32),1,0)</f>
        <v>1</v>
      </c>
      <c r="AB84" s="739" t="str">
        <f ca="1">IF(AA84&gt;0,(X84+AG84)&amp;Sprache!$E$90&amp;(Y84+AH84),"")</f>
        <v>38:36</v>
      </c>
      <c r="AD84" s="141"/>
      <c r="AE84" s="146">
        <f t="shared" ca="1" si="66"/>
        <v>1</v>
      </c>
      <c r="AF84" s="141">
        <f t="shared" ca="1" si="67"/>
        <v>1</v>
      </c>
      <c r="AG84" s="146">
        <f ca="1">IF($AA84=1,Vorrunde!$L32,"")</f>
        <v>25</v>
      </c>
      <c r="AH84" s="141">
        <f ca="1">IF($AA84=1,Vorrunde!$N32,"")</f>
        <v>11</v>
      </c>
      <c r="AI84" s="141"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8"/>
        <v>SSV WildbachFC Grönlingen</v>
      </c>
      <c r="AA85" s="739">
        <f ca="1">IF(AND(Vorrunde!$I33&lt;&gt;"",Vorrunde!$K33&lt;&gt;"",Vorrunde!$I33&lt;&gt;Vorrunde!$K33,OR(AND(Vorrunde!$L33="",Vorrunde!$N33=""),AND(Vorrunde!$L33&lt;&gt;"",Vorrunde!$N33&lt;&gt;"",Vorrunde!$L33&lt;&gt;Vorrunde!$N33)),Vorrunde!$F33&lt;&gt;"",Vorrunde!$H33&lt;&gt;"",Vorrunde!$F33&lt;&gt;Vorrunde!$H33),1,0)</f>
        <v>1</v>
      </c>
      <c r="AB85" s="739" t="str">
        <f ca="1">IF(AA85&gt;0,(X85+AG85)&amp;Sprache!$E$90&amp;(Y85+AH85),"")</f>
        <v>44:42</v>
      </c>
      <c r="AD85" s="141"/>
      <c r="AE85" s="146">
        <f t="shared" ca="1" si="66"/>
        <v>1</v>
      </c>
      <c r="AF85" s="141">
        <f t="shared" ca="1" si="67"/>
        <v>1</v>
      </c>
      <c r="AG85" s="146">
        <f ca="1">IF($AA85=1,Vorrunde!$L33,"")</f>
        <v>25</v>
      </c>
      <c r="AH85" s="141">
        <f ca="1">IF($AA85=1,Vorrunde!$N33,"")</f>
        <v>17</v>
      </c>
      <c r="AI85" s="141"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8"/>
        <v>Borussia Dortmund1. FC Nürnberg</v>
      </c>
      <c r="AA86" s="739">
        <f ca="1">IF(AND(Vorrunde!$I34&lt;&gt;"",Vorrunde!$K34&lt;&gt;"",Vorrunde!$I34&lt;&gt;Vorrunde!$K34,OR(AND(Vorrunde!$L34="",Vorrunde!$N34=""),AND(Vorrunde!$L34&lt;&gt;"",Vorrunde!$N34&lt;&gt;"",Vorrunde!$L34&lt;&gt;Vorrunde!$N34)),Vorrunde!$F34&lt;&gt;"",Vorrunde!$H34&lt;&gt;"",Vorrunde!$F34&lt;&gt;Vorrunde!$H34),1,0)</f>
        <v>1</v>
      </c>
      <c r="AB86" s="739" t="str">
        <f ca="1">IF(AA86&gt;0,(X86+AG86)&amp;Sprache!$E$90&amp;(Y86+AH86),"")</f>
        <v>42:41</v>
      </c>
      <c r="AD86" s="141"/>
      <c r="AE86" s="146">
        <f t="shared" ca="1" si="66"/>
        <v>1</v>
      </c>
      <c r="AF86" s="141">
        <f t="shared" ca="1" si="67"/>
        <v>1</v>
      </c>
      <c r="AG86" s="146">
        <f ca="1">IF($AA86=1,Vorrunde!$L34,"")</f>
        <v>25</v>
      </c>
      <c r="AH86" s="141">
        <f ca="1">IF($AA86=1,Vorrunde!$N34,"")</f>
        <v>16</v>
      </c>
      <c r="AI86" s="141"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8"/>
        <v>HSVSV Oberredenburg</v>
      </c>
      <c r="AA87" s="739">
        <f ca="1">IF(AND(Vorrunde!$I35&lt;&gt;"",Vorrunde!$K35&lt;&gt;"",Vorrunde!$I35&lt;&gt;Vorrunde!$K35,OR(AND(Vorrunde!$L35="",Vorrunde!$N35=""),AND(Vorrunde!$L35&lt;&gt;"",Vorrunde!$N35&lt;&gt;"",Vorrunde!$L35&lt;&gt;Vorrunde!$N35)),Vorrunde!$F35&lt;&gt;"",Vorrunde!$H35&lt;&gt;"",Vorrunde!$F35&lt;&gt;Vorrunde!$H35),1,0)</f>
        <v>1</v>
      </c>
      <c r="AB87" s="739" t="str">
        <f ca="1">IF(AA87&gt;0,(X87+AG87)&amp;Sprache!$E$90&amp;(Y87+AH87),"")</f>
        <v>39:44</v>
      </c>
      <c r="AD87" s="141"/>
      <c r="AE87" s="146">
        <f t="shared" ca="1" si="66"/>
        <v>1</v>
      </c>
      <c r="AF87" s="141">
        <f t="shared" ca="1" si="67"/>
        <v>1</v>
      </c>
      <c r="AG87" s="146">
        <f ca="1">IF($AA87=1,Vorrunde!$L35,"")</f>
        <v>25</v>
      </c>
      <c r="AH87" s="141">
        <f ca="1">IF($AA87=1,Vorrunde!$N35,"")</f>
        <v>19</v>
      </c>
      <c r="AI87" s="141"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8"/>
        <v>FC BarcelonaMaibach 1822 eV</v>
      </c>
      <c r="AA88" s="739">
        <f ca="1">IF(AND(Vorrunde!$I36&lt;&gt;"",Vorrunde!$K36&lt;&gt;"",Vorrunde!$I36&lt;&gt;Vorrunde!$K36,OR(AND(Vorrunde!$L36="",Vorrunde!$N36=""),AND(Vorrunde!$L36&lt;&gt;"",Vorrunde!$N36&lt;&gt;"",Vorrunde!$L36&lt;&gt;Vorrunde!$N36)),Vorrunde!$F36&lt;&gt;"",Vorrunde!$H36&lt;&gt;"",Vorrunde!$F36&lt;&gt;Vorrunde!$H36),1,0)</f>
        <v>1</v>
      </c>
      <c r="AB88" s="739" t="str">
        <f ca="1">IF(AA88&gt;0,(X88+AG88)&amp;Sprache!$E$90&amp;(Y88+AH88),"")</f>
        <v>45:45</v>
      </c>
      <c r="AD88" s="141"/>
      <c r="AE88" s="146">
        <f t="shared" ca="1" si="66"/>
        <v>1</v>
      </c>
      <c r="AF88" s="141">
        <f t="shared" ca="1" si="67"/>
        <v>1</v>
      </c>
      <c r="AG88" s="146">
        <f ca="1">IF($AA88=1,Vorrunde!$L36,"")</f>
        <v>25</v>
      </c>
      <c r="AH88" s="141">
        <f ca="1">IF($AA88=1,Vorrunde!$N36,"")</f>
        <v>20</v>
      </c>
      <c r="AI88" s="141"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8"/>
        <v>Inter MailandManchester City</v>
      </c>
      <c r="AA89" s="739">
        <f ca="1">IF(AND(Vorrunde!$I37&lt;&gt;"",Vorrunde!$K37&lt;&gt;"",Vorrunde!$I37&lt;&gt;Vorrunde!$K37,OR(AND(Vorrunde!$L37="",Vorrunde!$N37=""),AND(Vorrunde!$L37&lt;&gt;"",Vorrunde!$N37&lt;&gt;"",Vorrunde!$L37&lt;&gt;Vorrunde!$N37)),Vorrunde!$F37&lt;&gt;"",Vorrunde!$H37&lt;&gt;"",Vorrunde!$F37&lt;&gt;Vorrunde!$H37),1,0)</f>
        <v>1</v>
      </c>
      <c r="AB89" s="739" t="str">
        <f ca="1">IF(AA89&gt;0,(X89+AG89)&amp;Sprache!$E$90&amp;(Y89+AH89),"")</f>
        <v>44:46</v>
      </c>
      <c r="AD89" s="141"/>
      <c r="AE89" s="146">
        <f t="shared" ca="1" si="66"/>
        <v>1</v>
      </c>
      <c r="AF89" s="141">
        <f t="shared" ca="1" si="67"/>
        <v>1</v>
      </c>
      <c r="AG89" s="146">
        <f ca="1">IF($AA89=1,Vorrunde!$L37,"")</f>
        <v>25</v>
      </c>
      <c r="AH89" s="141">
        <f ca="1">IF($AA89=1,Vorrunde!$N37,"")</f>
        <v>21</v>
      </c>
      <c r="AI89" s="141"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8"/>
        <v>Real MadridFSV Rauen</v>
      </c>
      <c r="AA90" s="739">
        <f ca="1">IF(AND(Vorrunde!$I38&lt;&gt;"",Vorrunde!$K38&lt;&gt;"",Vorrunde!$I38&lt;&gt;Vorrunde!$K38,OR(AND(Vorrunde!$L38="",Vorrunde!$N38=""),AND(Vorrunde!$L38&lt;&gt;"",Vorrunde!$N38&lt;&gt;"",Vorrunde!$L38&lt;&gt;Vorrunde!$N38)),Vorrunde!$F38&lt;&gt;"",Vorrunde!$H38&lt;&gt;"",Vorrunde!$F38&lt;&gt;Vorrunde!$H38),1,0)</f>
        <v>1</v>
      </c>
      <c r="AB90" s="739" t="str">
        <f ca="1">IF(AA90&gt;0,(X90+AG90)&amp;Sprache!$E$90&amp;(Y90+AH90),"")</f>
        <v>42:47</v>
      </c>
      <c r="AD90" s="141"/>
      <c r="AE90" s="146">
        <f t="shared" ca="1" si="66"/>
        <v>1</v>
      </c>
      <c r="AF90" s="141">
        <f t="shared" ca="1" si="67"/>
        <v>1</v>
      </c>
      <c r="AG90" s="146">
        <f ca="1">IF($AA90=1,Vorrunde!$L38,"")</f>
        <v>25</v>
      </c>
      <c r="AH90" s="141">
        <f ca="1">IF($AA90=1,Vorrunde!$N38,"")</f>
        <v>22</v>
      </c>
      <c r="AI90" s="141"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8"/>
        <v>Paris St. GermainRB Leipzig</v>
      </c>
      <c r="AA91" s="739">
        <f ca="1">IF(AND(Vorrunde!$I39&lt;&gt;"",Vorrunde!$K39&lt;&gt;"",Vorrunde!$I39&lt;&gt;Vorrunde!$K39,OR(AND(Vorrunde!$L39="",Vorrunde!$N39=""),AND(Vorrunde!$L39&lt;&gt;"",Vorrunde!$N39&lt;&gt;"",Vorrunde!$L39&lt;&gt;Vorrunde!$N39)),Vorrunde!$F39&lt;&gt;"",Vorrunde!$H39&lt;&gt;"",Vorrunde!$F39&lt;&gt;Vorrunde!$H39),1,0)</f>
        <v>1</v>
      </c>
      <c r="AB91" s="739" t="str">
        <f ca="1">IF(AA91&gt;0,(X91+AG91)&amp;Sprache!$E$90&amp;(Y91+AH91),"")</f>
        <v>44:48</v>
      </c>
      <c r="AD91" s="141"/>
      <c r="AE91" s="146">
        <f t="shared" ca="1" si="66"/>
        <v>1</v>
      </c>
      <c r="AF91" s="141">
        <f t="shared" ca="1" si="67"/>
        <v>1</v>
      </c>
      <c r="AG91" s="146">
        <f ca="1">IF($AA91=1,Vorrunde!$L39,"")</f>
        <v>25</v>
      </c>
      <c r="AH91" s="141">
        <f ca="1">IF($AA91=1,Vorrunde!$N39,"")</f>
        <v>23</v>
      </c>
      <c r="AI91" s="141"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8"/>
        <v>Eintracht Frankfurt1. FC Riedwald</v>
      </c>
      <c r="AA92" s="739">
        <f ca="1">IF(AND(Vorrunde!$I40&lt;&gt;"",Vorrunde!$K40&lt;&gt;"",Vorrunde!$I40&lt;&gt;Vorrunde!$K40,OR(AND(Vorrunde!$L40="",Vorrunde!$N40=""),AND(Vorrunde!$L40&lt;&gt;"",Vorrunde!$N40&lt;&gt;"",Vorrunde!$L40&lt;&gt;Vorrunde!$N40)),Vorrunde!$F40&lt;&gt;"",Vorrunde!$H40&lt;&gt;"",Vorrunde!$F40&lt;&gt;Vorrunde!$H40),1,0)</f>
        <v>1</v>
      </c>
      <c r="AB92" s="739" t="str">
        <f ca="1">IF(AA92&gt;0,(X92+AG92)&amp;Sprache!$E$90&amp;(Y92+AH92),"")</f>
        <v>34:50</v>
      </c>
      <c r="AD92" s="141"/>
      <c r="AE92" s="146">
        <f t="shared" ca="1" si="66"/>
        <v>0</v>
      </c>
      <c r="AF92" s="141">
        <f t="shared" ca="1" si="67"/>
        <v>2</v>
      </c>
      <c r="AG92" s="146">
        <f ca="1">IF($AA92=1,Vorrunde!$L40,"")</f>
        <v>17</v>
      </c>
      <c r="AH92" s="141">
        <f ca="1">IF($AA92=1,Vorrunde!$N40,"")</f>
        <v>25</v>
      </c>
      <c r="AI92" s="141"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8"/>
        <v>SSV WildbachMainz 05</v>
      </c>
      <c r="AA93" s="739">
        <f ca="1">IF(AND(Vorrunde!$I41&lt;&gt;"",Vorrunde!$K41&lt;&gt;"",Vorrunde!$I41&lt;&gt;Vorrunde!$K41,OR(AND(Vorrunde!$L41="",Vorrunde!$N41=""),AND(Vorrunde!$L41&lt;&gt;"",Vorrunde!$N41&lt;&gt;"",Vorrunde!$L41&lt;&gt;Vorrunde!$N41)),Vorrunde!$F41&lt;&gt;"",Vorrunde!$H41&lt;&gt;"",Vorrunde!$F41&lt;&gt;Vorrunde!$H41),1,0)</f>
        <v>1</v>
      </c>
      <c r="AB93" s="739" t="str">
        <f ca="1">IF(AA93&gt;0,(X93+AG93)&amp;Sprache!$E$90&amp;(Y93+AH93),"")</f>
        <v>39:43</v>
      </c>
      <c r="AD93" s="141"/>
      <c r="AE93" s="146">
        <f t="shared" ca="1" si="66"/>
        <v>1</v>
      </c>
      <c r="AF93" s="141">
        <f t="shared" ca="1" si="67"/>
        <v>1</v>
      </c>
      <c r="AG93" s="146">
        <f ca="1">IF($AA93=1,Vorrunde!$L41,"")</f>
        <v>25</v>
      </c>
      <c r="AH93" s="141">
        <f ca="1">IF($AA93=1,Vorrunde!$N41,"")</f>
        <v>18</v>
      </c>
      <c r="AI93" s="141"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ca="1" si="68"/>
        <v>Borussia DortmundKickers Rodendorf</v>
      </c>
      <c r="AA94" s="739">
        <f ca="1">IF(AND(Vorrunde!$I42&lt;&gt;"",Vorrunde!$K42&lt;&gt;"",Vorrunde!$I42&lt;&gt;Vorrunde!$K42,OR(AND(Vorrunde!$L42="",Vorrunde!$N42=""),AND(Vorrunde!$L42&lt;&gt;"",Vorrunde!$N42&lt;&gt;"",Vorrunde!$L42&lt;&gt;Vorrunde!$N42)),Vorrunde!$F42&lt;&gt;"",Vorrunde!$H42&lt;&gt;"",Vorrunde!$F42&lt;&gt;Vorrunde!$H42),1,0)</f>
        <v>1</v>
      </c>
      <c r="AB94" s="739" t="str">
        <f ca="1">IF(AA94&gt;0,(X94+AG94)&amp;Sprache!$E$90&amp;(Y94+AH94),"")</f>
        <v>45:44</v>
      </c>
      <c r="AD94" s="141"/>
      <c r="AE94" s="146">
        <f t="shared" ca="1" si="66"/>
        <v>1</v>
      </c>
      <c r="AF94" s="141">
        <f t="shared" ca="1" si="67"/>
        <v>1</v>
      </c>
      <c r="AG94" s="146">
        <f ca="1">IF($AA94=1,Vorrunde!$L42,"")</f>
        <v>25</v>
      </c>
      <c r="AH94" s="141">
        <f ca="1">IF($AA94=1,Vorrunde!$N42,"")</f>
        <v>19</v>
      </c>
      <c r="AI94" s="141"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8"/>
        <v>HSVTSG Saalberg eV</v>
      </c>
      <c r="AA95" s="739">
        <f ca="1">IF(AND(Vorrunde!$I43&lt;&gt;"",Vorrunde!$K43&lt;&gt;"",Vorrunde!$I43&lt;&gt;Vorrunde!$K43,OR(AND(Vorrunde!$L43="",Vorrunde!$N43=""),AND(Vorrunde!$L43&lt;&gt;"",Vorrunde!$N43&lt;&gt;"",Vorrunde!$L43&lt;&gt;Vorrunde!$N43)),Vorrunde!$F43&lt;&gt;"",Vorrunde!$H43&lt;&gt;"",Vorrunde!$F43&lt;&gt;Vorrunde!$H43),1,0)</f>
        <v>1</v>
      </c>
      <c r="AB95" s="739" t="str">
        <f ca="1">IF(AA95&gt;0,(X95+AG95)&amp;Sprache!$E$90&amp;(Y95+AH95),"")</f>
        <v>44:45</v>
      </c>
      <c r="AD95" s="141"/>
      <c r="AE95" s="146">
        <f t="shared" ca="1" si="66"/>
        <v>1</v>
      </c>
      <c r="AF95" s="141">
        <f t="shared" ca="1" si="67"/>
        <v>1</v>
      </c>
      <c r="AG95" s="146">
        <f ca="1">IF($AA95=1,Vorrunde!$L43,"")</f>
        <v>25</v>
      </c>
      <c r="AH95" s="141">
        <f ca="1">IF($AA95=1,Vorrunde!$N43,"")</f>
        <v>20</v>
      </c>
      <c r="AI95" s="141"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8"/>
        <v>Maibach 1822 eVVFB Essenheim</v>
      </c>
      <c r="AA96" s="739">
        <f ca="1">IF(AND(Vorrunde!$I44&lt;&gt;"",Vorrunde!$K44&lt;&gt;"",Vorrunde!$I44&lt;&gt;Vorrunde!$K44,OR(AND(Vorrunde!$L44="",Vorrunde!$N44=""),AND(Vorrunde!$L44&lt;&gt;"",Vorrunde!$N44&lt;&gt;"",Vorrunde!$L44&lt;&gt;Vorrunde!$N44)),Vorrunde!$F44&lt;&gt;"",Vorrunde!$H44&lt;&gt;"",Vorrunde!$F44&lt;&gt;Vorrunde!$H44),1,0)</f>
        <v>1</v>
      </c>
      <c r="AB96" s="739" t="str">
        <f ca="1">IF(AA96&gt;0,(X96+AG96)&amp;Sprache!$E$90&amp;(Y96+AH96),"")</f>
        <v>42:46</v>
      </c>
      <c r="AD96" s="141"/>
      <c r="AE96" s="146">
        <f t="shared" ca="1" si="66"/>
        <v>1</v>
      </c>
      <c r="AF96" s="141">
        <f t="shared" ca="1" si="67"/>
        <v>1</v>
      </c>
      <c r="AG96" s="146">
        <f ca="1">IF($AA96=1,Vorrunde!$L44,"")</f>
        <v>25</v>
      </c>
      <c r="AH96" s="141">
        <f ca="1">IF($AA96=1,Vorrunde!$N44,"")</f>
        <v>21</v>
      </c>
      <c r="AI96" s="141"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8"/>
        <v>Manchester CityFC Grönlingen</v>
      </c>
      <c r="AA97" s="739">
        <f ca="1">IF(AND(Vorrunde!$I45&lt;&gt;"",Vorrunde!$K45&lt;&gt;"",Vorrunde!$I45&lt;&gt;Vorrunde!$K45,OR(AND(Vorrunde!$L45="",Vorrunde!$N45=""),AND(Vorrunde!$L45&lt;&gt;"",Vorrunde!$N45&lt;&gt;"",Vorrunde!$L45&lt;&gt;Vorrunde!$N45)),Vorrunde!$F45&lt;&gt;"",Vorrunde!$H45&lt;&gt;"",Vorrunde!$F45&lt;&gt;Vorrunde!$H45),1,0)</f>
        <v>1</v>
      </c>
      <c r="AB97" s="739" t="str">
        <f ca="1">IF(AA97&gt;0,(X97+AG97)&amp;Sprache!$E$90&amp;(Y97+AH97),"")</f>
        <v>39:47</v>
      </c>
      <c r="AD97" s="141"/>
      <c r="AE97" s="146">
        <f t="shared" ca="1" si="66"/>
        <v>1</v>
      </c>
      <c r="AF97" s="141">
        <f t="shared" ca="1" si="67"/>
        <v>1</v>
      </c>
      <c r="AG97" s="146">
        <f ca="1">IF($AA97=1,Vorrunde!$L45,"")</f>
        <v>25</v>
      </c>
      <c r="AH97" s="141">
        <f ca="1">IF($AA97=1,Vorrunde!$N45,"")</f>
        <v>22</v>
      </c>
      <c r="AI97" s="141"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8"/>
        <v>FSV Rauen1. FC Nürnberg</v>
      </c>
      <c r="AA98" s="739">
        <f ca="1">IF(AND(Vorrunde!$I46&lt;&gt;"",Vorrunde!$K46&lt;&gt;"",Vorrunde!$I46&lt;&gt;Vorrunde!$K46,OR(AND(Vorrunde!$L46="",Vorrunde!$N46=""),AND(Vorrunde!$L46&lt;&gt;"",Vorrunde!$N46&lt;&gt;"",Vorrunde!$L46&lt;&gt;Vorrunde!$N46)),Vorrunde!$F46&lt;&gt;"",Vorrunde!$H46&lt;&gt;"",Vorrunde!$F46&lt;&gt;Vorrunde!$H46),1,0)</f>
        <v>1</v>
      </c>
      <c r="AB98" s="739" t="str">
        <f ca="1">IF(AA98&gt;0,(X98+AG98)&amp;Sprache!$E$90&amp;(Y98+AH98),"")</f>
        <v>50:34</v>
      </c>
      <c r="AD98" s="141"/>
      <c r="AE98" s="146">
        <f t="shared" ca="1" si="66"/>
        <v>2</v>
      </c>
      <c r="AF98" s="141">
        <f t="shared" ca="1" si="67"/>
        <v>0</v>
      </c>
      <c r="AG98" s="146">
        <f ca="1">IF($AA98=1,Vorrunde!$L46,"")</f>
        <v>25</v>
      </c>
      <c r="AH98" s="141">
        <f ca="1">IF($AA98=1,Vorrunde!$N46,"")</f>
        <v>13</v>
      </c>
      <c r="AI98" s="141"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8"/>
        <v>RB LeipzigSV Oberredenburg</v>
      </c>
      <c r="AA99" s="739">
        <f ca="1">IF(AND(Vorrunde!$I47&lt;&gt;"",Vorrunde!$K47&lt;&gt;"",Vorrunde!$I47&lt;&gt;Vorrunde!$K47,OR(AND(Vorrunde!$L47="",Vorrunde!$N47=""),AND(Vorrunde!$L47&lt;&gt;"",Vorrunde!$N47&lt;&gt;"",Vorrunde!$L47&lt;&gt;Vorrunde!$N47)),Vorrunde!$F47&lt;&gt;"",Vorrunde!$H47&lt;&gt;"",Vorrunde!$F47&lt;&gt;Vorrunde!$H47),1,0)</f>
        <v>1</v>
      </c>
      <c r="AB99" s="739" t="str">
        <f ca="1">IF(AA99&gt;0,(X99+AG99)&amp;Sprache!$E$90&amp;(Y99+AH99),"")</f>
        <v>50:36</v>
      </c>
      <c r="AD99" s="141"/>
      <c r="AE99" s="146">
        <f t="shared" ca="1" si="66"/>
        <v>2</v>
      </c>
      <c r="AF99" s="141">
        <f t="shared" ca="1" si="67"/>
        <v>0</v>
      </c>
      <c r="AG99" s="146">
        <f ca="1">IF($AA99=1,Vorrunde!$L47,"")</f>
        <v>25</v>
      </c>
      <c r="AH99" s="141">
        <f ca="1">IF($AA99=1,Vorrunde!$N47,"")</f>
        <v>17</v>
      </c>
      <c r="AI99" s="141"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8"/>
        <v>1. FC RiedwaldFC Barcelona</v>
      </c>
      <c r="AA100" s="739">
        <f ca="1">IF(AND(Vorrunde!$I48&lt;&gt;"",Vorrunde!$K48&lt;&gt;"",Vorrunde!$I48&lt;&gt;Vorrunde!$K48,OR(AND(Vorrunde!$L48="",Vorrunde!$N48=""),AND(Vorrunde!$L48&lt;&gt;"",Vorrunde!$N48&lt;&gt;"",Vorrunde!$L48&lt;&gt;Vorrunde!$N48)),Vorrunde!$F48&lt;&gt;"",Vorrunde!$H48&lt;&gt;"",Vorrunde!$F48&lt;&gt;Vorrunde!$H48),1,0)</f>
        <v>1</v>
      </c>
      <c r="AB100" s="739" t="str">
        <f ca="1">IF(AA100&gt;0,(X100+AG100)&amp;Sprache!$E$90&amp;(Y100+AH100),"")</f>
        <v>50:35</v>
      </c>
      <c r="AD100" s="141"/>
      <c r="AE100" s="146">
        <f t="shared" ca="1" si="66"/>
        <v>2</v>
      </c>
      <c r="AF100" s="141">
        <f t="shared" ca="1" si="67"/>
        <v>0</v>
      </c>
      <c r="AG100" s="146">
        <f ca="1">IF($AA100=1,Vorrunde!$L48,"")</f>
        <v>25</v>
      </c>
      <c r="AH100" s="141">
        <f ca="1">IF($AA100=1,Vorrunde!$N48,"")</f>
        <v>18</v>
      </c>
      <c r="AI100" s="141"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8"/>
        <v>Mainz 05Inter Mailand</v>
      </c>
      <c r="AA101" s="739">
        <f ca="1">IF(AND(Vorrunde!$I49&lt;&gt;"",Vorrunde!$K49&lt;&gt;"",Vorrunde!$I49&lt;&gt;Vorrunde!$K49,OR(AND(Vorrunde!$L49="",Vorrunde!$N49=""),AND(Vorrunde!$L49&lt;&gt;"",Vorrunde!$N49&lt;&gt;"",Vorrunde!$L49&lt;&gt;Vorrunde!$N49)),Vorrunde!$F49&lt;&gt;"",Vorrunde!$H49&lt;&gt;"",Vorrunde!$F49&lt;&gt;Vorrunde!$H49),1,0)</f>
        <v>1</v>
      </c>
      <c r="AB101" s="739" t="str">
        <f ca="1">IF(AA101&gt;0,(X101+AG101)&amp;Sprache!$E$90&amp;(Y101+AH101),"")</f>
        <v>50:33</v>
      </c>
      <c r="AD101" s="141"/>
      <c r="AE101" s="146">
        <f t="shared" ca="1" si="66"/>
        <v>2</v>
      </c>
      <c r="AF101" s="141">
        <f t="shared" ca="1" si="67"/>
        <v>0</v>
      </c>
      <c r="AG101" s="146">
        <f ca="1">IF($AA101=1,Vorrunde!$L49,"")</f>
        <v>25</v>
      </c>
      <c r="AH101" s="141">
        <f ca="1">IF($AA101=1,Vorrunde!$N49,"")</f>
        <v>19</v>
      </c>
      <c r="AI101" s="141"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8"/>
        <v>Kickers RodendorfReal Madrid</v>
      </c>
      <c r="AA102" s="739">
        <f ca="1">IF(AND(Vorrunde!$I50&lt;&gt;"",Vorrunde!$K50&lt;&gt;"",Vorrunde!$I50&lt;&gt;Vorrunde!$K50,OR(AND(Vorrunde!$L50="",Vorrunde!$N50=""),AND(Vorrunde!$L50&lt;&gt;"",Vorrunde!$N50&lt;&gt;"",Vorrunde!$L50&lt;&gt;Vorrunde!$N50)),Vorrunde!$F50&lt;&gt;"",Vorrunde!$H50&lt;&gt;"",Vorrunde!$F50&lt;&gt;Vorrunde!$H50),1,0)</f>
        <v>1</v>
      </c>
      <c r="AB102" s="739" t="str">
        <f ca="1">IF(AA102&gt;0,(X102+AG102)&amp;Sprache!$E$90&amp;(Y102+AH102),"")</f>
        <v>38:45</v>
      </c>
      <c r="AD102" s="141"/>
      <c r="AE102" s="146">
        <f t="shared" ca="1" si="66"/>
        <v>1</v>
      </c>
      <c r="AF102" s="141">
        <f t="shared" ca="1" si="67"/>
        <v>1</v>
      </c>
      <c r="AG102" s="146">
        <f ca="1">IF($AA102=1,Vorrunde!$L50,"")</f>
        <v>25</v>
      </c>
      <c r="AH102" s="141">
        <f ca="1">IF($AA102=1,Vorrunde!$N50,"")</f>
        <v>20</v>
      </c>
      <c r="AI102" s="141"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8"/>
        <v>TSG Saalberg eVParis St. Germain</v>
      </c>
      <c r="AA103" s="739">
        <f ca="1">IF(AND(Vorrunde!$I51&lt;&gt;"",Vorrunde!$K51&lt;&gt;"",Vorrunde!$I51&lt;&gt;Vorrunde!$K51,OR(AND(Vorrunde!$L51="",Vorrunde!$N51=""),AND(Vorrunde!$L51&lt;&gt;"",Vorrunde!$N51&lt;&gt;"",Vorrunde!$L51&lt;&gt;Vorrunde!$N51)),Vorrunde!$F51&lt;&gt;"",Vorrunde!$H51&lt;&gt;"",Vorrunde!$F51&lt;&gt;Vorrunde!$H51),1,0)</f>
        <v>1</v>
      </c>
      <c r="AB103" s="739" t="str">
        <f ca="1">IF(AA103&gt;0,(X103+AG103)&amp;Sprache!$E$90&amp;(Y103+AH103),"")</f>
        <v>43:46</v>
      </c>
      <c r="AD103" s="141"/>
      <c r="AE103" s="146">
        <f t="shared" ca="1" si="66"/>
        <v>1</v>
      </c>
      <c r="AF103" s="141">
        <f t="shared" ca="1" si="67"/>
        <v>1</v>
      </c>
      <c r="AG103" s="146">
        <f ca="1">IF($AA103=1,Vorrunde!$L51,"")</f>
        <v>25</v>
      </c>
      <c r="AH103" s="141">
        <f ca="1">IF($AA103=1,Vorrunde!$N51,"")</f>
        <v>21</v>
      </c>
      <c r="AI103" s="141"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8"/>
        <v/>
      </c>
      <c r="AA104" s="739">
        <f ca="1">IF(AND(Vorrunde!$I52&lt;&gt;"",Vorrunde!$K52&lt;&gt;"",Vorrunde!$I52&lt;&gt;Vorrunde!$K52,OR(AND(Vorrunde!$L52="",Vorrunde!$N52=""),AND(Vorrunde!$L52&lt;&gt;"",Vorrunde!$N52&lt;&gt;"",Vorrunde!$L52&lt;&gt;Vorrunde!$N52)),Vorrunde!$F52&lt;&gt;"",Vorrunde!$H52&lt;&gt;"",Vorrunde!$F52&lt;&gt;Vorrunde!$H52),1,0)</f>
        <v>0</v>
      </c>
      <c r="AB104" s="739" t="str">
        <f ca="1">IF(AA104&gt;0,(X104+AG104)&amp;Sprache!$E$90&amp;(Y104+AH104),"")</f>
        <v/>
      </c>
      <c r="AD104" s="141"/>
      <c r="AE104" s="146">
        <f t="shared" ca="1" si="66"/>
        <v>0</v>
      </c>
      <c r="AF104" s="141">
        <f t="shared" ca="1" si="67"/>
        <v>0</v>
      </c>
      <c r="AG104" s="146" t="str">
        <f ca="1">IF($AA104=1,Vorrunde!$L52,"")</f>
        <v/>
      </c>
      <c r="AH104" s="141" t="str">
        <f ca="1">IF($AA104=1,Vorrunde!$N52,"")</f>
        <v/>
      </c>
      <c r="AI104" s="141"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8"/>
        <v/>
      </c>
      <c r="AA105" s="739">
        <f ca="1">IF(AND(Vorrunde!$I53&lt;&gt;"",Vorrunde!$K53&lt;&gt;"",Vorrunde!$I53&lt;&gt;Vorrunde!$K53,OR(AND(Vorrunde!$L53="",Vorrunde!$N53=""),AND(Vorrunde!$L53&lt;&gt;"",Vorrunde!$N53&lt;&gt;"",Vorrunde!$L53&lt;&gt;Vorrunde!$N53)),Vorrunde!$F53&lt;&gt;"",Vorrunde!$H53&lt;&gt;"",Vorrunde!$F53&lt;&gt;Vorrunde!$H53),1,0)</f>
        <v>0</v>
      </c>
      <c r="AB105" s="739" t="str">
        <f ca="1">IF(AA105&gt;0,(X105+AG105)&amp;Sprache!$E$90&amp;(Y105+AH105),"")</f>
        <v/>
      </c>
      <c r="AD105" s="141"/>
      <c r="AE105" s="146">
        <f t="shared" ca="1" si="66"/>
        <v>0</v>
      </c>
      <c r="AF105" s="141">
        <f t="shared" ca="1" si="67"/>
        <v>0</v>
      </c>
      <c r="AG105" s="146" t="str">
        <f ca="1">IF($AA105=1,Vorrunde!$L53,"")</f>
        <v/>
      </c>
      <c r="AH105" s="141" t="str">
        <f ca="1">IF($AA105=1,Vorrunde!$N53,"")</f>
        <v/>
      </c>
      <c r="AI105" s="141"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8"/>
        <v/>
      </c>
      <c r="AA106" s="739">
        <f ca="1">IF(AND(Vorrunde!$I54&lt;&gt;"",Vorrunde!$K54&lt;&gt;"",Vorrunde!$I54&lt;&gt;Vorrunde!$K54,OR(AND(Vorrunde!$L54="",Vorrunde!$N54=""),AND(Vorrunde!$L54&lt;&gt;"",Vorrunde!$N54&lt;&gt;"",Vorrunde!$L54&lt;&gt;Vorrunde!$N54)),Vorrunde!$F54&lt;&gt;"",Vorrunde!$H54&lt;&gt;"",Vorrunde!$F54&lt;&gt;Vorrunde!$H54),1,0)</f>
        <v>0</v>
      </c>
      <c r="AB106" s="739" t="str">
        <f ca="1">IF(AA106&gt;0,(X106+AG106)&amp;Sprache!$E$90&amp;(Y106+AH106),"")</f>
        <v/>
      </c>
      <c r="AD106" s="141"/>
      <c r="AE106" s="146">
        <f t="shared" ca="1" si="66"/>
        <v>0</v>
      </c>
      <c r="AF106" s="141">
        <f t="shared" ca="1" si="67"/>
        <v>0</v>
      </c>
      <c r="AG106" s="146" t="str">
        <f ca="1">IF($AA106=1,Vorrunde!$L54,"")</f>
        <v/>
      </c>
      <c r="AH106" s="141" t="str">
        <f ca="1">IF($AA106=1,Vorrunde!$N54,"")</f>
        <v/>
      </c>
      <c r="AI106" s="141"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8"/>
        <v/>
      </c>
      <c r="AA107" s="739">
        <f ca="1">IF(AND(Vorrunde!$I55&lt;&gt;"",Vorrunde!$K55&lt;&gt;"",Vorrunde!$I55&lt;&gt;Vorrunde!$K55,OR(AND(Vorrunde!$L55="",Vorrunde!$N55=""),AND(Vorrunde!$L55&lt;&gt;"",Vorrunde!$N55&lt;&gt;"",Vorrunde!$L55&lt;&gt;Vorrunde!$N55)),Vorrunde!$F55&lt;&gt;"",Vorrunde!$H55&lt;&gt;"",Vorrunde!$F55&lt;&gt;Vorrunde!$H55),1,0)</f>
        <v>0</v>
      </c>
      <c r="AB107" s="739" t="str">
        <f ca="1">IF(AA107&gt;0,(X107+AG107)&amp;Sprache!$E$90&amp;(Y107+AH107),"")</f>
        <v/>
      </c>
      <c r="AD107" s="141"/>
      <c r="AE107" s="146">
        <f t="shared" ca="1" si="66"/>
        <v>0</v>
      </c>
      <c r="AF107" s="141">
        <f t="shared" ca="1" si="67"/>
        <v>0</v>
      </c>
      <c r="AG107" s="146" t="str">
        <f ca="1">IF($AA107=1,Vorrunde!$L55,"")</f>
        <v/>
      </c>
      <c r="AH107" s="141" t="str">
        <f ca="1">IF($AA107=1,Vorrunde!$N55,"")</f>
        <v/>
      </c>
      <c r="AI107" s="141"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8"/>
        <v/>
      </c>
      <c r="AA108" s="739">
        <f ca="1">IF(AND(Vorrunde!$I56&lt;&gt;"",Vorrunde!$K56&lt;&gt;"",Vorrunde!$I56&lt;&gt;Vorrunde!$K56,OR(AND(Vorrunde!$L56="",Vorrunde!$N56=""),AND(Vorrunde!$L56&lt;&gt;"",Vorrunde!$N56&lt;&gt;"",Vorrunde!$L56&lt;&gt;Vorrunde!$N56)),Vorrunde!$F56&lt;&gt;"",Vorrunde!$H56&lt;&gt;"",Vorrunde!$F56&lt;&gt;Vorrunde!$H56),1,0)</f>
        <v>0</v>
      </c>
      <c r="AB108" s="739" t="str">
        <f ca="1">IF(AA108&gt;0,(X108+AG108)&amp;Sprache!$E$90&amp;(Y108+AH108),"")</f>
        <v/>
      </c>
      <c r="AD108" s="141"/>
      <c r="AE108" s="146">
        <f t="shared" ca="1" si="66"/>
        <v>0</v>
      </c>
      <c r="AF108" s="141">
        <f t="shared" ca="1" si="67"/>
        <v>0</v>
      </c>
      <c r="AG108" s="146" t="str">
        <f ca="1">IF($AA108=1,Vorrunde!$L56,"")</f>
        <v/>
      </c>
      <c r="AH108" s="141" t="str">
        <f ca="1">IF($AA108=1,Vorrunde!$N56,"")</f>
        <v/>
      </c>
      <c r="AI108" s="141"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8"/>
        <v/>
      </c>
      <c r="AA109" s="739">
        <f ca="1">IF(AND(Vorrunde!$I57&lt;&gt;"",Vorrunde!$K57&lt;&gt;"",Vorrunde!$I57&lt;&gt;Vorrunde!$K57,OR(AND(Vorrunde!$L57="",Vorrunde!$N57=""),AND(Vorrunde!$L57&lt;&gt;"",Vorrunde!$N57&lt;&gt;"",Vorrunde!$L57&lt;&gt;Vorrunde!$N57)),Vorrunde!$F57&lt;&gt;"",Vorrunde!$H57&lt;&gt;"",Vorrunde!$F57&lt;&gt;Vorrunde!$H57),1,0)</f>
        <v>0</v>
      </c>
      <c r="AB109" s="739" t="str">
        <f ca="1">IF(AA109&gt;0,(X109+AG109)&amp;Sprache!$E$90&amp;(Y109+AH109),"")</f>
        <v/>
      </c>
      <c r="AD109" s="141"/>
      <c r="AE109" s="146">
        <f t="shared" ca="1" si="66"/>
        <v>0</v>
      </c>
      <c r="AF109" s="141">
        <f t="shared" ca="1" si="67"/>
        <v>0</v>
      </c>
      <c r="AG109" s="146" t="str">
        <f ca="1">IF($AA109=1,Vorrunde!$L57,"")</f>
        <v/>
      </c>
      <c r="AH109" s="141" t="str">
        <f ca="1">IF($AA109=1,Vorrunde!$N57,"")</f>
        <v/>
      </c>
      <c r="AI109" s="141"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8"/>
        <v/>
      </c>
      <c r="AA110" s="739">
        <f ca="1">IF(AND(Vorrunde!$I58&lt;&gt;"",Vorrunde!$K58&lt;&gt;"",Vorrunde!$I58&lt;&gt;Vorrunde!$K58,OR(AND(Vorrunde!$L58="",Vorrunde!$N58=""),AND(Vorrunde!$L58&lt;&gt;"",Vorrunde!$N58&lt;&gt;"",Vorrunde!$L58&lt;&gt;Vorrunde!$N58)),Vorrunde!$F58&lt;&gt;"",Vorrunde!$H58&lt;&gt;"",Vorrunde!$F58&lt;&gt;Vorrunde!$H58),1,0)</f>
        <v>0</v>
      </c>
      <c r="AB110" s="739" t="str">
        <f ca="1">IF(AA110&gt;0,(X110+AG110)&amp;Sprache!$E$90&amp;(Y110+AH110),"")</f>
        <v/>
      </c>
      <c r="AD110" s="141"/>
      <c r="AE110" s="146">
        <f t="shared" ca="1" si="66"/>
        <v>0</v>
      </c>
      <c r="AF110" s="141">
        <f t="shared" ca="1" si="67"/>
        <v>0</v>
      </c>
      <c r="AG110" s="146" t="str">
        <f ca="1">IF($AA110=1,Vorrunde!$L58,"")</f>
        <v/>
      </c>
      <c r="AH110" s="141" t="str">
        <f ca="1">IF($AA110=1,Vorrunde!$N58,"")</f>
        <v/>
      </c>
      <c r="AI110" s="141"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8"/>
        <v/>
      </c>
      <c r="AA111" s="739">
        <f ca="1">IF(AND(Vorrunde!$I59&lt;&gt;"",Vorrunde!$K59&lt;&gt;"",Vorrunde!$I59&lt;&gt;Vorrunde!$K59,OR(AND(Vorrunde!$L59="",Vorrunde!$N59=""),AND(Vorrunde!$L59&lt;&gt;"",Vorrunde!$N59&lt;&gt;"",Vorrunde!$L59&lt;&gt;Vorrunde!$N59)),Vorrunde!$F59&lt;&gt;"",Vorrunde!$H59&lt;&gt;"",Vorrunde!$F59&lt;&gt;Vorrunde!$H59),1,0)</f>
        <v>0</v>
      </c>
      <c r="AB111" s="739" t="str">
        <f ca="1">IF(AA111&gt;0,(X111+AG111)&amp;Sprache!$E$90&amp;(Y111+AH111),"")</f>
        <v/>
      </c>
      <c r="AD111" s="141"/>
      <c r="AE111" s="146">
        <f t="shared" ca="1" si="66"/>
        <v>0</v>
      </c>
      <c r="AF111" s="141">
        <f t="shared" ca="1" si="67"/>
        <v>0</v>
      </c>
      <c r="AG111" s="146" t="str">
        <f ca="1">IF($AA111=1,Vorrunde!$L59,"")</f>
        <v/>
      </c>
      <c r="AH111" s="141" t="str">
        <f ca="1">IF($AA111=1,Vorrunde!$N59,"")</f>
        <v/>
      </c>
      <c r="AI111" s="141"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8"/>
        <v/>
      </c>
      <c r="AA112" s="739">
        <f ca="1">IF(AND(Vorrunde!$I60&lt;&gt;"",Vorrunde!$K60&lt;&gt;"",Vorrunde!$I60&lt;&gt;Vorrunde!$K60,OR(AND(Vorrunde!$L60="",Vorrunde!$N60=""),AND(Vorrunde!$L60&lt;&gt;"",Vorrunde!$N60&lt;&gt;"",Vorrunde!$L60&lt;&gt;Vorrunde!$N60)),Vorrunde!$F60&lt;&gt;"",Vorrunde!$H60&lt;&gt;"",Vorrunde!$F60&lt;&gt;Vorrunde!$H60),1,0)</f>
        <v>0</v>
      </c>
      <c r="AB112" s="739" t="str">
        <f ca="1">IF(AA112&gt;0,(X112+AG112)&amp;Sprache!$E$90&amp;(Y112+AH112),"")</f>
        <v/>
      </c>
      <c r="AD112" s="141"/>
      <c r="AE112" s="146">
        <f t="shared" ca="1" si="66"/>
        <v>0</v>
      </c>
      <c r="AF112" s="141">
        <f t="shared" ca="1" si="67"/>
        <v>0</v>
      </c>
      <c r="AG112" s="146" t="str">
        <f ca="1">IF($AA112=1,Vorrunde!$L60,"")</f>
        <v/>
      </c>
      <c r="AH112" s="141" t="str">
        <f ca="1">IF($AA112=1,Vorrunde!$N60,"")</f>
        <v/>
      </c>
      <c r="AI112" s="141"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8"/>
        <v/>
      </c>
      <c r="AA113" s="739">
        <f ca="1">IF(AND(Vorrunde!$I61&lt;&gt;"",Vorrunde!$K61&lt;&gt;"",Vorrunde!$I61&lt;&gt;Vorrunde!$K61,OR(AND(Vorrunde!$L61="",Vorrunde!$N61=""),AND(Vorrunde!$L61&lt;&gt;"",Vorrunde!$N61&lt;&gt;"",Vorrunde!$L61&lt;&gt;Vorrunde!$N61)),Vorrunde!$F61&lt;&gt;"",Vorrunde!$H61&lt;&gt;"",Vorrunde!$F61&lt;&gt;Vorrunde!$H61),1,0)</f>
        <v>0</v>
      </c>
      <c r="AB113" s="739" t="str">
        <f ca="1">IF(AA113&gt;0,(X113+AG113)&amp;Sprache!$E$90&amp;(Y113+AH113),"")</f>
        <v/>
      </c>
      <c r="AD113" s="141"/>
      <c r="AE113" s="146">
        <f t="shared" ca="1" si="66"/>
        <v>0</v>
      </c>
      <c r="AF113" s="141">
        <f t="shared" ca="1" si="67"/>
        <v>0</v>
      </c>
      <c r="AG113" s="146" t="str">
        <f ca="1">IF($AA113=1,Vorrunde!$L61,"")</f>
        <v/>
      </c>
      <c r="AH113" s="141" t="str">
        <f ca="1">IF($AA113=1,Vorrunde!$N61,"")</f>
        <v/>
      </c>
      <c r="AI113" s="141"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8"/>
        <v/>
      </c>
      <c r="AA114" s="739">
        <f ca="1">IF(AND(Vorrunde!$I62&lt;&gt;"",Vorrunde!$K62&lt;&gt;"",Vorrunde!$I62&lt;&gt;Vorrunde!$K62,OR(AND(Vorrunde!$L62="",Vorrunde!$N62=""),AND(Vorrunde!$L62&lt;&gt;"",Vorrunde!$N62&lt;&gt;"",Vorrunde!$L62&lt;&gt;Vorrunde!$N62)),Vorrunde!$F62&lt;&gt;"",Vorrunde!$H62&lt;&gt;"",Vorrunde!$F62&lt;&gt;Vorrunde!$H62),1,0)</f>
        <v>0</v>
      </c>
      <c r="AB114" s="739" t="str">
        <f ca="1">IF(AA114&gt;0,(X114+AG114)&amp;Sprache!$E$90&amp;(Y114+AH114),"")</f>
        <v/>
      </c>
      <c r="AD114" s="141"/>
      <c r="AE114" s="146">
        <f t="shared" ca="1" si="66"/>
        <v>0</v>
      </c>
      <c r="AF114" s="141">
        <f t="shared" ca="1" si="67"/>
        <v>0</v>
      </c>
      <c r="AG114" s="146" t="str">
        <f ca="1">IF($AA114=1,Vorrunde!$L62,"")</f>
        <v/>
      </c>
      <c r="AH114" s="141" t="str">
        <f ca="1">IF($AA114=1,Vorrunde!$N62,"")</f>
        <v/>
      </c>
      <c r="AI114" s="141"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8"/>
        <v/>
      </c>
      <c r="AA115" s="739">
        <f ca="1">IF(AND(Vorrunde!$I63&lt;&gt;"",Vorrunde!$K63&lt;&gt;"",Vorrunde!$I63&lt;&gt;Vorrunde!$K63,OR(AND(Vorrunde!$L63="",Vorrunde!$N63=""),AND(Vorrunde!$L63&lt;&gt;"",Vorrunde!$N63&lt;&gt;"",Vorrunde!$L63&lt;&gt;Vorrunde!$N63)),Vorrunde!$F63&lt;&gt;"",Vorrunde!$H63&lt;&gt;"",Vorrunde!$F63&lt;&gt;Vorrunde!$H63),1,0)</f>
        <v>0</v>
      </c>
      <c r="AB115" s="739" t="str">
        <f ca="1">IF(AA115&gt;0,(X115+AG115)&amp;Sprache!$E$90&amp;(Y115+AH115),"")</f>
        <v/>
      </c>
      <c r="AD115" s="141"/>
      <c r="AE115" s="146">
        <f t="shared" ca="1" si="66"/>
        <v>0</v>
      </c>
      <c r="AF115" s="141">
        <f t="shared" ca="1" si="67"/>
        <v>0</v>
      </c>
      <c r="AG115" s="146" t="str">
        <f ca="1">IF($AA115=1,Vorrunde!$L63,"")</f>
        <v/>
      </c>
      <c r="AH115" s="141" t="str">
        <f ca="1">IF($AA115=1,Vorrunde!$N63,"")</f>
        <v/>
      </c>
      <c r="AI115" s="141"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8"/>
        <v/>
      </c>
      <c r="AA116" s="739">
        <f ca="1">IF(AND(Vorrunde!$I64&lt;&gt;"",Vorrunde!$K64&lt;&gt;"",Vorrunde!$I64&lt;&gt;Vorrunde!$K64,OR(AND(Vorrunde!$L64="",Vorrunde!$N64=""),AND(Vorrunde!$L64&lt;&gt;"",Vorrunde!$N64&lt;&gt;"",Vorrunde!$L64&lt;&gt;Vorrunde!$N64)),Vorrunde!$F64&lt;&gt;"",Vorrunde!$H64&lt;&gt;"",Vorrunde!$F64&lt;&gt;Vorrunde!$H64),1,0)</f>
        <v>0</v>
      </c>
      <c r="AB116" s="739" t="str">
        <f ca="1">IF(AA116&gt;0,(X116+AG116)&amp;Sprache!$E$90&amp;(Y116+AH116),"")</f>
        <v/>
      </c>
      <c r="AD116" s="141"/>
      <c r="AE116" s="146">
        <f t="shared" ca="1" si="66"/>
        <v>0</v>
      </c>
      <c r="AF116" s="141">
        <f t="shared" ca="1" si="67"/>
        <v>0</v>
      </c>
      <c r="AG116" s="146" t="str">
        <f ca="1">IF($AA116=1,Vorrunde!$L64,"")</f>
        <v/>
      </c>
      <c r="AH116" s="141" t="str">
        <f ca="1">IF($AA116=1,Vorrunde!$N64,"")</f>
        <v/>
      </c>
      <c r="AI116" s="141"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8"/>
        <v/>
      </c>
      <c r="AA117" s="739">
        <f ca="1">IF(AND(Vorrunde!$I65&lt;&gt;"",Vorrunde!$K65&lt;&gt;"",Vorrunde!$I65&lt;&gt;Vorrunde!$K65,OR(AND(Vorrunde!$L65="",Vorrunde!$N65=""),AND(Vorrunde!$L65&lt;&gt;"",Vorrunde!$N65&lt;&gt;"",Vorrunde!$L65&lt;&gt;Vorrunde!$N65)),Vorrunde!$F65&lt;&gt;"",Vorrunde!$H65&lt;&gt;"",Vorrunde!$F65&lt;&gt;Vorrunde!$H65),1,0)</f>
        <v>0</v>
      </c>
      <c r="AB117" s="739" t="str">
        <f ca="1">IF(AA117&gt;0,(X117+AG117)&amp;Sprache!$E$90&amp;(Y117+AH117),"")</f>
        <v/>
      </c>
      <c r="AD117" s="141"/>
      <c r="AE117" s="146">
        <f t="shared" ca="1" si="66"/>
        <v>0</v>
      </c>
      <c r="AF117" s="141">
        <f t="shared" ca="1" si="67"/>
        <v>0</v>
      </c>
      <c r="AG117" s="146" t="str">
        <f ca="1">IF($AA117=1,Vorrunde!$L65,"")</f>
        <v/>
      </c>
      <c r="AH117" s="141" t="str">
        <f ca="1">IF($AA117=1,Vorrunde!$N65,"")</f>
        <v/>
      </c>
      <c r="AI117" s="141"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8"/>
        <v/>
      </c>
      <c r="AA118" s="739">
        <f ca="1">IF(AND(Vorrunde!$I66&lt;&gt;"",Vorrunde!$K66&lt;&gt;"",Vorrunde!$I66&lt;&gt;Vorrunde!$K66,OR(AND(Vorrunde!$L66="",Vorrunde!$N66=""),AND(Vorrunde!$L66&lt;&gt;"",Vorrunde!$N66&lt;&gt;"",Vorrunde!$L66&lt;&gt;Vorrunde!$N66)),Vorrunde!$F66&lt;&gt;"",Vorrunde!$H66&lt;&gt;"",Vorrunde!$F66&lt;&gt;Vorrunde!$H66),1,0)</f>
        <v>0</v>
      </c>
      <c r="AB118" s="739" t="str">
        <f ca="1">IF(AA118&gt;0,(X118+AG118)&amp;Sprache!$E$90&amp;(Y118+AH118),"")</f>
        <v/>
      </c>
      <c r="AD118" s="141"/>
      <c r="AE118" s="146">
        <f t="shared" ca="1" si="66"/>
        <v>0</v>
      </c>
      <c r="AF118" s="141">
        <f t="shared" ca="1" si="67"/>
        <v>0</v>
      </c>
      <c r="AG118" s="146" t="str">
        <f ca="1">IF($AA118=1,Vorrunde!$L66,"")</f>
        <v/>
      </c>
      <c r="AH118" s="141" t="str">
        <f ca="1">IF($AA118=1,Vorrunde!$N66,"")</f>
        <v/>
      </c>
      <c r="AI118" s="141"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8"/>
        <v/>
      </c>
      <c r="AA119" s="739">
        <f ca="1">IF(AND(Vorrunde!$I67&lt;&gt;"",Vorrunde!$K67&lt;&gt;"",Vorrunde!$I67&lt;&gt;Vorrunde!$K67,OR(AND(Vorrunde!$L67="",Vorrunde!$N67=""),AND(Vorrunde!$L67&lt;&gt;"",Vorrunde!$N67&lt;&gt;"",Vorrunde!$L67&lt;&gt;Vorrunde!$N67)),Vorrunde!$F67&lt;&gt;"",Vorrunde!$H67&lt;&gt;"",Vorrunde!$F67&lt;&gt;Vorrunde!$H67),1,0)</f>
        <v>0</v>
      </c>
      <c r="AB119" s="739" t="str">
        <f ca="1">IF(AA119&gt;0,(X119+AG119)&amp;Sprache!$E$90&amp;(Y119+AH119),"")</f>
        <v/>
      </c>
      <c r="AD119" s="141"/>
      <c r="AE119" s="146">
        <f t="shared" ca="1" si="66"/>
        <v>0</v>
      </c>
      <c r="AF119" s="141">
        <f t="shared" ca="1" si="67"/>
        <v>0</v>
      </c>
      <c r="AG119" s="146" t="str">
        <f ca="1">IF($AA119=1,Vorrunde!$L67,"")</f>
        <v/>
      </c>
      <c r="AH119" s="141" t="str">
        <f ca="1">IF($AA119=1,Vorrunde!$N67,"")</f>
        <v/>
      </c>
      <c r="AI119" s="141"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8"/>
        <v/>
      </c>
      <c r="AA120" s="739">
        <f ca="1">IF(AND(Vorrunde!$I68&lt;&gt;"",Vorrunde!$K68&lt;&gt;"",Vorrunde!$I68&lt;&gt;Vorrunde!$K68,OR(AND(Vorrunde!$L68="",Vorrunde!$N68=""),AND(Vorrunde!$L68&lt;&gt;"",Vorrunde!$N68&lt;&gt;"",Vorrunde!$L68&lt;&gt;Vorrunde!$N68)),Vorrunde!$F68&lt;&gt;"",Vorrunde!$H68&lt;&gt;"",Vorrunde!$F68&lt;&gt;Vorrunde!$H68),1,0)</f>
        <v>0</v>
      </c>
      <c r="AB120" s="739" t="str">
        <f ca="1">IF(AA120&gt;0,(X120+AG120)&amp;Sprache!$E$90&amp;(Y120+AH120),"")</f>
        <v/>
      </c>
      <c r="AD120" s="141"/>
      <c r="AE120" s="146">
        <f t="shared" ca="1" si="66"/>
        <v>0</v>
      </c>
      <c r="AF120" s="141">
        <f t="shared" ca="1" si="67"/>
        <v>0</v>
      </c>
      <c r="AG120" s="146" t="str">
        <f ca="1">IF($AA120=1,Vorrunde!$L68,"")</f>
        <v/>
      </c>
      <c r="AH120" s="141" t="str">
        <f ca="1">IF($AA120=1,Vorrunde!$N68,"")</f>
        <v/>
      </c>
      <c r="AI120" s="141"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8"/>
        <v/>
      </c>
      <c r="AA121" s="739">
        <f ca="1">IF(AND(Vorrunde!$I69&lt;&gt;"",Vorrunde!$K69&lt;&gt;"",Vorrunde!$I69&lt;&gt;Vorrunde!$K69,OR(AND(Vorrunde!$L69="",Vorrunde!$N69=""),AND(Vorrunde!$L69&lt;&gt;"",Vorrunde!$N69&lt;&gt;"",Vorrunde!$L69&lt;&gt;Vorrunde!$N69)),Vorrunde!$F69&lt;&gt;"",Vorrunde!$H69&lt;&gt;"",Vorrunde!$F69&lt;&gt;Vorrunde!$H69),1,0)</f>
        <v>0</v>
      </c>
      <c r="AB121" s="739" t="str">
        <f ca="1">IF(AA121&gt;0,(X121+AG121)&amp;Sprache!$E$90&amp;(Y121+AH121),"")</f>
        <v/>
      </c>
      <c r="AD121" s="141"/>
      <c r="AE121" s="146">
        <f t="shared" ca="1" si="66"/>
        <v>0</v>
      </c>
      <c r="AF121" s="141">
        <f t="shared" ca="1" si="67"/>
        <v>0</v>
      </c>
      <c r="AG121" s="146" t="str">
        <f ca="1">IF($AA121=1,Vorrunde!$L69,"")</f>
        <v/>
      </c>
      <c r="AH121" s="141" t="str">
        <f ca="1">IF($AA121=1,Vorrunde!$N69,"")</f>
        <v/>
      </c>
      <c r="AI121" s="141"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8"/>
        <v/>
      </c>
      <c r="AA122" s="739">
        <f ca="1">IF(AND(Vorrunde!$I70&lt;&gt;"",Vorrunde!$K70&lt;&gt;"",Vorrunde!$I70&lt;&gt;Vorrunde!$K70,OR(AND(Vorrunde!$L70="",Vorrunde!$N70=""),AND(Vorrunde!$L70&lt;&gt;"",Vorrunde!$N70&lt;&gt;"",Vorrunde!$L70&lt;&gt;Vorrunde!$N70)),Vorrunde!$F70&lt;&gt;"",Vorrunde!$H70&lt;&gt;"",Vorrunde!$F70&lt;&gt;Vorrunde!$H70),1,0)</f>
        <v>0</v>
      </c>
      <c r="AB122" s="739" t="str">
        <f ca="1">IF(AA122&gt;0,(X122+AG122)&amp;Sprache!$E$90&amp;(Y122+AH122),"")</f>
        <v/>
      </c>
      <c r="AD122" s="141"/>
      <c r="AE122" s="146">
        <f t="shared" ca="1" si="66"/>
        <v>0</v>
      </c>
      <c r="AF122" s="141">
        <f t="shared" ca="1" si="67"/>
        <v>0</v>
      </c>
      <c r="AG122" s="146" t="str">
        <f ca="1">IF($AA122=1,Vorrunde!$L70,"")</f>
        <v/>
      </c>
      <c r="AH122" s="141" t="str">
        <f ca="1">IF($AA122=1,Vorrunde!$N70,"")</f>
        <v/>
      </c>
      <c r="AI122" s="141"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8"/>
        <v/>
      </c>
      <c r="AA123" s="739">
        <f ca="1">IF(AND(Vorrunde!$I71&lt;&gt;"",Vorrunde!$K71&lt;&gt;"",Vorrunde!$I71&lt;&gt;Vorrunde!$K71,OR(AND(Vorrunde!$L71="",Vorrunde!$N71=""),AND(Vorrunde!$L71&lt;&gt;"",Vorrunde!$N71&lt;&gt;"",Vorrunde!$L71&lt;&gt;Vorrunde!$N71)),Vorrunde!$F71&lt;&gt;"",Vorrunde!$H71&lt;&gt;"",Vorrunde!$F71&lt;&gt;Vorrunde!$H71),1,0)</f>
        <v>0</v>
      </c>
      <c r="AB123" s="739" t="str">
        <f ca="1">IF(AA123&gt;0,(X123+AG123)&amp;Sprache!$E$90&amp;(Y123+AH123),"")</f>
        <v/>
      </c>
      <c r="AD123" s="141"/>
      <c r="AE123" s="146">
        <f t="shared" ca="1" si="66"/>
        <v>0</v>
      </c>
      <c r="AF123" s="141">
        <f t="shared" ca="1" si="67"/>
        <v>0</v>
      </c>
      <c r="AG123" s="146" t="str">
        <f ca="1">IF($AA123=1,Vorrunde!$L71,"")</f>
        <v/>
      </c>
      <c r="AH123" s="141" t="str">
        <f ca="1">IF($AA123=1,Vorrunde!$N71,"")</f>
        <v/>
      </c>
      <c r="AI123" s="141" t="str">
        <f ca="1">IF(AA123&gt;0,AE123&amp;Sprache!$E$90&amp;AF123,"")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39">
        <v>0</v>
      </c>
      <c r="AB125" s="739" t="str">
        <f>""</f>
        <v/>
      </c>
      <c r="AD125" s="141"/>
      <c r="AE125" s="146"/>
      <c r="AF125" s="141"/>
      <c r="AG125" s="646" t="str">
        <f>""</f>
        <v/>
      </c>
      <c r="AH125" s="647" t="str">
        <f>""</f>
        <v/>
      </c>
      <c r="AI125" s="647"/>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39">
        <v>0</v>
      </c>
      <c r="AB126" s="739" t="str">
        <f>""</f>
        <v/>
      </c>
      <c r="AD126" s="141"/>
      <c r="AE126" s="146"/>
      <c r="AF126" s="141"/>
      <c r="AG126" s="646" t="str">
        <f>""</f>
        <v/>
      </c>
      <c r="AH126" s="647" t="str">
        <f>""</f>
        <v/>
      </c>
      <c r="AI126" s="647"/>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39">
        <v>0</v>
      </c>
      <c r="AB127" s="739" t="str">
        <f>""</f>
        <v/>
      </c>
      <c r="AD127" s="141"/>
      <c r="AE127" s="146"/>
      <c r="AF127" s="141"/>
      <c r="AG127" s="646" t="str">
        <f>""</f>
        <v/>
      </c>
      <c r="AH127" s="647" t="str">
        <f>""</f>
        <v/>
      </c>
      <c r="AI127" s="647"/>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39">
        <v>0</v>
      </c>
      <c r="AB128" s="739" t="str">
        <f>""</f>
        <v/>
      </c>
      <c r="AD128" s="141"/>
      <c r="AE128" s="146"/>
      <c r="AF128" s="141"/>
      <c r="AG128" s="646" t="str">
        <f>""</f>
        <v/>
      </c>
      <c r="AH128" s="647" t="str">
        <f>""</f>
        <v/>
      </c>
      <c r="AI128" s="647"/>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39">
        <v>0</v>
      </c>
      <c r="AB129" s="739" t="str">
        <f>""</f>
        <v/>
      </c>
      <c r="AD129" s="141"/>
      <c r="AE129" s="146"/>
      <c r="AF129" s="141"/>
      <c r="AG129" s="646" t="str">
        <f>""</f>
        <v/>
      </c>
      <c r="AH129" s="647" t="str">
        <f>""</f>
        <v/>
      </c>
      <c r="AI129" s="647"/>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39">
        <v>0</v>
      </c>
      <c r="AB130" s="739" t="str">
        <f>""</f>
        <v/>
      </c>
      <c r="AD130" s="141"/>
      <c r="AE130" s="146"/>
      <c r="AF130" s="141"/>
      <c r="AG130" s="646" t="str">
        <f>""</f>
        <v/>
      </c>
      <c r="AH130" s="647" t="str">
        <f>""</f>
        <v/>
      </c>
      <c r="AI130" s="647"/>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39">
        <v>0</v>
      </c>
      <c r="AB131" s="739" t="str">
        <f>""</f>
        <v/>
      </c>
      <c r="AD131" s="141"/>
      <c r="AE131" s="146"/>
      <c r="AF131" s="141"/>
      <c r="AG131" s="646" t="str">
        <f>""</f>
        <v/>
      </c>
      <c r="AH131" s="647" t="str">
        <f>""</f>
        <v/>
      </c>
      <c r="AI131" s="647"/>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39">
        <v>0</v>
      </c>
      <c r="AB132" s="739" t="str">
        <f>""</f>
        <v/>
      </c>
      <c r="AD132" s="141"/>
      <c r="AE132" s="146"/>
      <c r="AF132" s="141"/>
      <c r="AG132" s="646" t="str">
        <f>""</f>
        <v/>
      </c>
      <c r="AH132" s="647" t="str">
        <f>""</f>
        <v/>
      </c>
      <c r="AI132" s="647"/>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39">
        <v>0</v>
      </c>
      <c r="AB133" s="739" t="str">
        <f>""</f>
        <v/>
      </c>
      <c r="AD133" s="141"/>
      <c r="AE133" s="146"/>
      <c r="AF133" s="141"/>
      <c r="AG133" s="646" t="str">
        <f>""</f>
        <v/>
      </c>
      <c r="AH133" s="647" t="str">
        <f>""</f>
        <v/>
      </c>
      <c r="AI133" s="647"/>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39">
        <v>0</v>
      </c>
      <c r="AB134" s="739" t="str">
        <f>""</f>
        <v/>
      </c>
      <c r="AD134" s="141"/>
      <c r="AE134" s="146"/>
      <c r="AF134" s="141"/>
      <c r="AG134" s="646" t="str">
        <f>""</f>
        <v/>
      </c>
      <c r="AH134" s="647" t="str">
        <f>""</f>
        <v/>
      </c>
      <c r="AI134" s="647"/>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48" t="str">
        <f>""</f>
        <v/>
      </c>
      <c r="AH135" s="649" t="str">
        <f>""</f>
        <v/>
      </c>
      <c r="AI135" s="649"/>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23" t="str">
        <f ca="1">IF(AA136&gt;0,(Y64+AH64)&amp;Sprache!$E$90&amp;(X64+AG64),"")</f>
        <v>36:50</v>
      </c>
      <c r="AD136" s="141"/>
      <c r="AI136" s="654" t="str">
        <f ca="1">IF(AA64&gt;0,AF64&amp;Sprache!$E$90&amp;AE64,"")</f>
        <v>0:2</v>
      </c>
    </row>
    <row r="137" spans="2:35" x14ac:dyDescent="0.2">
      <c r="Y137" s="66" t="s">
        <v>7</v>
      </c>
      <c r="Z137" s="34" t="str">
        <f ca="1">W65&amp;V65</f>
        <v>Inter MailandFC Grönlingen</v>
      </c>
      <c r="AA137" s="13">
        <f t="shared" ref="AA137:AA195" ca="1" si="69">AA65</f>
        <v>1</v>
      </c>
      <c r="AB137" s="723" t="str">
        <f ca="1">IF(AA137&gt;0,(Y65+AH65)&amp;Sprache!$E$90&amp;(X65+AG65),"")</f>
        <v>45:45</v>
      </c>
      <c r="AC137" s="2"/>
      <c r="AD137" s="141"/>
      <c r="AI137" s="655" t="str">
        <f ca="1">IF(AA65&gt;0,AF65&amp;Sprache!$E$90&amp;AE65,"")</f>
        <v>1:1</v>
      </c>
    </row>
    <row r="138" spans="2:35" x14ac:dyDescent="0.2">
      <c r="Y138" s="66" t="s">
        <v>8</v>
      </c>
      <c r="Z138" s="34" t="str">
        <f t="shared" ref="Z138:Z195" ca="1" si="70">W66&amp;V66</f>
        <v>Real Madrid1. FC Nürnberg</v>
      </c>
      <c r="AA138" s="13">
        <f t="shared" ca="1" si="69"/>
        <v>1</v>
      </c>
      <c r="AB138" s="723" t="str">
        <f ca="1">IF(AA138&gt;0,(Y66+AH66)&amp;Sprache!$E$90&amp;(X66+AG66),"")</f>
        <v>40:50</v>
      </c>
      <c r="AC138" s="2"/>
      <c r="AD138" s="141"/>
      <c r="AI138" s="655" t="str">
        <f ca="1">IF(AA66&gt;0,AF66&amp;Sprache!$E$90&amp;AE66,"")</f>
        <v>0:2</v>
      </c>
    </row>
    <row r="139" spans="2:35" x14ac:dyDescent="0.2">
      <c r="Y139" s="66" t="s">
        <v>9</v>
      </c>
      <c r="Z139" s="34" t="str">
        <f t="shared" ca="1" si="70"/>
        <v>Paris St. GermainSV Oberredenburg</v>
      </c>
      <c r="AA139" s="13">
        <f t="shared" ca="1" si="69"/>
        <v>1</v>
      </c>
      <c r="AB139" s="723" t="str">
        <f ca="1">IF(AA139&gt;0,(Y67+AH67)&amp;Sprache!$E$90&amp;(X67+AG67),"")</f>
        <v>42:50</v>
      </c>
      <c r="AC139" s="2"/>
      <c r="AD139" s="141"/>
      <c r="AI139" s="655" t="str">
        <f ca="1">IF(AA67&gt;0,AF67&amp;Sprache!$E$90&amp;AE67,"")</f>
        <v>0:2</v>
      </c>
    </row>
    <row r="140" spans="2:35" x14ac:dyDescent="0.2">
      <c r="Y140" s="66" t="s">
        <v>10</v>
      </c>
      <c r="Z140" s="34" t="str">
        <f t="shared" ca="1" si="70"/>
        <v>Maibach 1822 eVEintracht Frankfurt</v>
      </c>
      <c r="AA140" s="13">
        <f t="shared" ca="1" si="69"/>
        <v>1</v>
      </c>
      <c r="AB140" s="723" t="str">
        <f ca="1">IF(AA140&gt;0,(Y68+AH68)&amp;Sprache!$E$90&amp;(X68+AG68),"")</f>
        <v>44:50</v>
      </c>
      <c r="AC140" s="2"/>
      <c r="AD140" s="141"/>
      <c r="AI140" s="655" t="str">
        <f ca="1">IF(AA68&gt;0,AF68&amp;Sprache!$E$90&amp;AE68,"")</f>
        <v>0:2</v>
      </c>
    </row>
    <row r="141" spans="2:35" x14ac:dyDescent="0.2">
      <c r="Y141" s="66" t="s">
        <v>11</v>
      </c>
      <c r="Z141" s="34" t="str">
        <f t="shared" ca="1" si="70"/>
        <v>Manchester CitySSV Wildbach</v>
      </c>
      <c r="AA141" s="13">
        <f t="shared" ca="1" si="69"/>
        <v>1</v>
      </c>
      <c r="AB141" s="723" t="str">
        <f ca="1">IF(AA141&gt;0,(Y69+AH69)&amp;Sprache!$E$90&amp;(X69+AG69),"")</f>
        <v>39:50</v>
      </c>
      <c r="AC141" s="2"/>
      <c r="AD141" s="141"/>
      <c r="AI141" s="655" t="str">
        <f ca="1">IF(AA69&gt;0,AF69&amp;Sprache!$E$90&amp;AE69,"")</f>
        <v>0:2</v>
      </c>
    </row>
    <row r="142" spans="2:35" x14ac:dyDescent="0.2">
      <c r="Y142" s="66" t="s">
        <v>16</v>
      </c>
      <c r="Z142" s="34" t="str">
        <f t="shared" ca="1" si="70"/>
        <v>FSV RauenBorussia Dortmund</v>
      </c>
      <c r="AA142" s="13">
        <f t="shared" ca="1" si="69"/>
        <v>1</v>
      </c>
      <c r="AB142" s="723" t="str">
        <f ca="1">IF(AA142&gt;0,(Y70+AH70)&amp;Sprache!$E$90&amp;(X70+AG70),"")</f>
        <v>48:45</v>
      </c>
      <c r="AC142" s="2"/>
      <c r="AD142" s="141"/>
      <c r="AI142" s="655" t="str">
        <f ca="1">IF(AA70&gt;0,AF70&amp;Sprache!$E$90&amp;AE70,"")</f>
        <v>1:1</v>
      </c>
    </row>
    <row r="143" spans="2:35" x14ac:dyDescent="0.2">
      <c r="Y143" s="66" t="s">
        <v>17</v>
      </c>
      <c r="Z143" s="34" t="str">
        <f t="shared" ca="1" si="70"/>
        <v>RB LeipzigHSV</v>
      </c>
      <c r="AA143" s="13">
        <f t="shared" ca="1" si="69"/>
        <v>1</v>
      </c>
      <c r="AB143" s="723" t="str">
        <f ca="1">IF(AA143&gt;0,(Y71+AH71)&amp;Sprache!$E$90&amp;(X71+AG71),"")</f>
        <v>42:44</v>
      </c>
      <c r="AC143" s="2"/>
      <c r="AD143" s="141"/>
      <c r="AI143" s="655" t="str">
        <f ca="1">IF(AA71&gt;0,AF71&amp;Sprache!$E$90&amp;AE71,"")</f>
        <v>1:1</v>
      </c>
    </row>
    <row r="144" spans="2:35" x14ac:dyDescent="0.2">
      <c r="Y144" s="66" t="s">
        <v>18</v>
      </c>
      <c r="Z144" s="34" t="str">
        <f t="shared" ca="1" si="70"/>
        <v>1. FC RiedwaldVFB Essenheim</v>
      </c>
      <c r="AA144" s="13">
        <f t="shared" ca="1" si="69"/>
        <v>1</v>
      </c>
      <c r="AB144" s="723" t="str">
        <f ca="1">IF(AA144&gt;0,(Y72+AH72)&amp;Sprache!$E$90&amp;(X72+AG72),"")</f>
        <v>43:41</v>
      </c>
      <c r="AC144" s="2"/>
      <c r="AD144" s="141"/>
      <c r="AI144" s="655" t="str">
        <f ca="1">IF(AA72&gt;0,AF72&amp;Sprache!$E$90&amp;AE72,"")</f>
        <v>1:1</v>
      </c>
    </row>
    <row r="145" spans="25:35" x14ac:dyDescent="0.2">
      <c r="Y145" s="66" t="s">
        <v>24</v>
      </c>
      <c r="Z145" s="34" t="str">
        <f t="shared" ca="1" si="70"/>
        <v>Mainz 05FC Grönlingen</v>
      </c>
      <c r="AA145" s="13">
        <f t="shared" ca="1" si="69"/>
        <v>1</v>
      </c>
      <c r="AB145" s="723" t="str">
        <f ca="1">IF(AA145&gt;0,(Y73+AH73)&amp;Sprache!$E$90&amp;(X73+AG73),"")</f>
        <v>44:39</v>
      </c>
      <c r="AC145" s="2"/>
      <c r="AD145" s="141"/>
      <c r="AI145" s="655" t="str">
        <f ca="1">IF(AA73&gt;0,AF73&amp;Sprache!$E$90&amp;AE73,"")</f>
        <v>1:1</v>
      </c>
    </row>
    <row r="146" spans="25:35" x14ac:dyDescent="0.2">
      <c r="Y146" s="66" t="s">
        <v>25</v>
      </c>
      <c r="Z146" s="34" t="str">
        <f t="shared" ca="1" si="70"/>
        <v>Kickers Rodendorf1. FC Nürnberg</v>
      </c>
      <c r="AA146" s="13">
        <f t="shared" ca="1" si="69"/>
        <v>1</v>
      </c>
      <c r="AB146" s="723" t="str">
        <f ca="1">IF(AA146&gt;0,(Y74+AH74)&amp;Sprache!$E$90&amp;(X74+AG74),"")</f>
        <v>45:47</v>
      </c>
      <c r="AC146" s="2"/>
      <c r="AD146" s="141"/>
      <c r="AI146" s="655" t="str">
        <f ca="1">IF(AA74&gt;0,AF74&amp;Sprache!$E$90&amp;AE74,"")</f>
        <v>1:1</v>
      </c>
    </row>
    <row r="147" spans="25:35" x14ac:dyDescent="0.2">
      <c r="Y147" s="66" t="s">
        <v>26</v>
      </c>
      <c r="Z147" s="34" t="str">
        <f t="shared" ca="1" si="70"/>
        <v>TSG Saalberg eVSV Oberredenburg</v>
      </c>
      <c r="AA147" s="13">
        <f t="shared" ca="1" si="69"/>
        <v>1</v>
      </c>
      <c r="AB147" s="723" t="str">
        <f ca="1">IF(AA147&gt;0,(Y75+AH75)&amp;Sprache!$E$90&amp;(X75+AG75),"")</f>
        <v>46:44</v>
      </c>
      <c r="AC147" s="2"/>
      <c r="AD147" s="141"/>
      <c r="AI147" s="655" t="str">
        <f ca="1">IF(AA75&gt;0,AF75&amp;Sprache!$E$90&amp;AE75,"")</f>
        <v>1:1</v>
      </c>
    </row>
    <row r="148" spans="25:35" x14ac:dyDescent="0.2">
      <c r="Y148" s="66" t="s">
        <v>27</v>
      </c>
      <c r="Z148" s="34" t="str">
        <f t="shared" ca="1" si="70"/>
        <v>Eintracht FrankfurtFC Barcelona</v>
      </c>
      <c r="AA148" s="13">
        <f t="shared" ca="1" si="69"/>
        <v>1</v>
      </c>
      <c r="AB148" s="723" t="str">
        <f ca="1">IF(AA148&gt;0,(Y76+AH76)&amp;Sprache!$E$90&amp;(X76+AG76),"")</f>
        <v>50:29</v>
      </c>
      <c r="AC148" s="2"/>
      <c r="AD148" s="141"/>
      <c r="AI148" s="655" t="str">
        <f ca="1">IF(AA76&gt;0,AF76&amp;Sprache!$E$90&amp;AE76,"")</f>
        <v>2:0</v>
      </c>
    </row>
    <row r="149" spans="25:35" x14ac:dyDescent="0.2">
      <c r="Y149" s="66" t="s">
        <v>28</v>
      </c>
      <c r="Z149" s="34" t="str">
        <f t="shared" ca="1" si="70"/>
        <v>SSV WildbachInter Mailand</v>
      </c>
      <c r="AA149" s="13">
        <f t="shared" ca="1" si="69"/>
        <v>1</v>
      </c>
      <c r="AB149" s="723" t="str">
        <f ca="1">IF(AA149&gt;0,(Y77+AH77)&amp;Sprache!$E$90&amp;(X77+AG77),"")</f>
        <v>48:39</v>
      </c>
      <c r="AC149" s="2"/>
      <c r="AD149" s="141"/>
      <c r="AI149" s="655" t="str">
        <f ca="1">IF(AA77&gt;0,AF77&amp;Sprache!$E$90&amp;AE77,"")</f>
        <v>1:1</v>
      </c>
    </row>
    <row r="150" spans="25:35" x14ac:dyDescent="0.2">
      <c r="Y150" s="66" t="s">
        <v>29</v>
      </c>
      <c r="Z150" s="34" t="str">
        <f t="shared" ca="1" si="70"/>
        <v>Borussia DortmundReal Madrid</v>
      </c>
      <c r="AA150" s="13">
        <f t="shared" ca="1" si="69"/>
        <v>1</v>
      </c>
      <c r="AB150" s="723" t="str">
        <f ca="1">IF(AA150&gt;0,(Y78+AH78)&amp;Sprache!$E$90&amp;(X78+AG78),"")</f>
        <v>42:46</v>
      </c>
      <c r="AC150" s="2"/>
      <c r="AD150" s="141"/>
      <c r="AI150" s="655" t="str">
        <f ca="1">IF(AA78&gt;0,AF78&amp;Sprache!$E$90&amp;AE78,"")</f>
        <v>1:1</v>
      </c>
    </row>
    <row r="151" spans="25:35" x14ac:dyDescent="0.2">
      <c r="Y151" s="66" t="s">
        <v>30</v>
      </c>
      <c r="Z151" s="34" t="str">
        <f t="shared" ca="1" si="70"/>
        <v>HSVParis St. Germain</v>
      </c>
      <c r="AA151" s="13">
        <f t="shared" ca="1" si="69"/>
        <v>1</v>
      </c>
      <c r="AB151" s="723" t="str">
        <f ca="1">IF(AA151&gt;0,(Y79+AH79)&amp;Sprache!$E$90&amp;(X79+AG79),"")</f>
        <v>20:50</v>
      </c>
      <c r="AC151" s="2"/>
      <c r="AD151" s="141"/>
      <c r="AI151" s="655" t="str">
        <f ca="1">IF(AA79&gt;0,AF79&amp;Sprache!$E$90&amp;AE79,"")</f>
        <v>0:2</v>
      </c>
    </row>
    <row r="152" spans="25:35" x14ac:dyDescent="0.2">
      <c r="Y152" s="66" t="s">
        <v>31</v>
      </c>
      <c r="Z152" s="34" t="str">
        <f t="shared" ca="1" si="70"/>
        <v>Maibach 1822 eV1. FC Riedwald</v>
      </c>
      <c r="AA152" s="13">
        <f t="shared" ca="1" si="69"/>
        <v>1</v>
      </c>
      <c r="AB152" s="723" t="str">
        <f ca="1">IF(AA152&gt;0,(Y80+AH80)&amp;Sprache!$E$90&amp;(X80+AG80),"")</f>
        <v>39:50</v>
      </c>
      <c r="AC152" s="2"/>
      <c r="AD152" s="141"/>
      <c r="AI152" s="655" t="str">
        <f ca="1">IF(AA80&gt;0,AF80&amp;Sprache!$E$90&amp;AE80,"")</f>
        <v>0:2</v>
      </c>
    </row>
    <row r="153" spans="25:35" x14ac:dyDescent="0.2">
      <c r="Y153" s="66" t="s">
        <v>32</v>
      </c>
      <c r="Z153" s="34" t="str">
        <f t="shared" ca="1" si="70"/>
        <v>Manchester CityMainz 05</v>
      </c>
      <c r="AA153" s="13">
        <f t="shared" ca="1" si="69"/>
        <v>1</v>
      </c>
      <c r="AB153" s="723" t="str">
        <f ca="1">IF(AA153&gt;0,(Y81+AH81)&amp;Sprache!$E$90&amp;(X81+AG81),"")</f>
        <v>22:50</v>
      </c>
      <c r="AC153" s="2"/>
      <c r="AD153" s="141"/>
      <c r="AI153" s="655" t="str">
        <f ca="1">IF(AA81&gt;0,AF81&amp;Sprache!$E$90&amp;AE81,"")</f>
        <v>0:2</v>
      </c>
    </row>
    <row r="154" spans="25:35" x14ac:dyDescent="0.2">
      <c r="Y154" s="66" t="s">
        <v>33</v>
      </c>
      <c r="Z154" s="34" t="str">
        <f t="shared" ca="1" si="70"/>
        <v>FSV RauenKickers Rodendorf</v>
      </c>
      <c r="AA154" s="13">
        <f t="shared" ca="1" si="69"/>
        <v>1</v>
      </c>
      <c r="AB154" s="723" t="str">
        <f ca="1">IF(AA154&gt;0,(Y82+AH82)&amp;Sprache!$E$90&amp;(X82+AG82),"")</f>
        <v>23:50</v>
      </c>
      <c r="AC154" s="2"/>
      <c r="AD154" s="141"/>
      <c r="AI154" s="655" t="str">
        <f ca="1">IF(AA82&gt;0,AF82&amp;Sprache!$E$90&amp;AE82,"")</f>
        <v>0:2</v>
      </c>
    </row>
    <row r="155" spans="25:35" x14ac:dyDescent="0.2">
      <c r="Y155" s="66" t="s">
        <v>34</v>
      </c>
      <c r="Z155" s="34" t="str">
        <f t="shared" ca="1" si="70"/>
        <v>RB LeipzigTSG Saalberg eV</v>
      </c>
      <c r="AA155" s="13">
        <f t="shared" ca="1" si="69"/>
        <v>1</v>
      </c>
      <c r="AB155" s="723" t="str">
        <f ca="1">IF(AA155&gt;0,(Y83+AH83)&amp;Sprache!$E$90&amp;(X83+AG83),"")</f>
        <v>24:50</v>
      </c>
      <c r="AC155" s="2"/>
      <c r="AD155" s="141"/>
      <c r="AI155" s="655" t="str">
        <f ca="1">IF(AA83&gt;0,AF83&amp;Sprache!$E$90&amp;AE83,"")</f>
        <v>0:2</v>
      </c>
    </row>
    <row r="156" spans="25:35" x14ac:dyDescent="0.2">
      <c r="Y156" s="66" t="s">
        <v>35</v>
      </c>
      <c r="Z156" s="34" t="str">
        <f t="shared" ca="1" si="70"/>
        <v>VFB EssenheimEintracht Frankfurt</v>
      </c>
      <c r="AA156" s="13">
        <f t="shared" ca="1" si="69"/>
        <v>1</v>
      </c>
      <c r="AB156" s="723" t="str">
        <f ca="1">IF(AA156&gt;0,(Y84+AH84)&amp;Sprache!$E$90&amp;(X84+AG84),"")</f>
        <v>36:38</v>
      </c>
      <c r="AC156" s="2"/>
      <c r="AD156" s="141"/>
      <c r="AI156" s="655" t="str">
        <f ca="1">IF(AA84&gt;0,AF84&amp;Sprache!$E$90&amp;AE84,"")</f>
        <v>1:1</v>
      </c>
    </row>
    <row r="157" spans="25:35" x14ac:dyDescent="0.2">
      <c r="Y157" s="66" t="s">
        <v>36</v>
      </c>
      <c r="Z157" s="34" t="str">
        <f t="shared" ca="1" si="70"/>
        <v>FC GrönlingenSSV Wildbach</v>
      </c>
      <c r="AA157" s="13">
        <f t="shared" ca="1" si="69"/>
        <v>1</v>
      </c>
      <c r="AB157" s="723" t="str">
        <f ca="1">IF(AA157&gt;0,(Y85+AH85)&amp;Sprache!$E$90&amp;(X85+AG85),"")</f>
        <v>42:44</v>
      </c>
      <c r="AC157" s="2"/>
      <c r="AD157" s="141"/>
      <c r="AI157" s="655" t="str">
        <f ca="1">IF(AA85&gt;0,AF85&amp;Sprache!$E$90&amp;AE85,"")</f>
        <v>1:1</v>
      </c>
    </row>
    <row r="158" spans="25:35" x14ac:dyDescent="0.2">
      <c r="Y158" s="66" t="s">
        <v>37</v>
      </c>
      <c r="Z158" s="34" t="str">
        <f t="shared" ca="1" si="70"/>
        <v>1. FC NürnbergBorussia Dortmund</v>
      </c>
      <c r="AA158" s="13">
        <f t="shared" ca="1" si="69"/>
        <v>1</v>
      </c>
      <c r="AB158" s="723" t="str">
        <f ca="1">IF(AA158&gt;0,(Y86+AH86)&amp;Sprache!$E$90&amp;(X86+AG86),"")</f>
        <v>41:42</v>
      </c>
      <c r="AC158" s="2"/>
      <c r="AD158" s="141"/>
      <c r="AI158" s="655" t="str">
        <f ca="1">IF(AA86&gt;0,AF86&amp;Sprache!$E$90&amp;AE86,"")</f>
        <v>1:1</v>
      </c>
    </row>
    <row r="159" spans="25:35" x14ac:dyDescent="0.2">
      <c r="Y159" s="66" t="s">
        <v>38</v>
      </c>
      <c r="Z159" s="34" t="str">
        <f t="shared" ca="1" si="70"/>
        <v>SV OberredenburgHSV</v>
      </c>
      <c r="AA159" s="13">
        <f t="shared" ca="1" si="69"/>
        <v>1</v>
      </c>
      <c r="AB159" s="723" t="str">
        <f ca="1">IF(AA159&gt;0,(Y87+AH87)&amp;Sprache!$E$90&amp;(X87+AG87),"")</f>
        <v>44:39</v>
      </c>
      <c r="AC159" s="2"/>
      <c r="AD159" s="141"/>
      <c r="AI159" s="655" t="str">
        <f ca="1">IF(AA87&gt;0,AF87&amp;Sprache!$E$90&amp;AE87,"")</f>
        <v>1:1</v>
      </c>
    </row>
    <row r="160" spans="25:35" x14ac:dyDescent="0.2">
      <c r="Y160" s="66" t="s">
        <v>39</v>
      </c>
      <c r="Z160" s="34" t="str">
        <f t="shared" ca="1" si="70"/>
        <v>Maibach 1822 eVFC Barcelona</v>
      </c>
      <c r="AA160" s="13">
        <f t="shared" ca="1" si="69"/>
        <v>1</v>
      </c>
      <c r="AB160" s="723" t="str">
        <f ca="1">IF(AA160&gt;0,(Y88+AH88)&amp;Sprache!$E$90&amp;(X88+AG88),"")</f>
        <v>45:45</v>
      </c>
      <c r="AC160" s="2"/>
      <c r="AD160" s="141"/>
      <c r="AI160" s="655" t="str">
        <f ca="1">IF(AA88&gt;0,AF88&amp;Sprache!$E$90&amp;AE88,"")</f>
        <v>1:1</v>
      </c>
    </row>
    <row r="161" spans="25:35" x14ac:dyDescent="0.2">
      <c r="Y161" s="66" t="s">
        <v>40</v>
      </c>
      <c r="Z161" s="34" t="str">
        <f t="shared" ca="1" si="70"/>
        <v>Manchester CityInter Mailand</v>
      </c>
      <c r="AA161" s="13">
        <f t="shared" ca="1" si="69"/>
        <v>1</v>
      </c>
      <c r="AB161" s="723" t="str">
        <f ca="1">IF(AA161&gt;0,(Y89+AH89)&amp;Sprache!$E$90&amp;(X89+AG89),"")</f>
        <v>46:44</v>
      </c>
      <c r="AC161" s="2"/>
      <c r="AD161" s="141"/>
      <c r="AI161" s="655" t="str">
        <f ca="1">IF(AA89&gt;0,AF89&amp;Sprache!$E$90&amp;AE89,"")</f>
        <v>1:1</v>
      </c>
    </row>
    <row r="162" spans="25:35" x14ac:dyDescent="0.2">
      <c r="Y162" s="66" t="s">
        <v>41</v>
      </c>
      <c r="Z162" s="34" t="str">
        <f t="shared" ca="1" si="70"/>
        <v>FSV RauenReal Madrid</v>
      </c>
      <c r="AA162" s="13">
        <f t="shared" ca="1" si="69"/>
        <v>1</v>
      </c>
      <c r="AB162" s="723" t="str">
        <f ca="1">IF(AA162&gt;0,(Y90+AH90)&amp;Sprache!$E$90&amp;(X90+AG90),"")</f>
        <v>47:42</v>
      </c>
      <c r="AC162" s="2"/>
      <c r="AD162" s="141"/>
      <c r="AI162" s="655" t="str">
        <f ca="1">IF(AA90&gt;0,AF90&amp;Sprache!$E$90&amp;AE90,"")</f>
        <v>1:1</v>
      </c>
    </row>
    <row r="163" spans="25:35" x14ac:dyDescent="0.2">
      <c r="Y163" s="66" t="s">
        <v>42</v>
      </c>
      <c r="Z163" s="34" t="str">
        <f t="shared" ca="1" si="70"/>
        <v>RB LeipzigParis St. Germain</v>
      </c>
      <c r="AA163" s="13">
        <f t="shared" ca="1" si="69"/>
        <v>1</v>
      </c>
      <c r="AB163" s="723" t="str">
        <f ca="1">IF(AA163&gt;0,(Y91+AH91)&amp;Sprache!$E$90&amp;(X91+AG91),"")</f>
        <v>48:44</v>
      </c>
      <c r="AC163" s="2"/>
      <c r="AD163" s="141"/>
      <c r="AI163" s="655" t="str">
        <f ca="1">IF(AA91&gt;0,AF91&amp;Sprache!$E$90&amp;AE91,"")</f>
        <v>1:1</v>
      </c>
    </row>
    <row r="164" spans="25:35" x14ac:dyDescent="0.2">
      <c r="Y164" s="66" t="s">
        <v>43</v>
      </c>
      <c r="Z164" s="34" t="str">
        <f t="shared" ca="1" si="70"/>
        <v>1. FC RiedwaldEintracht Frankfurt</v>
      </c>
      <c r="AA164" s="13">
        <f t="shared" ca="1" si="69"/>
        <v>1</v>
      </c>
      <c r="AB164" s="723" t="str">
        <f ca="1">IF(AA164&gt;0,(Y92+AH92)&amp;Sprache!$E$90&amp;(X92+AG92),"")</f>
        <v>50:34</v>
      </c>
      <c r="AC164" s="2"/>
      <c r="AD164" s="141"/>
      <c r="AI164" s="655" t="str">
        <f ca="1">IF(AA92&gt;0,AF92&amp;Sprache!$E$90&amp;AE92,"")</f>
        <v>2:0</v>
      </c>
    </row>
    <row r="165" spans="25:35" x14ac:dyDescent="0.2">
      <c r="Y165" s="66" t="s">
        <v>44</v>
      </c>
      <c r="Z165" s="34" t="str">
        <f t="shared" ca="1" si="70"/>
        <v>Mainz 05SSV Wildbach</v>
      </c>
      <c r="AA165" s="13">
        <f t="shared" ca="1" si="69"/>
        <v>1</v>
      </c>
      <c r="AB165" s="723" t="str">
        <f ca="1">IF(AA165&gt;0,(Y93+AH93)&amp;Sprache!$E$90&amp;(X93+AG93),"")</f>
        <v>43:39</v>
      </c>
      <c r="AC165" s="2"/>
      <c r="AD165" s="141"/>
      <c r="AI165" s="655" t="str">
        <f ca="1">IF(AA93&gt;0,AF93&amp;Sprache!$E$90&amp;AE93,"")</f>
        <v>1:1</v>
      </c>
    </row>
    <row r="166" spans="25:35" x14ac:dyDescent="0.2">
      <c r="Y166" s="66" t="s">
        <v>45</v>
      </c>
      <c r="Z166" s="34" t="str">
        <f t="shared" ca="1" si="70"/>
        <v>Kickers RodendorfBorussia Dortmund</v>
      </c>
      <c r="AA166" s="13">
        <f t="shared" ca="1" si="69"/>
        <v>1</v>
      </c>
      <c r="AB166" s="723" t="str">
        <f ca="1">IF(AA166&gt;0,(Y94+AH94)&amp;Sprache!$E$90&amp;(X94+AG94),"")</f>
        <v>44:45</v>
      </c>
      <c r="AC166" s="2"/>
      <c r="AD166" s="141"/>
      <c r="AI166" s="655" t="str">
        <f ca="1">IF(AA94&gt;0,AF94&amp;Sprache!$E$90&amp;AE94,"")</f>
        <v>1:1</v>
      </c>
    </row>
    <row r="167" spans="25:35" x14ac:dyDescent="0.2">
      <c r="Y167" s="66" t="s">
        <v>46</v>
      </c>
      <c r="Z167" s="34" t="str">
        <f t="shared" ca="1" si="70"/>
        <v>TSG Saalberg eVHSV</v>
      </c>
      <c r="AA167" s="13">
        <f t="shared" ca="1" si="69"/>
        <v>1</v>
      </c>
      <c r="AB167" s="723" t="str">
        <f ca="1">IF(AA167&gt;0,(Y95+AH95)&amp;Sprache!$E$90&amp;(X95+AG95),"")</f>
        <v>45:44</v>
      </c>
      <c r="AC167" s="2"/>
      <c r="AD167" s="141"/>
      <c r="AI167" s="655" t="str">
        <f ca="1">IF(AA95&gt;0,AF95&amp;Sprache!$E$90&amp;AE95,"")</f>
        <v>1:1</v>
      </c>
    </row>
    <row r="168" spans="25:35" x14ac:dyDescent="0.2">
      <c r="Y168" s="66" t="s">
        <v>47</v>
      </c>
      <c r="Z168" s="34" t="str">
        <f t="shared" ca="1" si="70"/>
        <v>VFB EssenheimMaibach 1822 eV</v>
      </c>
      <c r="AA168" s="13">
        <f t="shared" ca="1" si="69"/>
        <v>1</v>
      </c>
      <c r="AB168" s="723" t="str">
        <f ca="1">IF(AA168&gt;0,(Y96+AH96)&amp;Sprache!$E$90&amp;(X96+AG96),"")</f>
        <v>46:42</v>
      </c>
      <c r="AC168" s="2"/>
      <c r="AD168" s="141"/>
      <c r="AI168" s="655" t="str">
        <f ca="1">IF(AA96&gt;0,AF96&amp;Sprache!$E$90&amp;AE96,"")</f>
        <v>1:1</v>
      </c>
    </row>
    <row r="169" spans="25:35" x14ac:dyDescent="0.2">
      <c r="Y169" s="66" t="s">
        <v>48</v>
      </c>
      <c r="Z169" s="34" t="str">
        <f t="shared" ca="1" si="70"/>
        <v>FC GrönlingenManchester City</v>
      </c>
      <c r="AA169" s="13">
        <f t="shared" ca="1" si="69"/>
        <v>1</v>
      </c>
      <c r="AB169" s="723" t="str">
        <f ca="1">IF(AA169&gt;0,(Y97+AH97)&amp;Sprache!$E$90&amp;(X97+AG97),"")</f>
        <v>47:39</v>
      </c>
      <c r="AC169" s="2"/>
      <c r="AD169" s="141"/>
      <c r="AI169" s="655" t="str">
        <f ca="1">IF(AA97&gt;0,AF97&amp;Sprache!$E$90&amp;AE97,"")</f>
        <v>1:1</v>
      </c>
    </row>
    <row r="170" spans="25:35" x14ac:dyDescent="0.2">
      <c r="Y170" s="66" t="s">
        <v>49</v>
      </c>
      <c r="Z170" s="34" t="str">
        <f t="shared" ca="1" si="70"/>
        <v>1. FC NürnbergFSV Rauen</v>
      </c>
      <c r="AA170" s="13">
        <f t="shared" ca="1" si="69"/>
        <v>1</v>
      </c>
      <c r="AB170" s="723" t="str">
        <f ca="1">IF(AA170&gt;0,(Y98+AH98)&amp;Sprache!$E$90&amp;(X98+AG98),"")</f>
        <v>34:50</v>
      </c>
      <c r="AC170" s="2"/>
      <c r="AD170" s="141"/>
      <c r="AI170" s="655" t="str">
        <f ca="1">IF(AA98&gt;0,AF98&amp;Sprache!$E$90&amp;AE98,"")</f>
        <v>0:2</v>
      </c>
    </row>
    <row r="171" spans="25:35" x14ac:dyDescent="0.2">
      <c r="Y171" s="66" t="s">
        <v>50</v>
      </c>
      <c r="Z171" s="34" t="str">
        <f t="shared" ca="1" si="70"/>
        <v>SV OberredenburgRB Leipzig</v>
      </c>
      <c r="AA171" s="13">
        <f t="shared" ca="1" si="69"/>
        <v>1</v>
      </c>
      <c r="AB171" s="723" t="str">
        <f ca="1">IF(AA171&gt;0,(Y99+AH99)&amp;Sprache!$E$90&amp;(X99+AG99),"")</f>
        <v>36:50</v>
      </c>
      <c r="AC171" s="2"/>
      <c r="AD171" s="141"/>
      <c r="AI171" s="655" t="str">
        <f ca="1">IF(AA99&gt;0,AF99&amp;Sprache!$E$90&amp;AE99,"")</f>
        <v>0:2</v>
      </c>
    </row>
    <row r="172" spans="25:35" x14ac:dyDescent="0.2">
      <c r="Y172" s="66" t="s">
        <v>58</v>
      </c>
      <c r="Z172" s="34" t="str">
        <f t="shared" ca="1" si="70"/>
        <v>FC Barcelona1. FC Riedwald</v>
      </c>
      <c r="AA172" s="13">
        <f t="shared" ca="1" si="69"/>
        <v>1</v>
      </c>
      <c r="AB172" s="723" t="str">
        <f ca="1">IF(AA172&gt;0,(Y100+AH100)&amp;Sprache!$E$90&amp;(X100+AG100),"")</f>
        <v>35:50</v>
      </c>
      <c r="AC172" s="2"/>
      <c r="AD172" s="141"/>
      <c r="AI172" s="655" t="str">
        <f ca="1">IF(AA100&gt;0,AF100&amp;Sprache!$E$90&amp;AE100,"")</f>
        <v>0:2</v>
      </c>
    </row>
    <row r="173" spans="25:35" x14ac:dyDescent="0.2">
      <c r="Y173" s="66" t="s">
        <v>59</v>
      </c>
      <c r="Z173" s="34" t="str">
        <f t="shared" ca="1" si="70"/>
        <v>Inter MailandMainz 05</v>
      </c>
      <c r="AA173" s="13">
        <f t="shared" ca="1" si="69"/>
        <v>1</v>
      </c>
      <c r="AB173" s="723" t="str">
        <f ca="1">IF(AA173&gt;0,(Y101+AH101)&amp;Sprache!$E$90&amp;(X101+AG101),"")</f>
        <v>33:50</v>
      </c>
      <c r="AC173" s="2"/>
      <c r="AD173" s="141"/>
      <c r="AI173" s="655" t="str">
        <f ca="1">IF(AA101&gt;0,AF101&amp;Sprache!$E$90&amp;AE101,"")</f>
        <v>0:2</v>
      </c>
    </row>
    <row r="174" spans="25:35" x14ac:dyDescent="0.2">
      <c r="Y174" s="66" t="s">
        <v>60</v>
      </c>
      <c r="Z174" s="34" t="str">
        <f t="shared" ca="1" si="70"/>
        <v>Real MadridKickers Rodendorf</v>
      </c>
      <c r="AA174" s="13">
        <f t="shared" ca="1" si="69"/>
        <v>1</v>
      </c>
      <c r="AB174" s="723" t="str">
        <f ca="1">IF(AA174&gt;0,(Y102+AH102)&amp;Sprache!$E$90&amp;(X102+AG102),"")</f>
        <v>45:38</v>
      </c>
      <c r="AC174" s="2"/>
      <c r="AD174" s="141"/>
      <c r="AI174" s="655" t="str">
        <f ca="1">IF(AA102&gt;0,AF102&amp;Sprache!$E$90&amp;AE102,"")</f>
        <v>1:1</v>
      </c>
    </row>
    <row r="175" spans="25:35" x14ac:dyDescent="0.2">
      <c r="Y175" s="66" t="s">
        <v>61</v>
      </c>
      <c r="Z175" s="34" t="str">
        <f t="shared" ca="1" si="70"/>
        <v>Paris St. GermainTSG Saalberg eV</v>
      </c>
      <c r="AA175" s="13">
        <f t="shared" ca="1" si="69"/>
        <v>1</v>
      </c>
      <c r="AB175" s="723" t="str">
        <f ca="1">IF(AA175&gt;0,(Y103+AH103)&amp;Sprache!$E$90&amp;(X103+AG103),"")</f>
        <v>46:43</v>
      </c>
      <c r="AC175" s="2"/>
      <c r="AD175" s="141"/>
      <c r="AI175" s="655" t="str">
        <f ca="1">IF(AA103&gt;0,AF103&amp;Sprache!$E$90&amp;AE103,"")</f>
        <v>1:1</v>
      </c>
    </row>
    <row r="176" spans="25:35" x14ac:dyDescent="0.2">
      <c r="Y176" s="66" t="s">
        <v>62</v>
      </c>
      <c r="Z176" s="34" t="str">
        <f t="shared" ca="1" si="70"/>
        <v/>
      </c>
      <c r="AA176" s="13">
        <f t="shared" ca="1" si="69"/>
        <v>0</v>
      </c>
      <c r="AB176" s="723" t="str">
        <f ca="1">IF(AA176&gt;0,(Y104+AH104)&amp;Sprache!$E$90&amp;(X104+AG104),"")</f>
        <v/>
      </c>
      <c r="AC176" s="2"/>
      <c r="AD176" s="141"/>
      <c r="AI176" s="655" t="str">
        <f ca="1">IF(AA104&gt;0,AF104&amp;Sprache!$E$90&amp;AE104,"")</f>
        <v/>
      </c>
    </row>
    <row r="177" spans="25:35" x14ac:dyDescent="0.2">
      <c r="Y177" s="66" t="s">
        <v>63</v>
      </c>
      <c r="Z177" s="34" t="str">
        <f t="shared" ca="1" si="70"/>
        <v/>
      </c>
      <c r="AA177" s="13">
        <f t="shared" ca="1" si="69"/>
        <v>0</v>
      </c>
      <c r="AB177" s="723" t="str">
        <f ca="1">IF(AA177&gt;0,(Y105+AH105)&amp;Sprache!$E$90&amp;(X105+AG105),"")</f>
        <v/>
      </c>
      <c r="AC177" s="2"/>
      <c r="AD177" s="141"/>
      <c r="AI177" s="655" t="str">
        <f ca="1">IF(AA105&gt;0,AF105&amp;Sprache!$E$90&amp;AE105,"")</f>
        <v/>
      </c>
    </row>
    <row r="178" spans="25:35" x14ac:dyDescent="0.2">
      <c r="Y178" s="66" t="s">
        <v>64</v>
      </c>
      <c r="Z178" s="34" t="str">
        <f t="shared" ca="1" si="70"/>
        <v/>
      </c>
      <c r="AA178" s="13">
        <f t="shared" ca="1" si="69"/>
        <v>0</v>
      </c>
      <c r="AB178" s="723" t="str">
        <f ca="1">IF(AA178&gt;0,(Y106+AH106)&amp;Sprache!$E$90&amp;(X106+AG106),"")</f>
        <v/>
      </c>
      <c r="AC178" s="2"/>
      <c r="AD178" s="141"/>
      <c r="AI178" s="655" t="str">
        <f ca="1">IF(AA106&gt;0,AF106&amp;Sprache!$E$90&amp;AE106,"")</f>
        <v/>
      </c>
    </row>
    <row r="179" spans="25:35" x14ac:dyDescent="0.2">
      <c r="Y179" s="66" t="s">
        <v>65</v>
      </c>
      <c r="Z179" s="34" t="str">
        <f t="shared" ca="1" si="70"/>
        <v/>
      </c>
      <c r="AA179" s="13">
        <f t="shared" ca="1" si="69"/>
        <v>0</v>
      </c>
      <c r="AB179" s="723" t="str">
        <f ca="1">IF(AA179&gt;0,(Y107+AH107)&amp;Sprache!$E$90&amp;(X107+AG107),"")</f>
        <v/>
      </c>
      <c r="AC179" s="2"/>
      <c r="AD179" s="141"/>
      <c r="AI179" s="655" t="str">
        <f ca="1">IF(AA107&gt;0,AF107&amp;Sprache!$E$90&amp;AE107,"")</f>
        <v/>
      </c>
    </row>
    <row r="180" spans="25:35" x14ac:dyDescent="0.2">
      <c r="Y180" s="66" t="s">
        <v>66</v>
      </c>
      <c r="Z180" s="34" t="str">
        <f t="shared" ca="1" si="70"/>
        <v/>
      </c>
      <c r="AA180" s="13">
        <f t="shared" ca="1" si="69"/>
        <v>0</v>
      </c>
      <c r="AB180" s="723" t="str">
        <f ca="1">IF(AA180&gt;0,(Y108+AH108)&amp;Sprache!$E$90&amp;(X108+AG108),"")</f>
        <v/>
      </c>
      <c r="AC180" s="2"/>
      <c r="AD180" s="141"/>
      <c r="AI180" s="655" t="str">
        <f ca="1">IF(AA108&gt;0,AF108&amp;Sprache!$E$90&amp;AE108,"")</f>
        <v/>
      </c>
    </row>
    <row r="181" spans="25:35" x14ac:dyDescent="0.2">
      <c r="Y181" s="66" t="s">
        <v>67</v>
      </c>
      <c r="Z181" s="34" t="str">
        <f t="shared" ca="1" si="70"/>
        <v/>
      </c>
      <c r="AA181" s="13">
        <f t="shared" ca="1" si="69"/>
        <v>0</v>
      </c>
      <c r="AB181" s="723" t="str">
        <f ca="1">IF(AA181&gt;0,(Y109+AH109)&amp;Sprache!$E$90&amp;(X109+AG109),"")</f>
        <v/>
      </c>
      <c r="AC181" s="2"/>
      <c r="AD181" s="141"/>
      <c r="AI181" s="655" t="str">
        <f ca="1">IF(AA109&gt;0,AF109&amp;Sprache!$E$90&amp;AE109,"")</f>
        <v/>
      </c>
    </row>
    <row r="182" spans="25:35" x14ac:dyDescent="0.2">
      <c r="Y182" s="66" t="s">
        <v>68</v>
      </c>
      <c r="Z182" s="34" t="str">
        <f t="shared" ca="1" si="70"/>
        <v/>
      </c>
      <c r="AA182" s="13">
        <f t="shared" ca="1" si="69"/>
        <v>0</v>
      </c>
      <c r="AB182" s="723" t="str">
        <f ca="1">IF(AA182&gt;0,(Y110+AH110)&amp;Sprache!$E$90&amp;(X110+AG110),"")</f>
        <v/>
      </c>
      <c r="AC182" s="2"/>
      <c r="AD182" s="141"/>
      <c r="AI182" s="655" t="str">
        <f ca="1">IF(AA110&gt;0,AF110&amp;Sprache!$E$90&amp;AE110,"")</f>
        <v/>
      </c>
    </row>
    <row r="183" spans="25:35" x14ac:dyDescent="0.2">
      <c r="Y183" s="66" t="s">
        <v>69</v>
      </c>
      <c r="Z183" s="34" t="str">
        <f t="shared" ca="1" si="70"/>
        <v/>
      </c>
      <c r="AA183" s="13">
        <f t="shared" ca="1" si="69"/>
        <v>0</v>
      </c>
      <c r="AB183" s="723" t="str">
        <f ca="1">IF(AA183&gt;0,(Y111+AH111)&amp;Sprache!$E$90&amp;(X111+AG111),"")</f>
        <v/>
      </c>
      <c r="AC183" s="2"/>
      <c r="AD183" s="141"/>
      <c r="AI183" s="655" t="str">
        <f ca="1">IF(AA111&gt;0,AF111&amp;Sprache!$E$90&amp;AE111,"")</f>
        <v/>
      </c>
    </row>
    <row r="184" spans="25:35" x14ac:dyDescent="0.2">
      <c r="Y184" s="66" t="s">
        <v>70</v>
      </c>
      <c r="Z184" s="34" t="str">
        <f t="shared" ca="1" si="70"/>
        <v/>
      </c>
      <c r="AA184" s="13">
        <f t="shared" ca="1" si="69"/>
        <v>0</v>
      </c>
      <c r="AB184" s="723" t="str">
        <f ca="1">IF(AA184&gt;0,(Y112+AH112)&amp;Sprache!$E$90&amp;(X112+AG112),"")</f>
        <v/>
      </c>
      <c r="AC184" s="2"/>
      <c r="AD184" s="141"/>
      <c r="AI184" s="655" t="str">
        <f ca="1">IF(AA112&gt;0,AF112&amp;Sprache!$E$90&amp;AE112,"")</f>
        <v/>
      </c>
    </row>
    <row r="185" spans="25:35" x14ac:dyDescent="0.2">
      <c r="Y185" s="66" t="s">
        <v>71</v>
      </c>
      <c r="Z185" s="34" t="str">
        <f t="shared" ca="1" si="70"/>
        <v/>
      </c>
      <c r="AA185" s="13">
        <f t="shared" ca="1" si="69"/>
        <v>0</v>
      </c>
      <c r="AB185" s="723" t="str">
        <f ca="1">IF(AA185&gt;0,(Y113+AH113)&amp;Sprache!$E$90&amp;(X113+AG113),"")</f>
        <v/>
      </c>
      <c r="AC185" s="2"/>
      <c r="AD185" s="141"/>
      <c r="AI185" s="655" t="str">
        <f ca="1">IF(AA113&gt;0,AF113&amp;Sprache!$E$90&amp;AE113,"")</f>
        <v/>
      </c>
    </row>
    <row r="186" spans="25:35" x14ac:dyDescent="0.2">
      <c r="Y186" s="66" t="s">
        <v>72</v>
      </c>
      <c r="Z186" s="34" t="str">
        <f t="shared" ca="1" si="70"/>
        <v/>
      </c>
      <c r="AA186" s="13">
        <f t="shared" ca="1" si="69"/>
        <v>0</v>
      </c>
      <c r="AB186" s="723" t="str">
        <f ca="1">IF(AA186&gt;0,(Y114+AH114)&amp;Sprache!$E$90&amp;(X114+AG114),"")</f>
        <v/>
      </c>
      <c r="AC186" s="2"/>
      <c r="AD186" s="141"/>
      <c r="AI186" s="655" t="str">
        <f ca="1">IF(AA114&gt;0,AF114&amp;Sprache!$E$90&amp;AE114,"")</f>
        <v/>
      </c>
    </row>
    <row r="187" spans="25:35" x14ac:dyDescent="0.2">
      <c r="Y187" s="66" t="s">
        <v>73</v>
      </c>
      <c r="Z187" s="34" t="str">
        <f t="shared" ca="1" si="70"/>
        <v/>
      </c>
      <c r="AA187" s="13">
        <f t="shared" ca="1" si="69"/>
        <v>0</v>
      </c>
      <c r="AB187" s="723" t="str">
        <f ca="1">IF(AA187&gt;0,(Y115+AH115)&amp;Sprache!$E$90&amp;(X115+AG115),"")</f>
        <v/>
      </c>
      <c r="AC187" s="2"/>
      <c r="AD187" s="141"/>
      <c r="AI187" s="655" t="str">
        <f ca="1">IF(AA115&gt;0,AF115&amp;Sprache!$E$90&amp;AE115,"")</f>
        <v/>
      </c>
    </row>
    <row r="188" spans="25:35" x14ac:dyDescent="0.2">
      <c r="Y188" s="66" t="s">
        <v>74</v>
      </c>
      <c r="Z188" s="34" t="str">
        <f t="shared" ca="1" si="70"/>
        <v/>
      </c>
      <c r="AA188" s="13">
        <f t="shared" ca="1" si="69"/>
        <v>0</v>
      </c>
      <c r="AB188" s="723" t="str">
        <f ca="1">IF(AA188&gt;0,(Y116+AH116)&amp;Sprache!$E$90&amp;(X116+AG116),"")</f>
        <v/>
      </c>
      <c r="AC188" s="2"/>
      <c r="AD188" s="141"/>
      <c r="AI188" s="655" t="str">
        <f ca="1">IF(AA116&gt;0,AF116&amp;Sprache!$E$90&amp;AE116,"")</f>
        <v/>
      </c>
    </row>
    <row r="189" spans="25:35" x14ac:dyDescent="0.2">
      <c r="Y189" s="66" t="s">
        <v>75</v>
      </c>
      <c r="Z189" s="34" t="str">
        <f t="shared" ca="1" si="70"/>
        <v/>
      </c>
      <c r="AA189" s="13">
        <f t="shared" ca="1" si="69"/>
        <v>0</v>
      </c>
      <c r="AB189" s="723" t="str">
        <f ca="1">IF(AA189&gt;0,(Y117+AH117)&amp;Sprache!$E$90&amp;(X117+AG117),"")</f>
        <v/>
      </c>
      <c r="AC189" s="2"/>
      <c r="AD189" s="141"/>
      <c r="AI189" s="655" t="str">
        <f ca="1">IF(AA117&gt;0,AF117&amp;Sprache!$E$90&amp;AE117,"")</f>
        <v/>
      </c>
    </row>
    <row r="190" spans="25:35" x14ac:dyDescent="0.2">
      <c r="Y190" s="66" t="s">
        <v>76</v>
      </c>
      <c r="Z190" s="34" t="str">
        <f t="shared" ca="1" si="70"/>
        <v/>
      </c>
      <c r="AA190" s="13">
        <f t="shared" ca="1" si="69"/>
        <v>0</v>
      </c>
      <c r="AB190" s="723" t="str">
        <f ca="1">IF(AA190&gt;0,(Y118+AH118)&amp;Sprache!$E$90&amp;(X118+AG118),"")</f>
        <v/>
      </c>
      <c r="AC190" s="2"/>
      <c r="AD190" s="141"/>
      <c r="AI190" s="655" t="str">
        <f ca="1">IF(AA118&gt;0,AF118&amp;Sprache!$E$90&amp;AE118,"")</f>
        <v/>
      </c>
    </row>
    <row r="191" spans="25:35" x14ac:dyDescent="0.2">
      <c r="Y191" s="66" t="s">
        <v>77</v>
      </c>
      <c r="Z191" s="34" t="str">
        <f t="shared" ca="1" si="70"/>
        <v/>
      </c>
      <c r="AA191" s="13">
        <f t="shared" ca="1" si="69"/>
        <v>0</v>
      </c>
      <c r="AB191" s="723" t="str">
        <f ca="1">IF(AA191&gt;0,(Y119+AH119)&amp;Sprache!$E$90&amp;(X119+AG119),"")</f>
        <v/>
      </c>
      <c r="AC191" s="2"/>
      <c r="AD191" s="141"/>
      <c r="AI191" s="655" t="str">
        <f ca="1">IF(AA119&gt;0,AF119&amp;Sprache!$E$90&amp;AE119,"")</f>
        <v/>
      </c>
    </row>
    <row r="192" spans="25:35" x14ac:dyDescent="0.2">
      <c r="Y192" s="66" t="s">
        <v>78</v>
      </c>
      <c r="Z192" s="34" t="str">
        <f t="shared" ca="1" si="70"/>
        <v/>
      </c>
      <c r="AA192" s="13">
        <f t="shared" ca="1" si="69"/>
        <v>0</v>
      </c>
      <c r="AB192" s="723" t="str">
        <f ca="1">IF(AA192&gt;0,(Y120+AH120)&amp;Sprache!$E$90&amp;(X120+AG120),"")</f>
        <v/>
      </c>
      <c r="AC192" s="2"/>
      <c r="AD192" s="141"/>
      <c r="AI192" s="655" t="str">
        <f ca="1">IF(AA120&gt;0,AF120&amp;Sprache!$E$90&amp;AE120,"")</f>
        <v/>
      </c>
    </row>
    <row r="193" spans="25:35" x14ac:dyDescent="0.2">
      <c r="Y193" s="66" t="s">
        <v>79</v>
      </c>
      <c r="Z193" s="34" t="str">
        <f t="shared" ca="1" si="70"/>
        <v/>
      </c>
      <c r="AA193" s="13">
        <f t="shared" ca="1" si="69"/>
        <v>0</v>
      </c>
      <c r="AB193" s="723" t="str">
        <f ca="1">IF(AA193&gt;0,(Y121+AH121)&amp;Sprache!$E$90&amp;(X121+AG121),"")</f>
        <v/>
      </c>
      <c r="AC193" s="2"/>
      <c r="AD193" s="141"/>
      <c r="AI193" s="655" t="str">
        <f ca="1">IF(AA121&gt;0,AF121&amp;Sprache!$E$90&amp;AE121,"")</f>
        <v/>
      </c>
    </row>
    <row r="194" spans="25:35" x14ac:dyDescent="0.2">
      <c r="Y194" s="66" t="s">
        <v>80</v>
      </c>
      <c r="Z194" s="34" t="str">
        <f t="shared" ca="1" si="70"/>
        <v/>
      </c>
      <c r="AA194" s="13">
        <f t="shared" ca="1" si="69"/>
        <v>0</v>
      </c>
      <c r="AB194" s="723" t="str">
        <f ca="1">IF(AA194&gt;0,(Y122+AH122)&amp;Sprache!$E$90&amp;(X122+AG122),"")</f>
        <v/>
      </c>
      <c r="AC194" s="2"/>
      <c r="AD194" s="141"/>
      <c r="AI194" s="655" t="str">
        <f ca="1">IF(AA122&gt;0,AF122&amp;Sprache!$E$90&amp;AE122,"")</f>
        <v/>
      </c>
    </row>
    <row r="195" spans="25:35" ht="12.75" thickBot="1" x14ac:dyDescent="0.25">
      <c r="Y195" s="66" t="s">
        <v>81</v>
      </c>
      <c r="Z195" s="34" t="str">
        <f t="shared" ca="1" si="70"/>
        <v/>
      </c>
      <c r="AA195" s="13">
        <f t="shared" ca="1" si="69"/>
        <v>0</v>
      </c>
      <c r="AB195" s="723" t="str">
        <f ca="1">IF(AA195&gt;0,(Y123+AH123)&amp;Sprache!$E$90&amp;(X123+AG123),"")</f>
        <v/>
      </c>
      <c r="AC195" s="2"/>
      <c r="AD195" s="141"/>
      <c r="AI195" s="655" t="str">
        <f ca="1">IF(AA123&gt;0,AF123&amp;Sprache!$E$90&amp;AE123,"")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23" t="str">
        <f>""</f>
        <v/>
      </c>
      <c r="AC197" s="2"/>
      <c r="AD197" s="141"/>
      <c r="AI197" s="656"/>
    </row>
    <row r="198" spans="25:35" x14ac:dyDescent="0.2">
      <c r="Y198" s="66" t="s">
        <v>84</v>
      </c>
      <c r="Z198" s="34" t="str">
        <f>""</f>
        <v/>
      </c>
      <c r="AA198" s="13">
        <v>0</v>
      </c>
      <c r="AB198" s="723" t="str">
        <f>""</f>
        <v/>
      </c>
      <c r="AC198" s="2"/>
      <c r="AD198" s="141"/>
      <c r="AI198" s="656"/>
    </row>
    <row r="199" spans="25:35" x14ac:dyDescent="0.2">
      <c r="Y199" s="66" t="s">
        <v>85</v>
      </c>
      <c r="Z199" s="34" t="str">
        <f>""</f>
        <v/>
      </c>
      <c r="AA199" s="13">
        <v>0</v>
      </c>
      <c r="AB199" s="723" t="str">
        <f>""</f>
        <v/>
      </c>
      <c r="AC199" s="2"/>
      <c r="AD199" s="141"/>
      <c r="AI199" s="656"/>
    </row>
    <row r="200" spans="25:35" x14ac:dyDescent="0.2">
      <c r="Y200" s="66" t="s">
        <v>86</v>
      </c>
      <c r="Z200" s="34" t="str">
        <f>""</f>
        <v/>
      </c>
      <c r="AA200" s="13">
        <v>0</v>
      </c>
      <c r="AB200" s="723" t="str">
        <f>""</f>
        <v/>
      </c>
      <c r="AC200" s="2"/>
      <c r="AD200" s="141"/>
      <c r="AI200" s="656"/>
    </row>
    <row r="201" spans="25:35" x14ac:dyDescent="0.2">
      <c r="Y201" s="66" t="s">
        <v>87</v>
      </c>
      <c r="Z201" s="34" t="str">
        <f>""</f>
        <v/>
      </c>
      <c r="AA201" s="13">
        <v>0</v>
      </c>
      <c r="AB201" s="723" t="str">
        <f>""</f>
        <v/>
      </c>
      <c r="AC201" s="2"/>
      <c r="AD201" s="141"/>
      <c r="AI201" s="656"/>
    </row>
    <row r="202" spans="25:35" x14ac:dyDescent="0.2">
      <c r="Y202" s="66" t="s">
        <v>88</v>
      </c>
      <c r="Z202" s="34" t="str">
        <f>""</f>
        <v/>
      </c>
      <c r="AA202" s="13">
        <v>0</v>
      </c>
      <c r="AB202" s="723" t="str">
        <f>""</f>
        <v/>
      </c>
      <c r="AC202" s="2"/>
      <c r="AD202" s="141"/>
      <c r="AE202" s="658"/>
      <c r="AF202" s="659"/>
      <c r="AG202" s="659"/>
      <c r="AH202" s="660"/>
      <c r="AI202" s="656"/>
    </row>
    <row r="203" spans="25:35" x14ac:dyDescent="0.2">
      <c r="Y203" s="66" t="s">
        <v>89</v>
      </c>
      <c r="Z203" s="34" t="str">
        <f>""</f>
        <v/>
      </c>
      <c r="AA203" s="13">
        <v>0</v>
      </c>
      <c r="AB203" s="723" t="str">
        <f>""</f>
        <v/>
      </c>
      <c r="AC203" s="2"/>
      <c r="AD203" s="141"/>
      <c r="AE203" s="658"/>
      <c r="AF203" s="659"/>
      <c r="AG203" s="659"/>
      <c r="AH203" s="660"/>
      <c r="AI203" s="656"/>
    </row>
    <row r="204" spans="25:35" x14ac:dyDescent="0.2">
      <c r="Y204" s="66" t="s">
        <v>90</v>
      </c>
      <c r="Z204" s="34" t="str">
        <f>""</f>
        <v/>
      </c>
      <c r="AA204" s="13">
        <v>0</v>
      </c>
      <c r="AB204" s="723" t="str">
        <f>""</f>
        <v/>
      </c>
      <c r="AC204" s="2"/>
      <c r="AD204" s="141"/>
      <c r="AE204" s="658"/>
      <c r="AF204" s="659"/>
      <c r="AG204" s="659"/>
      <c r="AH204" s="660"/>
      <c r="AI204" s="656"/>
    </row>
    <row r="205" spans="25:35" x14ac:dyDescent="0.2">
      <c r="Y205" s="66" t="s">
        <v>91</v>
      </c>
      <c r="Z205" s="34" t="str">
        <f>""</f>
        <v/>
      </c>
      <c r="AA205" s="13">
        <v>0</v>
      </c>
      <c r="AB205" s="723" t="str">
        <f>""</f>
        <v/>
      </c>
      <c r="AC205" s="2"/>
      <c r="AD205" s="141"/>
      <c r="AE205" s="658"/>
      <c r="AF205" s="659"/>
      <c r="AG205" s="659"/>
      <c r="AH205" s="660"/>
      <c r="AI205" s="656"/>
    </row>
    <row r="206" spans="25:35" x14ac:dyDescent="0.2">
      <c r="Y206" s="66" t="s">
        <v>92</v>
      </c>
      <c r="Z206" s="34" t="str">
        <f>""</f>
        <v/>
      </c>
      <c r="AA206" s="13">
        <v>0</v>
      </c>
      <c r="AB206" s="723" t="str">
        <f>""</f>
        <v/>
      </c>
      <c r="AC206" s="2"/>
      <c r="AD206" s="141"/>
      <c r="AE206" s="658"/>
      <c r="AF206" s="659"/>
      <c r="AG206" s="659"/>
      <c r="AH206" s="660"/>
      <c r="AI206" s="656"/>
    </row>
    <row r="207" spans="25:35" ht="12.75" thickBot="1" x14ac:dyDescent="0.25">
      <c r="Y207" s="67" t="s">
        <v>93</v>
      </c>
      <c r="Z207" s="36" t="str">
        <f>""</f>
        <v/>
      </c>
      <c r="AA207" s="37">
        <v>0</v>
      </c>
      <c r="AB207" s="142" t="str">
        <f>""</f>
        <v/>
      </c>
      <c r="AC207" s="144"/>
      <c r="AD207" s="143"/>
      <c r="AE207" s="661"/>
      <c r="AF207" s="662"/>
      <c r="AG207" s="662"/>
      <c r="AH207" s="663"/>
      <c r="AI207" s="657"/>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388</v>
      </c>
      <c r="K2" s="1"/>
      <c r="L2" s="1"/>
      <c r="M2" s="1"/>
      <c r="N2" s="13"/>
      <c r="O2" s="1"/>
      <c r="P2" s="1"/>
      <c r="Q2" s="1"/>
      <c r="W2" s="2" t="s">
        <v>148</v>
      </c>
    </row>
    <row r="3" spans="1:45" s="2" customFormat="1" ht="13.5" customHeight="1" thickBot="1" x14ac:dyDescent="0.25">
      <c r="B3" s="1"/>
      <c r="C3" s="13"/>
      <c r="D3" s="13"/>
      <c r="E3" s="13"/>
      <c r="F3" s="13"/>
      <c r="G3" s="69" t="s">
        <v>106</v>
      </c>
      <c r="H3" s="69" t="s">
        <v>107</v>
      </c>
      <c r="I3" s="651" t="s">
        <v>108</v>
      </c>
      <c r="J3" s="27" t="s">
        <v>109</v>
      </c>
      <c r="K3" s="651" t="s">
        <v>102</v>
      </c>
      <c r="L3" s="27" t="s">
        <v>103</v>
      </c>
      <c r="M3" s="27" t="s">
        <v>104</v>
      </c>
      <c r="N3" s="27" t="s">
        <v>105</v>
      </c>
      <c r="O3" s="109">
        <f t="shared" ref="O3:V3" ca="1" si="0">IF(9-COUNTIF(O$17:O$25,"")&gt;1,O$16,99999)</f>
        <v>99999</v>
      </c>
      <c r="P3" s="110">
        <f t="shared" ca="1" si="0"/>
        <v>99999</v>
      </c>
      <c r="Q3" s="110">
        <f t="shared" ca="1" si="0"/>
        <v>3</v>
      </c>
      <c r="R3" s="110">
        <f t="shared" ca="1" si="0"/>
        <v>99999</v>
      </c>
      <c r="S3" s="110">
        <f t="shared" ca="1" si="0"/>
        <v>99999</v>
      </c>
      <c r="T3" s="110">
        <f t="shared" ca="1" si="0"/>
        <v>99999</v>
      </c>
      <c r="U3" s="110">
        <f t="shared" ca="1" si="0"/>
        <v>99999</v>
      </c>
      <c r="V3" s="110">
        <f t="shared" ca="1" si="0"/>
        <v>99999</v>
      </c>
      <c r="W3" s="995">
        <f ca="1">IF($O$4&lt;10,$O$4,0)</f>
        <v>3</v>
      </c>
      <c r="X3" s="996"/>
      <c r="Y3" s="996"/>
      <c r="Z3" s="996"/>
      <c r="AA3" s="996"/>
      <c r="AB3" s="995">
        <f ca="1">IF($P$4&lt;10,$P$4,0)</f>
        <v>0</v>
      </c>
      <c r="AC3" s="996"/>
      <c r="AD3" s="996"/>
      <c r="AE3" s="996"/>
      <c r="AF3" s="996"/>
      <c r="AG3" s="995">
        <f ca="1">IF($Q$4&lt;10,$Q$4,0)</f>
        <v>0</v>
      </c>
      <c r="AH3" s="996"/>
      <c r="AI3" s="996"/>
      <c r="AJ3" s="996"/>
      <c r="AK3" s="996"/>
      <c r="AL3" s="995">
        <f ca="1">IF($R$4&lt;10,$R$4,0)</f>
        <v>0</v>
      </c>
      <c r="AM3" s="996"/>
      <c r="AN3" s="996"/>
      <c r="AO3" s="996"/>
      <c r="AP3" s="996"/>
      <c r="AR3" s="27" t="s">
        <v>423</v>
      </c>
      <c r="AS3" s="27" t="s">
        <v>424</v>
      </c>
    </row>
    <row r="4" spans="1:45" s="2" customFormat="1" ht="12.75" thickTop="1" x14ac:dyDescent="0.2">
      <c r="A4" s="251"/>
      <c r="B4" s="1">
        <v>1</v>
      </c>
      <c r="C4" s="21">
        <f ca="1">RANK(D4,$D$4:$D$12,1)</f>
        <v>1</v>
      </c>
      <c r="D4" s="13">
        <f ca="1">E4+ROW()/1000+(F4="")*10</f>
        <v>1.004</v>
      </c>
      <c r="E4" s="263">
        <f ca="1">IF($AI$15,RANK(AH17,AH$17:AH$25,1),RANK(X17,X$17:X$25,1))</f>
        <v>1</v>
      </c>
      <c r="F4" s="1" t="str">
        <f>$Q64</f>
        <v>Kickers Rodendorf</v>
      </c>
      <c r="G4" s="1">
        <f ca="1">SUMIFS($X$64:$X$135,$V$64:$V$135,$F4)+SUMIFS($Y$64:$Y$135,$W$64:$W$135,$F4)+SUMIFS($AG$64:$AG$135,$V$64:$V$135,$F4)+SUMIFS($AH$64:$AH$135,$W$64:$W$135,$F4)</f>
        <v>177</v>
      </c>
      <c r="H4" s="1">
        <f ca="1">SUMIFS($Y$64:$Y$135,$V$64:$V$135,$F4)+SUMIFS($X$64:$X$135,$W$64:$W$135,$F4)+SUMIFS($AH$64:$AH$135,$V$64:$V$135,$F4)+SUMIFS($AG$64:$AG$135,$W$64:$W$135,$F4)</f>
        <v>160</v>
      </c>
      <c r="I4" s="736">
        <f ca="1">IF(Einstellungen!$G$7,G4-H4,IF(H4=0,IF(G4=0,0,Einstellungen!$F$7),G4/H4))</f>
        <v>17</v>
      </c>
      <c r="J4" s="1">
        <f ca="1">SUMPRODUCT(($V$64:$V$135=F4)*$AE$64:$AE$135*$AA$64:$AA$135)+SUMPRODUCT(($W$64:$W$135=F4)*$AF$64:$AF$135*$AA$64:$AA$135)</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8">
        <f ca="1">SMALL($O$3:$V$3,1)</f>
        <v>3</v>
      </c>
      <c r="P4" s="118">
        <f ca="1">SMALL($O$3:$V$3,2)</f>
        <v>99999</v>
      </c>
      <c r="Q4" s="118">
        <f ca="1">SMALL($O$3:$V$3,3)</f>
        <v>99999</v>
      </c>
      <c r="R4" s="118">
        <f ca="1">SMALL($O$3:$V$3,4)</f>
        <v>99999</v>
      </c>
      <c r="V4" s="1"/>
      <c r="W4" s="629" t="str">
        <f ca="1">IFERROR(INDEX($O$17:$V$25,ROW(A1),$W$3),"")</f>
        <v/>
      </c>
      <c r="X4" s="630" t="str">
        <f ca="1">INDEX($W$4:$W$12,MATCH(ROW(A1),$AA$4:$AA$12,0))</f>
        <v>Borussia Dortmund</v>
      </c>
      <c r="Y4" s="631">
        <f ca="1">IF($W4="",99999,VLOOKUP($W4,$C$17:$Z$25,24,0))</f>
        <v>99999</v>
      </c>
      <c r="Z4" s="632">
        <f ca="1">RANK(Y4,Y$4:Y$12,1)+INDEX($E$4:$E$12,MATCH(W4,$F$4:$F$12,0))/100+ROW()/10000</f>
        <v>3.0604</v>
      </c>
      <c r="AA4" s="633">
        <f ca="1">RANK($Z4,$Z$4:$Z$12,1)</f>
        <v>3</v>
      </c>
      <c r="AB4" s="634" t="str">
        <f t="shared" ref="AB4:AB12" ca="1" si="1">IFERROR(INDEX($O$17:$V$25,ROW(A1),$AB$3),"")</f>
        <v/>
      </c>
      <c r="AC4" s="635" t="str">
        <f ca="1">INDEX($AB$4:$AB$12,MATCH(ROW(A1),$AF$4:$AF$12,0))</f>
        <v/>
      </c>
      <c r="AD4" s="636">
        <f ca="1">IF($AB4="",99999,VLOOKUP($AB4,$C$17:$Z$25,24,0))</f>
        <v>99999</v>
      </c>
      <c r="AE4" s="632">
        <f ca="1">RANK(AD4,AD$4:AD$12,1)+INDEX($E$4:$E$12,MATCH(AB4,$F$4:$F$12,0))/100+ROW()/10000</f>
        <v>1.0604</v>
      </c>
      <c r="AF4" s="632">
        <f ca="1">RANK($AE4,$AE$4:$AE$12,1)</f>
        <v>1</v>
      </c>
      <c r="AG4" s="634" t="str">
        <f t="shared" ref="AG4:AG12" ca="1" si="2">IFERROR(INDEX($O$17:$V$25,ROW(C1),$AG$3),"")</f>
        <v/>
      </c>
      <c r="AH4" s="635" t="str">
        <f ca="1">INDEX($AG$4:$AG$12,MATCH(ROW(A1),$AK$4:$AK$12,0))</f>
        <v/>
      </c>
      <c r="AI4" s="636">
        <f ca="1">IF($AG4="",99999,VLOOKUP($AG4,$C$17:$Z$25,24,0))</f>
        <v>99999</v>
      </c>
      <c r="AJ4" s="632">
        <f ca="1">RANK(AI4,AI$4:AI$12,1)+INDEX($E$4:$E$12,MATCH(AG4,$F$4:$F$12,0))/100+ROW()/10000</f>
        <v>1.0604</v>
      </c>
      <c r="AK4" s="637">
        <f ca="1">RANK($AJ4,$AJ$4:$AJ$12,1)</f>
        <v>1</v>
      </c>
      <c r="AL4" s="635" t="str">
        <f t="shared" ref="AL4:AL12" ca="1" si="3">IFERROR(INDEX($O$17:$V$25,ROW(E1),$AL$3),"")</f>
        <v/>
      </c>
      <c r="AM4" s="635" t="str">
        <f ca="1">INDEX($AL$4:$AL$12,MATCH(ROW(A1),$AP$4:$AP$12,0))</f>
        <v/>
      </c>
      <c r="AN4" s="636">
        <f ca="1">IF($AL4="",99999,VLOOKUP($AL4,$C$17:$Z$25,24,0))</f>
        <v>99999</v>
      </c>
      <c r="AO4" s="632">
        <f ca="1">RANK(AN4,AN$4:AN$12,1)+INDEX($E$4:$E$12,MATCH(AL4,$F$4:$F$12,0))/100+ROW()/10000</f>
        <v>1.0604</v>
      </c>
      <c r="AP4" s="637">
        <f ca="1">RANK($AO4,$AO$4:$AO$12,1)</f>
        <v>1</v>
      </c>
      <c r="AR4" s="1">
        <f ca="1">IF(Einstellungen!$G$7,$I4,ROUND($I4,Einstellungen!$H$7))</f>
        <v>17</v>
      </c>
      <c r="AS4" s="1">
        <f ca="1">SUMPRODUCT(($W$64:$W$135=F4)*$AE$64:$AE$135*$AA$64:$AA$135)+SUMPRODUCT(($V$64:$V$135=F4)*$AF$64:$AF$135*$AA$64:$AA$135)</f>
        <v>3</v>
      </c>
    </row>
    <row r="5" spans="1:45" s="2" customFormat="1" x14ac:dyDescent="0.2">
      <c r="A5" s="251"/>
      <c r="B5" s="1">
        <v>2</v>
      </c>
      <c r="C5" s="22">
        <f t="shared" ref="C5:C12" ca="1" si="4">RANK(D5,$D$4:$D$12,1)</f>
        <v>5</v>
      </c>
      <c r="D5" s="13">
        <f t="shared" ref="D5:D12" ca="1" si="5">E5+ROW()/1000+(F5="")*10</f>
        <v>5.0049999999999999</v>
      </c>
      <c r="E5" s="263">
        <f t="shared" ref="E5:E12" ca="1" si="6">IF($AI$15,RANK(AH18,AH$17:AH$25,1),RANK(X18,X$17:X$25,1))</f>
        <v>5</v>
      </c>
      <c r="F5" s="1" t="str">
        <f t="shared" ref="F5:F12" si="7">$Q65</f>
        <v>Real Madrid</v>
      </c>
      <c r="G5" s="1">
        <f t="shared" ref="G5:G12" ca="1" si="8">SUMIFS($X$64:$X$135,$V$64:$V$135,$F5)+SUMIFS($Y$64:$Y$135,$W$64:$W$135,$F5)+SUMIFS($AG$64:$AG$135,$V$64:$V$135,$F5)+SUMIFS($AH$64:$AH$135,$W$64:$W$135,$F5)</f>
        <v>173</v>
      </c>
      <c r="H5" s="1">
        <f t="shared" ref="H5:H12" ca="1" si="9">SUMIFS($Y$64:$Y$135,$V$64:$V$135,$F5)+SUMIFS($X$64:$X$135,$W$64:$W$135,$F5)+SUMIFS($AH$64:$AH$135,$V$64:$V$135,$F5)+SUMIFS($AG$64:$AG$135,$W$64:$W$135,$F5)</f>
        <v>177</v>
      </c>
      <c r="I5" s="736">
        <f ca="1">IF(Einstellungen!$G$7,G5-H5,IF(H5=0,IF(G5=0,0,Einstellungen!$F$7),G5/H5))</f>
        <v>-4</v>
      </c>
      <c r="J5" s="1">
        <f t="shared" ref="J5:J12" ca="1" si="10">SUMPRODUCT(($V$64:$V$135=F5)*$AE$64:$AE$135*$AA$64:$AA$135)+SUMPRODUCT(($W$64:$W$135=F5)*$AF$64:$AF$135*$AA$64:$AA$135)</f>
        <v>3</v>
      </c>
      <c r="K5" s="1">
        <f t="shared" ref="K5:K12" ca="1" si="11">SUMPRODUCT(($V$64:$V$135=F5)*$AA$64:$AA$135)+SUMPRODUCT(($W$64:$W$135=F5)*$AA$64:$AA$135)</f>
        <v>4</v>
      </c>
      <c r="L5" s="1">
        <f t="shared" ref="L5:L12" ca="1" si="12">K5-M5-N5</f>
        <v>0</v>
      </c>
      <c r="M5" s="1">
        <f t="shared" ref="M5:M12" ca="1" si="13">SUMPRODUCT(($V$64:$W$135=F5)*($AE$64:$AE$135=$AF$64:$AF$135)*$AA$64:$AA$135)</f>
        <v>3</v>
      </c>
      <c r="N5" s="1">
        <f t="shared" ref="N5:N12" ca="1" si="14">SUMPRODUCT(($V$64:$V$135=F5)*($AE$64:$AE$135&lt;$AF$64:$AF$135)*$AA$64:$AA$135)+SUMPRODUCT(($W$64:$W$135=F5)*($AE$64:$AE$135&gt;$AF$64:$AF$135)*$AA$64:$AA$135)</f>
        <v>1</v>
      </c>
      <c r="O5" s="24"/>
      <c r="P5" s="25"/>
      <c r="V5" s="1"/>
      <c r="W5" s="634" t="str">
        <f t="shared" ref="W5:W12" ca="1" si="15">IFERROR(INDEX($O$17:$V$25,ROW(A2),$W$3),"")</f>
        <v/>
      </c>
      <c r="X5" s="635" t="str">
        <f t="shared" ref="X5:X12" ca="1" si="16">INDEX($W$4:$W$12,MATCH(ROW(A2),$AA$4:$AA$12,0))</f>
        <v>1. FC Nürnberg</v>
      </c>
      <c r="Y5" s="632">
        <f t="shared" ref="Y5:Y12" ca="1" si="17">IF($W5="",99999,VLOOKUP($W5,$C$17:$Z$25,24,0))</f>
        <v>99999</v>
      </c>
      <c r="Z5" s="632">
        <f ca="1">RANK(Y5,Y$4:Y$12,1)+INDEX($E$4:$E$12,MATCH(W5,$F$4:$F$12,0))/100+ROW()/10000</f>
        <v>3.0605000000000002</v>
      </c>
      <c r="AA5" s="637">
        <f t="shared" ref="AA5:AA12" ca="1" si="18">RANK($Z5,$Z$4:$Z$12,1)</f>
        <v>4</v>
      </c>
      <c r="AB5" s="634" t="str">
        <f t="shared" ca="1" si="1"/>
        <v/>
      </c>
      <c r="AC5" s="635" t="str">
        <f t="shared" ref="AC5:AC12" ca="1" si="19">INDEX($AB$4:$AB$12,MATCH(ROW(A2),$AF$4:$AF$12,0))</f>
        <v/>
      </c>
      <c r="AD5" s="636">
        <f t="shared" ref="AD5:AD12" ca="1" si="20">IF($AB5="",99999,VLOOKUP($AB5,$C$17:$Z$25,24,0))</f>
        <v>99999</v>
      </c>
      <c r="AE5" s="632">
        <f ca="1">RANK(AD5,AD$4:AD$12,1)+INDEX($E$4:$E$12,MATCH(AB5,$F$4:$F$12,0))/100+ROW()/10000</f>
        <v>1.0605</v>
      </c>
      <c r="AF5" s="632">
        <f t="shared" ref="AF5:AF12" ca="1" si="21">RANK($AE5,$AE$4:$AE$12,1)</f>
        <v>2</v>
      </c>
      <c r="AG5" s="634" t="str">
        <f t="shared" ca="1" si="2"/>
        <v/>
      </c>
      <c r="AH5" s="635" t="str">
        <f t="shared" ref="AH5:AH12" ca="1" si="22">INDEX($AG$4:$AG$12,MATCH(ROW(A2),$AK$4:$AK$12,0))</f>
        <v/>
      </c>
      <c r="AI5" s="636">
        <f t="shared" ref="AI5:AI12" ca="1" si="23">IF($AG5="",99999,VLOOKUP($AG5,$C$17:$Z$25,24,0))</f>
        <v>99999</v>
      </c>
      <c r="AJ5" s="632">
        <f ca="1">RANK(AI5,AI$4:AI$12,1)+INDEX($E$4:$E$12,MATCH(AG5,$F$4:$F$12,0))/100+ROW()/10000</f>
        <v>1.0605</v>
      </c>
      <c r="AK5" s="637">
        <f t="shared" ref="AK5:AK12" ca="1" si="24">RANK($AJ5,$AJ$4:$AJ$12,1)</f>
        <v>2</v>
      </c>
      <c r="AL5" s="635" t="str">
        <f t="shared" ca="1" si="3"/>
        <v/>
      </c>
      <c r="AM5" s="635" t="str">
        <f t="shared" ref="AM5:AM12" ca="1" si="25">INDEX($AL$4:$AL$12,MATCH(ROW(A2),$AP$4:$AP$12,0))</f>
        <v/>
      </c>
      <c r="AN5" s="636">
        <f t="shared" ref="AN5:AN12" ca="1" si="26">IF($AL5="",99999,VLOOKUP($AL5,$C$17:$Z$25,24,0))</f>
        <v>99999</v>
      </c>
      <c r="AO5" s="632">
        <f ca="1">RANK(AN5,AN$4:AN$12,1)+INDEX($E$4:$E$12,MATCH(AL5,$F$4:$F$12,0))/100+ROW()/10000</f>
        <v>1.0605</v>
      </c>
      <c r="AP5" s="637">
        <f t="shared" ref="AP5:AP12" ca="1" si="27">RANK($AO5,$AO$4:$AO$12,1)</f>
        <v>2</v>
      </c>
      <c r="AR5" s="1">
        <f ca="1">IF(Einstellungen!$G$7,$I5,ROUND($I5,Einstellungen!$H$7))</f>
        <v>-4</v>
      </c>
      <c r="AS5" s="1">
        <f t="shared" ref="AS5:AS12" ca="1" si="28">SUMPRODUCT(($W$64:$W$135=F5)*$AE$64:$AE$135*$AA$64:$AA$135)+SUMPRODUCT(($V$64:$V$135=F5)*$AF$64:$AF$135*$AA$64:$AA$135)</f>
        <v>5</v>
      </c>
    </row>
    <row r="6" spans="1:45" s="2" customFormat="1" x14ac:dyDescent="0.2">
      <c r="A6" s="251"/>
      <c r="B6" s="1">
        <v>3</v>
      </c>
      <c r="C6" s="22">
        <f t="shared" ca="1" si="4"/>
        <v>3</v>
      </c>
      <c r="D6" s="13">
        <f t="shared" ca="1" si="5"/>
        <v>3.0059999999999998</v>
      </c>
      <c r="E6" s="263">
        <f t="shared" ca="1" si="6"/>
        <v>3</v>
      </c>
      <c r="F6" s="1" t="str">
        <f t="shared" si="7"/>
        <v>Borussia Dortmund</v>
      </c>
      <c r="G6" s="1">
        <f t="shared" ca="1" si="8"/>
        <v>174</v>
      </c>
      <c r="H6" s="1">
        <f t="shared" ca="1" si="9"/>
        <v>179</v>
      </c>
      <c r="I6" s="736">
        <f ca="1">IF(Einstellungen!$G$7,G6-H6,IF(H6=0,IF(G6=0,0,Einstellungen!$F$7),G6/H6))</f>
        <v>-5</v>
      </c>
      <c r="J6" s="1">
        <f t="shared" ca="1" si="10"/>
        <v>4</v>
      </c>
      <c r="K6" s="1">
        <f t="shared" ca="1" si="11"/>
        <v>4</v>
      </c>
      <c r="L6" s="1">
        <f t="shared" ca="1" si="12"/>
        <v>0</v>
      </c>
      <c r="M6" s="1">
        <f t="shared" ca="1" si="13"/>
        <v>4</v>
      </c>
      <c r="N6" s="1">
        <f t="shared" ca="1" si="14"/>
        <v>0</v>
      </c>
      <c r="O6" s="24"/>
      <c r="P6" s="25"/>
      <c r="V6" s="1"/>
      <c r="W6" s="634" t="str">
        <f t="shared" ca="1" si="15"/>
        <v>Borussia Dortmund</v>
      </c>
      <c r="X6" s="635" t="str">
        <f t="shared" ca="1" si="16"/>
        <v/>
      </c>
      <c r="Y6" s="632">
        <f t="shared" ca="1" si="17"/>
        <v>1.9</v>
      </c>
      <c r="Z6" s="632">
        <f ca="1">RANK(Y6,Y$4:Y$12,1)+INDEX($E$4:$E$12,MATCH(W6,$F$4:$F$12,0))/100+ROW()/10000</f>
        <v>1.0306</v>
      </c>
      <c r="AA6" s="637">
        <f t="shared" ca="1" si="18"/>
        <v>1</v>
      </c>
      <c r="AB6" s="634" t="str">
        <f t="shared" ca="1" si="1"/>
        <v/>
      </c>
      <c r="AC6" s="635" t="str">
        <f t="shared" ca="1" si="19"/>
        <v/>
      </c>
      <c r="AD6" s="636">
        <f t="shared" ca="1" si="20"/>
        <v>99999</v>
      </c>
      <c r="AE6" s="632">
        <f ca="1">RANK(AD6,AD$4:AD$12,1)+INDEX($E$4:$E$12,MATCH(AB6,$F$4:$F$12,0))/100+ROW()/10000</f>
        <v>1.0606</v>
      </c>
      <c r="AF6" s="632">
        <f t="shared" ca="1" si="21"/>
        <v>3</v>
      </c>
      <c r="AG6" s="634" t="str">
        <f t="shared" ca="1" si="2"/>
        <v/>
      </c>
      <c r="AH6" s="635" t="str">
        <f t="shared" ca="1" si="22"/>
        <v/>
      </c>
      <c r="AI6" s="636">
        <f t="shared" ca="1" si="23"/>
        <v>99999</v>
      </c>
      <c r="AJ6" s="632">
        <f ca="1">RANK(AI6,AI$4:AI$12,1)+INDEX($E$4:$E$12,MATCH(AG6,$F$4:$F$12,0))/100+ROW()/10000</f>
        <v>1.0606</v>
      </c>
      <c r="AK6" s="637">
        <f t="shared" ca="1" si="24"/>
        <v>3</v>
      </c>
      <c r="AL6" s="635" t="str">
        <f t="shared" ca="1" si="3"/>
        <v/>
      </c>
      <c r="AM6" s="635" t="str">
        <f t="shared" ca="1" si="25"/>
        <v/>
      </c>
      <c r="AN6" s="636">
        <f t="shared" ca="1" si="26"/>
        <v>99999</v>
      </c>
      <c r="AO6" s="632">
        <f ca="1">RANK(AN6,AN$4:AN$12,1)+INDEX($E$4:$E$12,MATCH(AL6,$F$4:$F$12,0))/100+ROW()/10000</f>
        <v>1.0606</v>
      </c>
      <c r="AP6" s="637">
        <f t="shared" ca="1" si="27"/>
        <v>3</v>
      </c>
      <c r="AR6" s="1">
        <f ca="1">IF(Einstellungen!$G$7,$I6,ROUND($I6,Einstellungen!$H$7))</f>
        <v>-5</v>
      </c>
      <c r="AS6" s="1">
        <f t="shared" ca="1" si="28"/>
        <v>4</v>
      </c>
    </row>
    <row r="7" spans="1:45" s="2" customFormat="1" x14ac:dyDescent="0.2">
      <c r="A7" s="251"/>
      <c r="B7" s="1">
        <v>4</v>
      </c>
      <c r="C7" s="22">
        <f t="shared" ca="1" si="4"/>
        <v>2</v>
      </c>
      <c r="D7" s="13">
        <f t="shared" ca="1" si="5"/>
        <v>2.0070000000000001</v>
      </c>
      <c r="E7" s="263">
        <f t="shared" ca="1" si="6"/>
        <v>2</v>
      </c>
      <c r="F7" s="1" t="str">
        <f t="shared" si="7"/>
        <v>FSV Rauen</v>
      </c>
      <c r="G7" s="1">
        <f t="shared" ca="1" si="8"/>
        <v>168</v>
      </c>
      <c r="H7" s="1">
        <f t="shared" ca="1" si="9"/>
        <v>171</v>
      </c>
      <c r="I7" s="736">
        <f ca="1">IF(Einstellungen!$G$7,G7-H7,IF(H7=0,IF(G7=0,0,Einstellungen!$F$7),G7/H7))</f>
        <v>-3</v>
      </c>
      <c r="J7" s="1">
        <f t="shared" ca="1" si="10"/>
        <v>4</v>
      </c>
      <c r="K7" s="1">
        <f t="shared" ca="1" si="11"/>
        <v>4</v>
      </c>
      <c r="L7" s="1">
        <f t="shared" ca="1" si="12"/>
        <v>1</v>
      </c>
      <c r="M7" s="1">
        <f t="shared" ca="1" si="13"/>
        <v>2</v>
      </c>
      <c r="N7" s="1">
        <f t="shared" ca="1" si="14"/>
        <v>1</v>
      </c>
      <c r="O7" s="24"/>
      <c r="P7" s="25"/>
      <c r="V7" s="1"/>
      <c r="W7" s="634" t="str">
        <f t="shared" ca="1" si="15"/>
        <v/>
      </c>
      <c r="X7" s="635" t="str">
        <f t="shared" ca="1" si="16"/>
        <v/>
      </c>
      <c r="Y7" s="632">
        <f t="shared" ca="1" si="17"/>
        <v>99999</v>
      </c>
      <c r="Z7" s="632">
        <f ca="1">RANK(Y7,Y$4:Y$12,1)+INDEX($E$4:$E$12,MATCH(W7,$F$4:$F$12,0))/100+ROW()/10000</f>
        <v>3.0607000000000002</v>
      </c>
      <c r="AA7" s="637">
        <f t="shared" ca="1" si="18"/>
        <v>5</v>
      </c>
      <c r="AB7" s="634" t="str">
        <f t="shared" ca="1" si="1"/>
        <v/>
      </c>
      <c r="AC7" s="635" t="str">
        <f t="shared" ca="1" si="19"/>
        <v/>
      </c>
      <c r="AD7" s="636">
        <f t="shared" ca="1" si="20"/>
        <v>99999</v>
      </c>
      <c r="AE7" s="632">
        <f ca="1">RANK(AD7,AD$4:AD$12,1)+INDEX($E$4:$E$12,MATCH(AB7,$F$4:$F$12,0))/100+ROW()/10000</f>
        <v>1.0607</v>
      </c>
      <c r="AF7" s="632">
        <f t="shared" ca="1" si="21"/>
        <v>4</v>
      </c>
      <c r="AG7" s="634" t="str">
        <f t="shared" ca="1" si="2"/>
        <v/>
      </c>
      <c r="AH7" s="635" t="str">
        <f t="shared" ca="1" si="22"/>
        <v/>
      </c>
      <c r="AI7" s="636">
        <f t="shared" ca="1" si="23"/>
        <v>99999</v>
      </c>
      <c r="AJ7" s="632">
        <f ca="1">RANK(AI7,AI$4:AI$12,1)+INDEX($E$4:$E$12,MATCH(AG7,$F$4:$F$12,0))/100+ROW()/10000</f>
        <v>1.0607</v>
      </c>
      <c r="AK7" s="637">
        <f t="shared" ca="1" si="24"/>
        <v>4</v>
      </c>
      <c r="AL7" s="635" t="str">
        <f t="shared" ca="1" si="3"/>
        <v/>
      </c>
      <c r="AM7" s="635" t="str">
        <f t="shared" ca="1" si="25"/>
        <v/>
      </c>
      <c r="AN7" s="636">
        <f t="shared" ca="1" si="26"/>
        <v>99999</v>
      </c>
      <c r="AO7" s="632">
        <f ca="1">RANK(AN7,AN$4:AN$12,1)+INDEX($E$4:$E$12,MATCH(AL7,$F$4:$F$12,0))/100+ROW()/10000</f>
        <v>1.0607</v>
      </c>
      <c r="AP7" s="637">
        <f t="shared" ca="1" si="27"/>
        <v>4</v>
      </c>
      <c r="AR7" s="1">
        <f ca="1">IF(Einstellungen!$G$7,$I7,ROUND($I7,Einstellungen!$H$7))</f>
        <v>-3</v>
      </c>
      <c r="AS7" s="1">
        <f t="shared" ca="1" si="28"/>
        <v>4</v>
      </c>
    </row>
    <row r="8" spans="1:45" s="2" customFormat="1" x14ac:dyDescent="0.2">
      <c r="A8" s="251"/>
      <c r="B8" s="1">
        <v>5</v>
      </c>
      <c r="C8" s="22">
        <f t="shared" ca="1" si="4"/>
        <v>4</v>
      </c>
      <c r="D8" s="13">
        <f t="shared" ca="1" si="5"/>
        <v>4.008</v>
      </c>
      <c r="E8" s="263">
        <f t="shared" ca="1" si="6"/>
        <v>4</v>
      </c>
      <c r="F8" s="1" t="str">
        <f t="shared" si="7"/>
        <v>1. FC Nürnberg</v>
      </c>
      <c r="G8" s="1">
        <f t="shared" ca="1" si="8"/>
        <v>172</v>
      </c>
      <c r="H8" s="1">
        <f t="shared" ca="1" si="9"/>
        <v>177</v>
      </c>
      <c r="I8" s="736">
        <f ca="1">IF(Einstellungen!$G$7,G8-H8,IF(H8=0,IF(G8=0,0,Einstellungen!$F$7),G8/H8))</f>
        <v>-5</v>
      </c>
      <c r="J8" s="1">
        <f t="shared" ca="1" si="10"/>
        <v>4</v>
      </c>
      <c r="K8" s="1">
        <f t="shared" ca="1" si="11"/>
        <v>4</v>
      </c>
      <c r="L8" s="1">
        <f t="shared" ca="1" si="12"/>
        <v>1</v>
      </c>
      <c r="M8" s="1">
        <f t="shared" ca="1" si="13"/>
        <v>2</v>
      </c>
      <c r="N8" s="1">
        <f t="shared" ca="1" si="14"/>
        <v>1</v>
      </c>
      <c r="P8" s="25"/>
      <c r="W8" s="634" t="str">
        <f t="shared" ca="1" si="15"/>
        <v>1. FC Nürnberg</v>
      </c>
      <c r="X8" s="635" t="str">
        <f t="shared" ca="1" si="16"/>
        <v/>
      </c>
      <c r="Y8" s="632">
        <f t="shared" ca="1" si="17"/>
        <v>2.9</v>
      </c>
      <c r="Z8" s="632">
        <f t="shared" ref="Z8:Z12" ca="1" si="29">RANK(Y8,Y$4:Y$12,1)+INDEX($E$4:$E$12,MATCH(W8,$F$4:$F$12,0))/100+ROW()/10000</f>
        <v>2.0407999999999999</v>
      </c>
      <c r="AA8" s="637">
        <f t="shared" ca="1" si="18"/>
        <v>2</v>
      </c>
      <c r="AB8" s="634" t="str">
        <f t="shared" ca="1" si="1"/>
        <v/>
      </c>
      <c r="AC8" s="635" t="str">
        <f t="shared" ca="1" si="19"/>
        <v/>
      </c>
      <c r="AD8" s="636">
        <f t="shared" ca="1" si="20"/>
        <v>99999</v>
      </c>
      <c r="AE8" s="632">
        <f t="shared" ref="AE8:AE12" ca="1" si="30">RANK(AD8,AD$4:AD$12,1)+INDEX($E$4:$E$12,MATCH(AB8,$F$4:$F$12,0))/100+ROW()/10000</f>
        <v>1.0608</v>
      </c>
      <c r="AF8" s="632">
        <f t="shared" ca="1" si="21"/>
        <v>5</v>
      </c>
      <c r="AG8" s="634" t="str">
        <f t="shared" ca="1" si="2"/>
        <v/>
      </c>
      <c r="AH8" s="635" t="str">
        <f t="shared" ca="1" si="22"/>
        <v/>
      </c>
      <c r="AI8" s="636">
        <f t="shared" ca="1" si="23"/>
        <v>99999</v>
      </c>
      <c r="AJ8" s="632">
        <f t="shared" ref="AJ8:AJ12" ca="1" si="31">RANK(AI8,AI$4:AI$12,1)+INDEX($E$4:$E$12,MATCH(AG8,$F$4:$F$12,0))/100+ROW()/10000</f>
        <v>1.0608</v>
      </c>
      <c r="AK8" s="637">
        <f t="shared" ca="1" si="24"/>
        <v>5</v>
      </c>
      <c r="AL8" s="635" t="str">
        <f t="shared" ca="1" si="3"/>
        <v/>
      </c>
      <c r="AM8" s="635" t="str">
        <f t="shared" ca="1" si="25"/>
        <v/>
      </c>
      <c r="AN8" s="636">
        <f t="shared" ca="1" si="26"/>
        <v>99999</v>
      </c>
      <c r="AO8" s="632">
        <f t="shared" ref="AO8:AO12" ca="1" si="32">RANK(AN8,AN$4:AN$12,1)+INDEX($E$4:$E$12,MATCH(AL8,$F$4:$F$12,0))/100+ROW()/10000</f>
        <v>1.0608</v>
      </c>
      <c r="AP8" s="637">
        <f t="shared" ca="1" si="27"/>
        <v>5</v>
      </c>
      <c r="AR8" s="1">
        <f ca="1">IF(Einstellungen!$G$7,$I8,ROUND($I8,Einstellungen!$H$7))</f>
        <v>-5</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36">
        <f ca="1">IF(Einstellungen!$G$7,G9-H9,IF(H9=0,IF(G9=0,0,Einstellungen!$F$7),G9/H9))</f>
        <v>0</v>
      </c>
      <c r="J9" s="1">
        <f t="shared" ca="1" si="10"/>
        <v>0</v>
      </c>
      <c r="K9" s="1">
        <f t="shared" ca="1" si="11"/>
        <v>0</v>
      </c>
      <c r="L9" s="1">
        <f t="shared" ca="1" si="12"/>
        <v>0</v>
      </c>
      <c r="M9" s="1">
        <f t="shared" ca="1" si="13"/>
        <v>0</v>
      </c>
      <c r="N9" s="1">
        <f t="shared" ca="1" si="14"/>
        <v>0</v>
      </c>
      <c r="P9" s="25"/>
      <c r="W9" s="634" t="str">
        <f t="shared" ca="1" si="15"/>
        <v/>
      </c>
      <c r="X9" s="635" t="str">
        <f t="shared" ca="1" si="16"/>
        <v/>
      </c>
      <c r="Y9" s="632">
        <f t="shared" ca="1" si="17"/>
        <v>99999</v>
      </c>
      <c r="Z9" s="632">
        <f t="shared" ca="1" si="29"/>
        <v>3.0609000000000002</v>
      </c>
      <c r="AA9" s="637">
        <f t="shared" ca="1" si="18"/>
        <v>6</v>
      </c>
      <c r="AB9" s="634" t="str">
        <f t="shared" ca="1" si="1"/>
        <v/>
      </c>
      <c r="AC9" s="635" t="str">
        <f t="shared" ca="1" si="19"/>
        <v/>
      </c>
      <c r="AD9" s="636">
        <f t="shared" ca="1" si="20"/>
        <v>99999</v>
      </c>
      <c r="AE9" s="632">
        <f t="shared" ca="1" si="30"/>
        <v>1.0609</v>
      </c>
      <c r="AF9" s="632">
        <f t="shared" ca="1" si="21"/>
        <v>6</v>
      </c>
      <c r="AG9" s="634" t="str">
        <f t="shared" ca="1" si="2"/>
        <v/>
      </c>
      <c r="AH9" s="635" t="str">
        <f t="shared" ca="1" si="22"/>
        <v/>
      </c>
      <c r="AI9" s="636">
        <f t="shared" ca="1" si="23"/>
        <v>99999</v>
      </c>
      <c r="AJ9" s="632">
        <f t="shared" ca="1" si="31"/>
        <v>1.0609</v>
      </c>
      <c r="AK9" s="637">
        <f t="shared" ca="1" si="24"/>
        <v>6</v>
      </c>
      <c r="AL9" s="635" t="str">
        <f t="shared" ca="1" si="3"/>
        <v/>
      </c>
      <c r="AM9" s="635" t="str">
        <f t="shared" ca="1" si="25"/>
        <v/>
      </c>
      <c r="AN9" s="636">
        <f t="shared" ca="1" si="26"/>
        <v>99999</v>
      </c>
      <c r="AO9" s="632">
        <f t="shared" ca="1" si="32"/>
        <v>1.0609</v>
      </c>
      <c r="AP9" s="637">
        <f t="shared" ca="1" si="27"/>
        <v>6</v>
      </c>
      <c r="AR9" s="1">
        <f ca="1">IF(Einstellungen!$G$7,$I9,ROUND($I9,Einstellungen!$H$7))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36">
        <f ca="1">IF(Einstellungen!$G$7,G10-H10,IF(H10=0,IF(G10=0,0,Einstellungen!$F$7),G10/H10))</f>
        <v>0</v>
      </c>
      <c r="J10" s="1">
        <f t="shared" ca="1" si="10"/>
        <v>0</v>
      </c>
      <c r="K10" s="1">
        <f t="shared" ca="1" si="11"/>
        <v>0</v>
      </c>
      <c r="L10" s="1">
        <f t="shared" ca="1" si="12"/>
        <v>0</v>
      </c>
      <c r="M10" s="1">
        <f t="shared" ca="1" si="13"/>
        <v>0</v>
      </c>
      <c r="N10" s="1">
        <f t="shared" ca="1" si="14"/>
        <v>0</v>
      </c>
      <c r="P10" s="25"/>
      <c r="W10" s="634" t="str">
        <f t="shared" ca="1" si="15"/>
        <v/>
      </c>
      <c r="X10" s="635" t="str">
        <f t="shared" ca="1" si="16"/>
        <v/>
      </c>
      <c r="Y10" s="632">
        <f t="shared" ca="1" si="17"/>
        <v>99999</v>
      </c>
      <c r="Z10" s="632">
        <f t="shared" ca="1" si="29"/>
        <v>3.0609999999999999</v>
      </c>
      <c r="AA10" s="637">
        <f t="shared" ca="1" si="18"/>
        <v>7</v>
      </c>
      <c r="AB10" s="634" t="str">
        <f t="shared" ca="1" si="1"/>
        <v/>
      </c>
      <c r="AC10" s="635" t="str">
        <f t="shared" ca="1" si="19"/>
        <v/>
      </c>
      <c r="AD10" s="636">
        <f t="shared" ca="1" si="20"/>
        <v>99999</v>
      </c>
      <c r="AE10" s="632">
        <f t="shared" ca="1" si="30"/>
        <v>1.0609999999999999</v>
      </c>
      <c r="AF10" s="632">
        <f t="shared" ca="1" si="21"/>
        <v>7</v>
      </c>
      <c r="AG10" s="634" t="str">
        <f t="shared" ca="1" si="2"/>
        <v/>
      </c>
      <c r="AH10" s="635" t="str">
        <f t="shared" ca="1" si="22"/>
        <v/>
      </c>
      <c r="AI10" s="636">
        <f t="shared" ca="1" si="23"/>
        <v>99999</v>
      </c>
      <c r="AJ10" s="632">
        <f t="shared" ca="1" si="31"/>
        <v>1.0609999999999999</v>
      </c>
      <c r="AK10" s="637">
        <f t="shared" ca="1" si="24"/>
        <v>7</v>
      </c>
      <c r="AL10" s="635" t="str">
        <f t="shared" ca="1" si="3"/>
        <v/>
      </c>
      <c r="AM10" s="635" t="str">
        <f t="shared" ca="1" si="25"/>
        <v/>
      </c>
      <c r="AN10" s="636">
        <f t="shared" ca="1" si="26"/>
        <v>99999</v>
      </c>
      <c r="AO10" s="632">
        <f t="shared" ca="1" si="32"/>
        <v>1.0609999999999999</v>
      </c>
      <c r="AP10" s="637">
        <f t="shared" ca="1" si="27"/>
        <v>7</v>
      </c>
      <c r="AR10" s="1">
        <f ca="1">IF(Einstellungen!$G$7,$I10,ROUND($I10,Einstellungen!$H$7))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36">
        <f ca="1">IF(Einstellungen!$G$7,G11-H11,IF(H11=0,IF(G11=0,0,Einstellungen!$F$7),G11/H11))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34" t="str">
        <f t="shared" ca="1" si="15"/>
        <v/>
      </c>
      <c r="X11" s="635" t="str">
        <f t="shared" ca="1" si="16"/>
        <v/>
      </c>
      <c r="Y11" s="632">
        <f t="shared" ca="1" si="17"/>
        <v>99999</v>
      </c>
      <c r="Z11" s="632">
        <f t="shared" ca="1" si="29"/>
        <v>3.0611000000000002</v>
      </c>
      <c r="AA11" s="637">
        <f t="shared" ca="1" si="18"/>
        <v>8</v>
      </c>
      <c r="AB11" s="634" t="str">
        <f t="shared" ca="1" si="1"/>
        <v/>
      </c>
      <c r="AC11" s="635" t="str">
        <f t="shared" ca="1" si="19"/>
        <v/>
      </c>
      <c r="AD11" s="636">
        <f t="shared" ca="1" si="20"/>
        <v>99999</v>
      </c>
      <c r="AE11" s="632">
        <f t="shared" ca="1" si="30"/>
        <v>1.0611000000000002</v>
      </c>
      <c r="AF11" s="632">
        <f t="shared" ca="1" si="21"/>
        <v>8</v>
      </c>
      <c r="AG11" s="634" t="str">
        <f t="shared" ca="1" si="2"/>
        <v/>
      </c>
      <c r="AH11" s="635" t="str">
        <f t="shared" ca="1" si="22"/>
        <v/>
      </c>
      <c r="AI11" s="636">
        <f t="shared" ca="1" si="23"/>
        <v>99999</v>
      </c>
      <c r="AJ11" s="632">
        <f t="shared" ca="1" si="31"/>
        <v>1.0611000000000002</v>
      </c>
      <c r="AK11" s="637">
        <f t="shared" ca="1" si="24"/>
        <v>8</v>
      </c>
      <c r="AL11" s="635" t="str">
        <f t="shared" ca="1" si="3"/>
        <v/>
      </c>
      <c r="AM11" s="635" t="str">
        <f t="shared" ca="1" si="25"/>
        <v/>
      </c>
      <c r="AN11" s="636">
        <f t="shared" ca="1" si="26"/>
        <v>99999</v>
      </c>
      <c r="AO11" s="632">
        <f t="shared" ca="1" si="32"/>
        <v>1.0611000000000002</v>
      </c>
      <c r="AP11" s="637">
        <f t="shared" ca="1" si="27"/>
        <v>8</v>
      </c>
      <c r="AR11" s="1">
        <f ca="1">IF(Einstellungen!$G$7,$I11,ROUND($I11,Einstellungen!$H$7))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36">
        <f ca="1">IF(Einstellungen!$G$7,G12-H12,IF(H12=0,IF(G12=0,0,Einstellungen!$F$7),G12/H12))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38" t="str">
        <f t="shared" ca="1" si="15"/>
        <v/>
      </c>
      <c r="X12" s="639" t="str">
        <f t="shared" ca="1" si="16"/>
        <v/>
      </c>
      <c r="Y12" s="640">
        <f t="shared" ca="1" si="17"/>
        <v>99999</v>
      </c>
      <c r="Z12" s="640">
        <f t="shared" ca="1" si="29"/>
        <v>3.0611999999999999</v>
      </c>
      <c r="AA12" s="641">
        <f t="shared" ca="1" si="18"/>
        <v>9</v>
      </c>
      <c r="AB12" s="638" t="str">
        <f t="shared" ca="1" si="1"/>
        <v/>
      </c>
      <c r="AC12" s="639" t="str">
        <f t="shared" ca="1" si="19"/>
        <v/>
      </c>
      <c r="AD12" s="642">
        <f t="shared" ca="1" si="20"/>
        <v>99999</v>
      </c>
      <c r="AE12" s="640">
        <f t="shared" ca="1" si="30"/>
        <v>1.0612000000000001</v>
      </c>
      <c r="AF12" s="640">
        <f t="shared" ca="1" si="21"/>
        <v>9</v>
      </c>
      <c r="AG12" s="638" t="str">
        <f t="shared" ca="1" si="2"/>
        <v/>
      </c>
      <c r="AH12" s="639" t="str">
        <f t="shared" ca="1" si="22"/>
        <v/>
      </c>
      <c r="AI12" s="642">
        <f t="shared" ca="1" si="23"/>
        <v>99999</v>
      </c>
      <c r="AJ12" s="640">
        <f t="shared" ca="1" si="31"/>
        <v>1.0612000000000001</v>
      </c>
      <c r="AK12" s="641">
        <f t="shared" ca="1" si="24"/>
        <v>9</v>
      </c>
      <c r="AL12" s="639" t="str">
        <f t="shared" ca="1" si="3"/>
        <v/>
      </c>
      <c r="AM12" s="639" t="str">
        <f t="shared" ca="1" si="25"/>
        <v/>
      </c>
      <c r="AN12" s="642">
        <f t="shared" ca="1" si="26"/>
        <v>99999</v>
      </c>
      <c r="AO12" s="640">
        <f t="shared" ca="1" si="32"/>
        <v>1.0612000000000001</v>
      </c>
      <c r="AP12" s="641">
        <f t="shared" ca="1" si="27"/>
        <v>9</v>
      </c>
      <c r="AR12" s="1">
        <f ca="1">IF(Einstellungen!$G$7,$I12,ROUND($I12,Einstellungen!$H$7))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B14" s="13"/>
      <c r="C14" s="4"/>
      <c r="D14" s="13"/>
      <c r="E14" s="4"/>
      <c r="F14" s="13"/>
      <c r="O14" s="1"/>
      <c r="P14" s="1"/>
      <c r="Q14" s="1"/>
      <c r="R14" s="1"/>
      <c r="S14" s="1"/>
      <c r="T14" s="1"/>
      <c r="U14" s="1"/>
      <c r="V14" s="1"/>
      <c r="W14" s="1"/>
      <c r="Y14" s="1"/>
      <c r="Z14" s="1"/>
    </row>
    <row r="15" spans="1:45" s="2" customFormat="1" x14ac:dyDescent="0.2">
      <c r="O15" s="12"/>
      <c r="AD15" s="997" t="s">
        <v>179</v>
      </c>
      <c r="AE15" s="998"/>
      <c r="AF15" s="998"/>
      <c r="AG15" s="998"/>
      <c r="AH15" s="999"/>
      <c r="AI15" s="2" t="b">
        <v>0</v>
      </c>
      <c r="AK15" s="251"/>
    </row>
    <row r="16" spans="1:45" s="2" customFormat="1" ht="15.75" thickBot="1" x14ac:dyDescent="0.25">
      <c r="B16" s="13" t="s">
        <v>5</v>
      </c>
      <c r="C16" s="26" t="s">
        <v>97</v>
      </c>
      <c r="D16" s="26" t="s">
        <v>102</v>
      </c>
      <c r="E16" s="26" t="s">
        <v>103</v>
      </c>
      <c r="F16" s="26" t="s">
        <v>104</v>
      </c>
      <c r="G16" s="26" t="s">
        <v>105</v>
      </c>
      <c r="H16" s="26" t="s">
        <v>106</v>
      </c>
      <c r="I16" s="26" t="s">
        <v>107</v>
      </c>
      <c r="J16" s="26" t="s">
        <v>108</v>
      </c>
      <c r="K16" s="26"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Kickers Rodendorf</v>
      </c>
      <c r="D17" s="1">
        <f t="shared" ref="D17:G25" ca="1" si="33">K4</f>
        <v>4</v>
      </c>
      <c r="E17" s="1">
        <f t="shared" ca="1" si="33"/>
        <v>1</v>
      </c>
      <c r="F17" s="1">
        <f t="shared" ca="1" si="33"/>
        <v>3</v>
      </c>
      <c r="G17" s="1">
        <f t="shared" ca="1" si="33"/>
        <v>0</v>
      </c>
      <c r="H17" s="1">
        <f t="shared" ref="H17:K25" ca="1" si="34">G4</f>
        <v>177</v>
      </c>
      <c r="I17" s="1">
        <f t="shared" ca="1" si="34"/>
        <v>160</v>
      </c>
      <c r="J17" s="13">
        <f t="shared" ca="1" si="34"/>
        <v>17</v>
      </c>
      <c r="K17" s="1">
        <f t="shared" ca="1" si="34"/>
        <v>5</v>
      </c>
      <c r="L17" s="29">
        <f ca="1">K17*$F$64+(J17+$H$65)*$F$65</f>
        <v>5517000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1.0308999999999999</v>
      </c>
      <c r="Y17" s="13">
        <f>Vorrunde!$AQ32</f>
        <v>0</v>
      </c>
      <c r="Z17" s="1">
        <f ca="1">RANK($W17,$W$17:$W$25)+(9-$Y17)/10</f>
        <v>3.9</v>
      </c>
      <c r="AA17" s="1">
        <f ca="1">SUM(E30:BP30)</f>
        <v>0</v>
      </c>
      <c r="AB17" s="1">
        <f ca="1">SUM(E41:BP41)</f>
        <v>0</v>
      </c>
      <c r="AC17" s="1"/>
      <c r="AD17" s="257">
        <f ca="1">RANK($K17,$K$17:$K$25)</f>
        <v>1</v>
      </c>
      <c r="AE17" s="29">
        <f ca="1">(J17+$H$65)*$F$65</f>
        <v>517000</v>
      </c>
      <c r="AF17" s="1">
        <f ca="1">RANK($AE17,$AE$17:$AE$25)</f>
        <v>1</v>
      </c>
      <c r="AG17" s="1">
        <f ca="1">RANK($W17,$W$17:$W$25)</f>
        <v>3</v>
      </c>
      <c r="AH17" s="259">
        <f ca="1">AD17+AG17/100+AF17/10000+(10-Y17)/1000000</f>
        <v>1.0301100000000001</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173</v>
      </c>
      <c r="I18" s="1">
        <f t="shared" ca="1" si="34"/>
        <v>177</v>
      </c>
      <c r="J18" s="13">
        <f t="shared" ca="1" si="34"/>
        <v>-4</v>
      </c>
      <c r="K18" s="1">
        <f t="shared" ca="1" si="34"/>
        <v>3</v>
      </c>
      <c r="L18" s="29">
        <f t="shared" ref="L18:L25" ca="1" si="44">K18*$F$64+(J18+$H$65)*$F$65</f>
        <v>3496000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5.0308999999999999</v>
      </c>
      <c r="Y18" s="13">
        <f>Vorrunde!$AQ33</f>
        <v>0</v>
      </c>
      <c r="Z18" s="1">
        <f t="shared" ref="Z18:Z25" ca="1" si="48">RANK($W18,$W$17:$W$25)+(9-$Y18)/10</f>
        <v>3.9</v>
      </c>
      <c r="AA18" s="1">
        <f t="shared" ref="AA18:AA25" ca="1" si="49">SUM(E31:BP31)</f>
        <v>0</v>
      </c>
      <c r="AB18" s="1">
        <f t="shared" ref="AB18:AB25" ca="1" si="50">SUM(E42:BP42)</f>
        <v>0</v>
      </c>
      <c r="AC18" s="1"/>
      <c r="AD18" s="257">
        <f t="shared" ref="AD18:AD25" ca="1" si="51">RANK($K18,$K$17:$K$25)</f>
        <v>5</v>
      </c>
      <c r="AE18" s="29">
        <f t="shared" ref="AE18:AE25" ca="1" si="52">(J18+$H$65)*$F$65</f>
        <v>496000</v>
      </c>
      <c r="AF18" s="1">
        <f t="shared" ref="AF18:AF25" ca="1" si="53">RANK($AE18,$AE$17:$AE$25)</f>
        <v>7</v>
      </c>
      <c r="AG18" s="1">
        <f t="shared" ref="AG18:AG25" ca="1" si="54">RANK($W18,$W$17:$W$25)</f>
        <v>3</v>
      </c>
      <c r="AH18" s="260">
        <f t="shared" ref="AH18:AH25" ca="1" si="55">AD18+AG18/100+AF18/10000+(10-Y18)/1000000</f>
        <v>5.03071</v>
      </c>
      <c r="AI18" s="1"/>
    </row>
    <row r="19" spans="2:80" s="2" customFormat="1" x14ac:dyDescent="0.2">
      <c r="C19" s="2" t="str">
        <f t="shared" si="43"/>
        <v>Borussia Dortmund</v>
      </c>
      <c r="D19" s="1">
        <f t="shared" ca="1" si="33"/>
        <v>4</v>
      </c>
      <c r="E19" s="1">
        <f t="shared" ca="1" si="33"/>
        <v>0</v>
      </c>
      <c r="F19" s="1">
        <f t="shared" ca="1" si="33"/>
        <v>4</v>
      </c>
      <c r="G19" s="1">
        <f t="shared" ca="1" si="33"/>
        <v>0</v>
      </c>
      <c r="H19" s="1">
        <f t="shared" ca="1" si="34"/>
        <v>174</v>
      </c>
      <c r="I19" s="1">
        <f t="shared" ca="1" si="34"/>
        <v>179</v>
      </c>
      <c r="J19" s="13">
        <f t="shared" ca="1" si="34"/>
        <v>-5</v>
      </c>
      <c r="K19" s="1">
        <f t="shared" ca="1" si="34"/>
        <v>4</v>
      </c>
      <c r="L19" s="29">
        <f t="shared" ca="1" si="44"/>
        <v>4495000</v>
      </c>
      <c r="M19" s="14">
        <f t="shared" ca="1" si="45"/>
        <v>2</v>
      </c>
      <c r="N19" s="14">
        <f t="array" aca="1" ref="N19" ca="1">IF($AI$15,SUM(($K$17:$K$25&gt;=K19)/COUNTIF($K$17:$K$25,$K$17:$K$25)),SUM(($L$17:$L$25&gt;=L19)/COUNTIF($L$17:$L$25,$L$17:$L$25)))</f>
        <v>3</v>
      </c>
      <c r="O19" s="6" t="str">
        <f t="shared" ca="1" si="35"/>
        <v/>
      </c>
      <c r="P19" s="4" t="str">
        <f t="shared" ca="1" si="36"/>
        <v/>
      </c>
      <c r="Q19" s="4" t="str">
        <f t="shared" ca="1" si="37"/>
        <v>Borussia Dortmund</v>
      </c>
      <c r="R19" s="4" t="str">
        <f t="shared" ca="1" si="38"/>
        <v/>
      </c>
      <c r="S19" s="4" t="str">
        <f t="shared" ca="1" si="39"/>
        <v/>
      </c>
      <c r="T19" s="4" t="str">
        <f t="shared" ca="1" si="40"/>
        <v/>
      </c>
      <c r="U19" s="4" t="str">
        <f t="shared" ca="1" si="41"/>
        <v/>
      </c>
      <c r="V19" s="55" t="str">
        <f t="shared" ca="1" si="42"/>
        <v/>
      </c>
      <c r="W19" s="62">
        <f t="shared" ca="1" si="46"/>
        <v>1501000</v>
      </c>
      <c r="X19" s="22">
        <f t="shared" ca="1" si="47"/>
        <v>3.0108999999999999</v>
      </c>
      <c r="Y19" s="13">
        <f>Vorrunde!$AQ34</f>
        <v>0</v>
      </c>
      <c r="Z19" s="1">
        <f t="shared" ca="1" si="48"/>
        <v>1.9</v>
      </c>
      <c r="AA19" s="1">
        <f t="shared" ca="1" si="49"/>
        <v>1</v>
      </c>
      <c r="AB19" s="1">
        <f t="shared" ca="1" si="50"/>
        <v>1</v>
      </c>
      <c r="AC19" s="1"/>
      <c r="AD19" s="257">
        <f t="shared" ca="1" si="51"/>
        <v>2</v>
      </c>
      <c r="AE19" s="29">
        <f t="shared" ca="1" si="52"/>
        <v>495000</v>
      </c>
      <c r="AF19" s="1">
        <f t="shared" ca="1" si="53"/>
        <v>8</v>
      </c>
      <c r="AG19" s="1">
        <f t="shared" ca="1" si="54"/>
        <v>1</v>
      </c>
      <c r="AH19" s="260">
        <f t="shared" ca="1" si="55"/>
        <v>2.0108099999999998</v>
      </c>
      <c r="AI19" s="1"/>
    </row>
    <row r="20" spans="2:80" s="2" customFormat="1" x14ac:dyDescent="0.2">
      <c r="C20" s="2" t="str">
        <f t="shared" si="43"/>
        <v>FSV Rauen</v>
      </c>
      <c r="D20" s="1">
        <f t="shared" ca="1" si="33"/>
        <v>4</v>
      </c>
      <c r="E20" s="1">
        <f t="shared" ca="1" si="33"/>
        <v>1</v>
      </c>
      <c r="F20" s="1">
        <f t="shared" ca="1" si="33"/>
        <v>2</v>
      </c>
      <c r="G20" s="1">
        <f t="shared" ca="1" si="33"/>
        <v>1</v>
      </c>
      <c r="H20" s="1">
        <f t="shared" ca="1" si="34"/>
        <v>168</v>
      </c>
      <c r="I20" s="1">
        <f t="shared" ca="1" si="34"/>
        <v>171</v>
      </c>
      <c r="J20" s="13">
        <f t="shared" ca="1" si="34"/>
        <v>-3</v>
      </c>
      <c r="K20" s="1">
        <f t="shared" ca="1" si="34"/>
        <v>4</v>
      </c>
      <c r="L20" s="29">
        <f t="shared" ca="1" si="44"/>
        <v>4497000</v>
      </c>
      <c r="M20" s="14">
        <f t="shared" ca="1" si="45"/>
        <v>1</v>
      </c>
      <c r="N20" s="14">
        <f t="array" aca="1" ref="N20" ca="1">IF($AI$15,SUM(($K$17:$K$25&gt;=K20)/COUNTIF($K$17:$K$25,$K$17:$K$25)),SUM(($L$17:$L$25&gt;=L20)/COUNTIF($L$17:$L$25,$L$17:$L$25)))</f>
        <v>2</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2.0308999999999999</v>
      </c>
      <c r="Y20" s="13">
        <f>Vorrunde!$AQ35</f>
        <v>0</v>
      </c>
      <c r="Z20" s="1">
        <f t="shared" ca="1" si="48"/>
        <v>3.9</v>
      </c>
      <c r="AA20" s="1">
        <f t="shared" ca="1" si="49"/>
        <v>0</v>
      </c>
      <c r="AB20" s="1">
        <f t="shared" ca="1" si="50"/>
        <v>0</v>
      </c>
      <c r="AC20" s="1"/>
      <c r="AD20" s="257">
        <f t="shared" ca="1" si="51"/>
        <v>2</v>
      </c>
      <c r="AE20" s="29">
        <f t="shared" ca="1" si="52"/>
        <v>497000</v>
      </c>
      <c r="AF20" s="1">
        <f t="shared" ca="1" si="53"/>
        <v>6</v>
      </c>
      <c r="AG20" s="1">
        <f t="shared" ca="1" si="54"/>
        <v>3</v>
      </c>
      <c r="AH20" s="260">
        <f t="shared" ca="1" si="55"/>
        <v>2.0306099999999998</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172</v>
      </c>
      <c r="I21" s="1">
        <f t="shared" ca="1" si="34"/>
        <v>177</v>
      </c>
      <c r="J21" s="13">
        <f t="shared" ca="1" si="34"/>
        <v>-5</v>
      </c>
      <c r="K21" s="1">
        <f t="shared" ca="1" si="34"/>
        <v>4</v>
      </c>
      <c r="L21" s="29">
        <f t="shared" ca="1" si="44"/>
        <v>4495000</v>
      </c>
      <c r="M21" s="14">
        <f t="shared" ca="1" si="45"/>
        <v>2</v>
      </c>
      <c r="N21" s="14">
        <f t="array" aca="1" ref="N21" ca="1">IF($AI$15,SUM(($K$17:$K$25&gt;=K21)/COUNTIF($K$17:$K$25,$K$17:$K$25)),SUM(($L$17:$L$25&gt;=L21)/COUNTIF($L$17:$L$25,$L$17:$L$25)))</f>
        <v>3</v>
      </c>
      <c r="O21" s="6" t="str">
        <f t="shared" ca="1" si="35"/>
        <v/>
      </c>
      <c r="P21" s="4" t="str">
        <f t="shared" ca="1" si="36"/>
        <v/>
      </c>
      <c r="Q21" s="4" t="str">
        <f t="shared" ca="1" si="37"/>
        <v>1. FC Nürnberg</v>
      </c>
      <c r="R21" s="4" t="str">
        <f t="shared" ca="1" si="38"/>
        <v/>
      </c>
      <c r="S21" s="4" t="str">
        <f t="shared" ca="1" si="39"/>
        <v/>
      </c>
      <c r="T21" s="4" t="str">
        <f t="shared" ca="1" si="40"/>
        <v/>
      </c>
      <c r="U21" s="4" t="str">
        <f t="shared" ca="1" si="41"/>
        <v/>
      </c>
      <c r="V21" s="55" t="str">
        <f t="shared" ca="1" si="42"/>
        <v/>
      </c>
      <c r="W21" s="62">
        <f t="shared" ca="1" si="46"/>
        <v>1499000</v>
      </c>
      <c r="X21" s="22">
        <f t="shared" ca="1" si="47"/>
        <v>3.0209000000000001</v>
      </c>
      <c r="Y21" s="13">
        <f>Vorrunde!$AQ36</f>
        <v>0</v>
      </c>
      <c r="Z21" s="1">
        <f t="shared" ca="1" si="48"/>
        <v>2.9</v>
      </c>
      <c r="AA21" s="1">
        <f t="shared" ca="1" si="49"/>
        <v>1</v>
      </c>
      <c r="AB21" s="1">
        <f t="shared" ca="1" si="50"/>
        <v>-1</v>
      </c>
      <c r="AC21" s="1"/>
      <c r="AD21" s="257">
        <f t="shared" ca="1" si="51"/>
        <v>2</v>
      </c>
      <c r="AE21" s="29">
        <f t="shared" ca="1" si="52"/>
        <v>495000</v>
      </c>
      <c r="AF21" s="1">
        <f t="shared" ca="1" si="53"/>
        <v>8</v>
      </c>
      <c r="AG21" s="1">
        <f t="shared" ca="1" si="54"/>
        <v>2</v>
      </c>
      <c r="AH21" s="260">
        <f t="shared" ca="1" si="55"/>
        <v>2.02081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5</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6.0308999999999999</v>
      </c>
      <c r="Y22" s="13">
        <f>Vorrunde!$AQ37</f>
        <v>0</v>
      </c>
      <c r="Z22" s="1">
        <f t="shared" ca="1" si="48"/>
        <v>3.9</v>
      </c>
      <c r="AA22" s="1">
        <f t="shared" ca="1" si="49"/>
        <v>0</v>
      </c>
      <c r="AB22" s="1">
        <f t="shared" ca="1" si="50"/>
        <v>0</v>
      </c>
      <c r="AC22" s="1"/>
      <c r="AD22" s="257">
        <f t="shared" ca="1" si="51"/>
        <v>6</v>
      </c>
      <c r="AE22" s="29">
        <f t="shared" ca="1" si="52"/>
        <v>500000</v>
      </c>
      <c r="AF22" s="1">
        <f t="shared" ca="1" si="53"/>
        <v>2</v>
      </c>
      <c r="AG22" s="1">
        <f t="shared" ca="1" si="54"/>
        <v>3</v>
      </c>
      <c r="AH22" s="260">
        <f t="shared" ca="1" si="55"/>
        <v>6.0302100000000003</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5</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6.0308999999999999</v>
      </c>
      <c r="Y23" s="13">
        <v>0</v>
      </c>
      <c r="Z23" s="1">
        <f t="shared" ca="1" si="48"/>
        <v>3.9</v>
      </c>
      <c r="AA23" s="1">
        <f t="shared" ca="1" si="49"/>
        <v>0</v>
      </c>
      <c r="AB23" s="1">
        <f t="shared" ca="1" si="50"/>
        <v>0</v>
      </c>
      <c r="AC23" s="1"/>
      <c r="AD23" s="257">
        <f t="shared" ca="1" si="51"/>
        <v>6</v>
      </c>
      <c r="AE23" s="29">
        <f t="shared" ca="1" si="52"/>
        <v>500000</v>
      </c>
      <c r="AF23" s="1">
        <f t="shared" ca="1" si="53"/>
        <v>2</v>
      </c>
      <c r="AG23" s="1">
        <f t="shared" ca="1" si="54"/>
        <v>3</v>
      </c>
      <c r="AH23" s="260">
        <f t="shared" ca="1" si="55"/>
        <v>6.0302100000000003</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5</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6.0308999999999999</v>
      </c>
      <c r="Y24" s="13">
        <v>0</v>
      </c>
      <c r="Z24" s="1">
        <f t="shared" ca="1" si="48"/>
        <v>3.9</v>
      </c>
      <c r="AA24" s="1">
        <f t="shared" ca="1" si="49"/>
        <v>0</v>
      </c>
      <c r="AB24" s="1">
        <f t="shared" ca="1" si="50"/>
        <v>0</v>
      </c>
      <c r="AC24" s="1"/>
      <c r="AD24" s="257">
        <f t="shared" ca="1" si="51"/>
        <v>6</v>
      </c>
      <c r="AE24" s="29">
        <f t="shared" ca="1" si="52"/>
        <v>500000</v>
      </c>
      <c r="AF24" s="1">
        <f t="shared" ca="1" si="53"/>
        <v>2</v>
      </c>
      <c r="AG24" s="1">
        <f t="shared" ca="1" si="54"/>
        <v>3</v>
      </c>
      <c r="AH24" s="260">
        <f t="shared" ca="1" si="55"/>
        <v>6.0302100000000003</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5</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6.0308999999999999</v>
      </c>
      <c r="Y25" s="13">
        <v>0</v>
      </c>
      <c r="Z25" s="1">
        <f t="shared" ca="1" si="48"/>
        <v>3.9</v>
      </c>
      <c r="AA25" s="1">
        <f t="shared" ca="1" si="49"/>
        <v>0</v>
      </c>
      <c r="AB25" s="1">
        <f t="shared" ca="1" si="50"/>
        <v>0</v>
      </c>
      <c r="AC25" s="1"/>
      <c r="AD25" s="257">
        <f t="shared" ca="1" si="51"/>
        <v>6</v>
      </c>
      <c r="AE25" s="29">
        <f t="shared" ca="1" si="52"/>
        <v>500000</v>
      </c>
      <c r="AF25" s="1">
        <f t="shared" ca="1" si="53"/>
        <v>2</v>
      </c>
      <c r="AG25" s="1">
        <f t="shared" ca="1" si="54"/>
        <v>3</v>
      </c>
      <c r="AH25" s="261">
        <f t="shared" ca="1" si="55"/>
        <v>6.0302100000000003</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3">
        <v>1</v>
      </c>
      <c r="F29" s="990"/>
      <c r="G29" s="990"/>
      <c r="H29" s="990"/>
      <c r="I29" s="990"/>
      <c r="J29" s="990"/>
      <c r="K29" s="990"/>
      <c r="L29" s="992"/>
      <c r="M29" s="989">
        <v>2</v>
      </c>
      <c r="N29" s="990"/>
      <c r="O29" s="990"/>
      <c r="P29" s="990"/>
      <c r="Q29" s="990"/>
      <c r="R29" s="990"/>
      <c r="S29" s="990"/>
      <c r="T29" s="992"/>
      <c r="U29" s="989">
        <v>3</v>
      </c>
      <c r="V29" s="990"/>
      <c r="W29" s="990"/>
      <c r="X29" s="990"/>
      <c r="Y29" s="990"/>
      <c r="Z29" s="990"/>
      <c r="AA29" s="990"/>
      <c r="AB29" s="992"/>
      <c r="AC29" s="989">
        <v>4</v>
      </c>
      <c r="AD29" s="990"/>
      <c r="AE29" s="990"/>
      <c r="AF29" s="990"/>
      <c r="AG29" s="990"/>
      <c r="AH29" s="990"/>
      <c r="AI29" s="990"/>
      <c r="AJ29" s="992"/>
      <c r="AK29" s="989">
        <v>5</v>
      </c>
      <c r="AL29" s="990"/>
      <c r="AM29" s="990"/>
      <c r="AN29" s="990"/>
      <c r="AO29" s="990"/>
      <c r="AP29" s="990"/>
      <c r="AQ29" s="990"/>
      <c r="AR29" s="992"/>
      <c r="AS29" s="989">
        <v>6</v>
      </c>
      <c r="AT29" s="990"/>
      <c r="AU29" s="990"/>
      <c r="AV29" s="990"/>
      <c r="AW29" s="990"/>
      <c r="AX29" s="990"/>
      <c r="AY29" s="990"/>
      <c r="AZ29" s="992"/>
      <c r="BA29" s="989">
        <v>7</v>
      </c>
      <c r="BB29" s="990"/>
      <c r="BC29" s="990"/>
      <c r="BD29" s="990"/>
      <c r="BE29" s="990"/>
      <c r="BF29" s="990"/>
      <c r="BG29" s="990"/>
      <c r="BH29" s="992"/>
      <c r="BI29" s="989">
        <v>8</v>
      </c>
      <c r="BJ29" s="990"/>
      <c r="BK29" s="990"/>
      <c r="BL29" s="990"/>
      <c r="BM29" s="990"/>
      <c r="BN29" s="990"/>
      <c r="BO29" s="990"/>
      <c r="BP29" s="991"/>
      <c r="BQ29" s="13"/>
      <c r="BR29" s="5"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Kickers Rodendorf</v>
      </c>
      <c r="BS30" s="7"/>
      <c r="BT30" s="8">
        <f t="shared" ref="BT30:CA30" ca="1" si="57">SUMIFS($X$64:$X$135,$V$64:$V$135,$BR30,$W$64:$W$135,BT$29)+SUMIFS($Y$64:$Y$135,$W$64:$W$135,$BR30,$V$64:$V$135,BT$29)+SUMIFS($AG$64:$AG$135,$V$64:$V$135,$BR30,$W$64:$W$135,BT$29)+SUMIFS($AH$64:$AH$135,$W$64:$W$135,$BR30,$V$64:$V$135,BT$29)</f>
        <v>38</v>
      </c>
      <c r="BU30" s="8">
        <f t="shared" ca="1" si="57"/>
        <v>44</v>
      </c>
      <c r="BV30" s="8">
        <f t="shared" ca="1" si="57"/>
        <v>50</v>
      </c>
      <c r="BW30" s="8">
        <f t="shared" ca="1" si="57"/>
        <v>45</v>
      </c>
      <c r="BX30" s="8">
        <f t="shared" ca="1" si="57"/>
        <v>0</v>
      </c>
      <c r="BY30" s="8">
        <f t="shared" ca="1" si="57"/>
        <v>0</v>
      </c>
      <c r="BZ30" s="8">
        <f t="shared" ca="1" si="57"/>
        <v>0</v>
      </c>
      <c r="CA30" s="8">
        <f t="shared" ca="1" si="57"/>
        <v>0</v>
      </c>
      <c r="CB30" s="4"/>
    </row>
    <row r="31" spans="2:80" s="2" customFormat="1" x14ac:dyDescent="0.2">
      <c r="C31" s="2" t="str">
        <f t="shared" ref="C31:C38" si="58">$Q65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Real Madrid</v>
      </c>
      <c r="BS31" s="9">
        <f ca="1">SUMIFS($X$64:$X$135,$V$64:$V$135,$BR31,$W$64:$W$135,BS$29)+SUMIFS($Y$64:$Y$135,$W$64:$W$135,$BR31,$V$64:$V$135,BS$29)+SUMIFS($AG$64:$AG$135,$V$64:$V$135,$BR31,$W$64:$W$135,BS$29)+SUMIFS($AH$64:$AH$135,$W$64:$W$135,$BR31,$V$64:$V$135,BS$29)</f>
        <v>45</v>
      </c>
      <c r="BT31" s="7"/>
      <c r="BU31" s="8">
        <f ca="1">SUMIFS($X$64:$X$135,$V$64:$V$135,$BR31,$W$64:$W$135,BU$29)+SUMIFS($Y$64:$Y$135,$W$64:$W$135,$BR31,$V$64:$V$135,BU$29)+SUMIFS($AG$64:$AG$135,$V$64:$V$135,$BR31,$W$64:$W$135,BU$29)+SUMIFS($AH$64:$AH$135,$W$64:$W$135,$BR31,$V$64:$V$135,BU$29)</f>
        <v>46</v>
      </c>
      <c r="BV31" s="8">
        <f t="shared" ref="BV31:CA37" ca="1" si="59">SUMIFS($X$64:$X$135,$V$64:$V$135,$BR31,$W$64:$W$135,BV$29)+SUMIFS($Y$64:$Y$135,$W$64:$W$135,$BR31,$V$64:$V$135,BV$29)+SUMIFS($AG$64:$AG$135,$V$64:$V$135,$BR31,$W$64:$W$135,BV$29)+SUMIFS($AH$64:$AH$135,$W$64:$W$135,$BR31,$V$64:$V$135,BV$29)</f>
        <v>42</v>
      </c>
      <c r="BW31" s="8">
        <f t="shared" ca="1" si="59"/>
        <v>40</v>
      </c>
      <c r="BX31" s="8">
        <f t="shared" ca="1" si="59"/>
        <v>0</v>
      </c>
      <c r="BY31" s="8">
        <f t="shared" ca="1" si="59"/>
        <v>0</v>
      </c>
      <c r="BZ31" s="8">
        <f t="shared" ca="1" si="59"/>
        <v>0</v>
      </c>
      <c r="CA31" s="8">
        <f t="shared" ca="1" si="59"/>
        <v>0</v>
      </c>
      <c r="CB31" s="4"/>
    </row>
    <row r="32" spans="2:80" s="2" customFormat="1" x14ac:dyDescent="0.2">
      <c r="C32" s="2" t="str">
        <f t="shared" si="58"/>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1</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Borussia Dortmund</v>
      </c>
      <c r="BS32" s="9">
        <f t="shared" ref="BS32:BY38" ca="1" si="60">SUMIFS($X$64:$X$135,$V$64:$V$135,$BR32,$W$64:$W$135,BS$29)+SUMIFS($Y$64:$Y$135,$W$64:$W$135,$BR32,$V$64:$V$135,BS$29)+SUMIFS($AG$64:$AG$135,$V$64:$V$135,$BR32,$W$64:$W$135,BS$29)+SUMIFS($AH$64:$AH$135,$W$64:$W$135,$BR32,$V$64:$V$135,BS$29)</f>
        <v>45</v>
      </c>
      <c r="BT32" s="9">
        <f t="shared" ca="1" si="60"/>
        <v>42</v>
      </c>
      <c r="BU32" s="7"/>
      <c r="BV32" s="8">
        <f t="shared" ca="1" si="59"/>
        <v>45</v>
      </c>
      <c r="BW32" s="8">
        <f t="shared" ca="1" si="59"/>
        <v>42</v>
      </c>
      <c r="BX32" s="8">
        <f t="shared" ca="1" si="59"/>
        <v>0</v>
      </c>
      <c r="BY32" s="8">
        <f t="shared" ca="1" si="59"/>
        <v>0</v>
      </c>
      <c r="BZ32" s="8">
        <f t="shared" ca="1" si="59"/>
        <v>0</v>
      </c>
      <c r="CA32" s="8">
        <f t="shared" ca="1" si="59"/>
        <v>0</v>
      </c>
      <c r="CB32" s="4"/>
    </row>
    <row r="33" spans="2:80" s="2" customFormat="1" x14ac:dyDescent="0.2">
      <c r="C33" s="2" t="str">
        <f t="shared" si="58"/>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FSV Rauen</v>
      </c>
      <c r="BS33" s="9">
        <f t="shared" ca="1" si="60"/>
        <v>23</v>
      </c>
      <c r="BT33" s="9">
        <f t="shared" ca="1" si="60"/>
        <v>47</v>
      </c>
      <c r="BU33" s="9">
        <f t="shared" ca="1" si="60"/>
        <v>48</v>
      </c>
      <c r="BV33" s="7"/>
      <c r="BW33" s="8">
        <f t="shared" ca="1" si="59"/>
        <v>50</v>
      </c>
      <c r="BX33" s="8">
        <f t="shared" ca="1" si="59"/>
        <v>0</v>
      </c>
      <c r="BY33" s="8">
        <f t="shared" ca="1" si="59"/>
        <v>0</v>
      </c>
      <c r="BZ33" s="8">
        <f t="shared" ca="1" si="59"/>
        <v>0</v>
      </c>
      <c r="CA33" s="8">
        <f t="shared" ca="1" si="59"/>
        <v>0</v>
      </c>
      <c r="CB33" s="4"/>
    </row>
    <row r="34" spans="2:80" s="2" customFormat="1" x14ac:dyDescent="0.2">
      <c r="C34" s="2" t="str">
        <f t="shared" si="58"/>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1</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1. FC Nürnberg</v>
      </c>
      <c r="BS34" s="9">
        <f t="shared" ca="1" si="60"/>
        <v>47</v>
      </c>
      <c r="BT34" s="9">
        <f t="shared" ca="1" si="60"/>
        <v>50</v>
      </c>
      <c r="BU34" s="9">
        <f t="shared" ca="1" si="60"/>
        <v>41</v>
      </c>
      <c r="BV34" s="9">
        <f t="shared" ca="1" si="60"/>
        <v>34</v>
      </c>
      <c r="BW34" s="7"/>
      <c r="BX34" s="8">
        <f t="shared" ca="1" si="59"/>
        <v>0</v>
      </c>
      <c r="BY34" s="8">
        <f t="shared" ca="1" si="59"/>
        <v>0</v>
      </c>
      <c r="BZ34" s="8">
        <f t="shared" ca="1" si="59"/>
        <v>0</v>
      </c>
      <c r="CA34" s="8">
        <f t="shared" ca="1" si="59"/>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60"/>
        <v>0</v>
      </c>
      <c r="BT35" s="9">
        <f t="shared" ca="1" si="60"/>
        <v>0</v>
      </c>
      <c r="BU35" s="9">
        <f t="shared" ca="1" si="60"/>
        <v>0</v>
      </c>
      <c r="BV35" s="9">
        <f t="shared" ca="1" si="60"/>
        <v>0</v>
      </c>
      <c r="BW35" s="9">
        <f t="shared" ca="1" si="60"/>
        <v>0</v>
      </c>
      <c r="BX35" s="7"/>
      <c r="BY35" s="8">
        <f t="shared" ca="1" si="59"/>
        <v>0</v>
      </c>
      <c r="BZ35" s="8">
        <f t="shared" ca="1" si="59"/>
        <v>0</v>
      </c>
      <c r="CA35" s="8">
        <f t="shared" ca="1" si="59"/>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60"/>
        <v>0</v>
      </c>
      <c r="BT36" s="9">
        <f t="shared" ca="1" si="60"/>
        <v>0</v>
      </c>
      <c r="BU36" s="9">
        <f t="shared" ca="1" si="60"/>
        <v>0</v>
      </c>
      <c r="BV36" s="9">
        <f t="shared" ca="1" si="60"/>
        <v>0</v>
      </c>
      <c r="BW36" s="9">
        <f t="shared" ca="1" si="60"/>
        <v>0</v>
      </c>
      <c r="BX36" s="9">
        <f t="shared" ca="1" si="60"/>
        <v>0</v>
      </c>
      <c r="BY36" s="7"/>
      <c r="BZ36" s="8">
        <f t="shared" ca="1" si="59"/>
        <v>0</v>
      </c>
      <c r="CA36" s="8">
        <f t="shared" ca="1" si="59"/>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60"/>
        <v>0</v>
      </c>
      <c r="BT37" s="9">
        <f t="shared" ca="1" si="60"/>
        <v>0</v>
      </c>
      <c r="BU37" s="9">
        <f t="shared" ca="1" si="60"/>
        <v>0</v>
      </c>
      <c r="BV37" s="9">
        <f t="shared" ca="1" si="60"/>
        <v>0</v>
      </c>
      <c r="BW37" s="9">
        <f t="shared" ca="1" si="60"/>
        <v>0</v>
      </c>
      <c r="BX37" s="9">
        <f t="shared" ca="1" si="60"/>
        <v>0</v>
      </c>
      <c r="BY37" s="9">
        <f t="shared" ca="1" si="60"/>
        <v>0</v>
      </c>
      <c r="BZ37" s="7"/>
      <c r="CA37" s="8">
        <f t="shared" ca="1" si="59"/>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60"/>
        <v>0</v>
      </c>
      <c r="BT38" s="9">
        <f t="shared" ca="1" si="60"/>
        <v>0</v>
      </c>
      <c r="BU38" s="9">
        <f t="shared" ca="1" si="60"/>
        <v>0</v>
      </c>
      <c r="BV38" s="9">
        <f t="shared" ca="1" si="60"/>
        <v>0</v>
      </c>
      <c r="BW38" s="9">
        <f t="shared" ca="1" si="60"/>
        <v>0</v>
      </c>
      <c r="BX38" s="9">
        <f t="shared" ca="1" si="60"/>
        <v>0</v>
      </c>
      <c r="BY38" s="9">
        <f t="shared" ca="1" si="60"/>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-7</v>
      </c>
      <c r="BU41" s="8">
        <f ca="1">BU30-BS32</f>
        <v>-1</v>
      </c>
      <c r="BV41" s="8">
        <f ca="1">BV30-BS33</f>
        <v>27</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7</v>
      </c>
      <c r="BT42" s="7"/>
      <c r="BU42" s="8">
        <f ca="1">BU31-BT32</f>
        <v>4</v>
      </c>
      <c r="BV42" s="8">
        <f ca="1">BV31-BT33</f>
        <v>-5</v>
      </c>
      <c r="BW42" s="8">
        <f ca="1">BW31-BT34</f>
        <v>-10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1</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1</v>
      </c>
      <c r="BT43" s="9">
        <f ca="1">IF(BU42="","",-1*BU42)</f>
        <v>-4</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-27</v>
      </c>
      <c r="BT44" s="9">
        <f ca="1">IF(BV42="","",-1*BV42)</f>
        <v>5</v>
      </c>
      <c r="BU44" s="9">
        <f ca="1">IF(BV43="","",-1*BV43)</f>
        <v>3</v>
      </c>
      <c r="BV44" s="7"/>
      <c r="BW44" s="8">
        <f ca="1">BW33-BV34</f>
        <v>16</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-1</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10</v>
      </c>
      <c r="BU45" s="9">
        <f ca="1">IF(BW43="","",-1*BW43)</f>
        <v>-1</v>
      </c>
      <c r="BV45" s="9">
        <f ca="1">IF(BW44="","",-1*BW44)</f>
        <v>-16</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3">F4</f>
        <v>Kickers Rodendorf</v>
      </c>
      <c r="BS52" s="7"/>
      <c r="BT52" s="8">
        <f t="shared" ref="BT52:CA58" ca="1" si="64">SUMIFS($AE$64:$AE$135,$V$64:$V$135,$BR52,$W$64:$W$135,BT$51)+SUMIFS($AF$64:$AF$135,$W$64:$W$135,$BR52,$V$64:$V$135,BT$51)</f>
        <v>1</v>
      </c>
      <c r="BU52" s="8">
        <f t="shared" ca="1" si="64"/>
        <v>1</v>
      </c>
      <c r="BV52" s="8">
        <f t="shared" ca="1" si="64"/>
        <v>2</v>
      </c>
      <c r="BW52" s="8">
        <f t="shared" ca="1" si="64"/>
        <v>1</v>
      </c>
      <c r="BX52" s="8">
        <f t="shared" ca="1" si="64"/>
        <v>0</v>
      </c>
      <c r="BY52" s="8">
        <f t="shared" ca="1" si="64"/>
        <v>0</v>
      </c>
      <c r="BZ52" s="8">
        <f t="shared" ca="1" si="64"/>
        <v>0</v>
      </c>
      <c r="CA52" s="8">
        <f t="shared" ca="1" si="64"/>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3"/>
        <v>Real Madrid</v>
      </c>
      <c r="BS53" s="9">
        <f t="shared" ref="BS53:BU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3"/>
        <v>Borussia Dortmund</v>
      </c>
      <c r="BS54" s="9">
        <f t="shared" ca="1" si="65"/>
        <v>1</v>
      </c>
      <c r="BT54" s="9">
        <f t="shared" ca="1" si="65"/>
        <v>1</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3"/>
        <v>FSV Rauen</v>
      </c>
      <c r="BS55" s="9">
        <f t="shared" ca="1" si="65"/>
        <v>0</v>
      </c>
      <c r="BT55" s="9">
        <f t="shared" ca="1" si="65"/>
        <v>1</v>
      </c>
      <c r="BU55" s="9">
        <f t="shared" ca="1" si="65"/>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3"/>
        <v>1. FC Nürnberg</v>
      </c>
      <c r="BS56" s="9">
        <f t="shared" ca="1" si="65"/>
        <v>1</v>
      </c>
      <c r="BT56" s="9">
        <f t="shared" ca="1" si="65"/>
        <v>2</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1000" t="s">
        <v>374</v>
      </c>
      <c r="Y63" s="1000"/>
      <c r="Z63" s="161" t="s">
        <v>152</v>
      </c>
      <c r="AA63" s="161" t="s">
        <v>15</v>
      </c>
      <c r="AB63" s="161" t="s">
        <v>150</v>
      </c>
      <c r="AC63" s="650" t="s">
        <v>153</v>
      </c>
      <c r="AD63" s="161" t="s">
        <v>151</v>
      </c>
      <c r="AE63" s="994" t="s">
        <v>379</v>
      </c>
      <c r="AF63" s="994"/>
      <c r="AG63" s="1001" t="s">
        <v>375</v>
      </c>
      <c r="AH63" s="1001"/>
      <c r="AI63" s="652" t="s">
        <v>380</v>
      </c>
      <c r="AJ63" s="4"/>
      <c r="AK63" s="4"/>
      <c r="AL63" s="4"/>
      <c r="AM63" s="4"/>
      <c r="AN63" s="4"/>
      <c r="AO63" s="4"/>
      <c r="AP63" s="4"/>
      <c r="AQ63" s="4"/>
      <c r="AR63" s="4"/>
    </row>
    <row r="64" spans="5:80" s="2" customFormat="1" ht="14.25" thickTop="1" thickBot="1" x14ac:dyDescent="0.25">
      <c r="F64" s="189">
        <v>1000000</v>
      </c>
      <c r="G64" s="190" t="s">
        <v>109</v>
      </c>
      <c r="P64" s="44" t="s">
        <v>6</v>
      </c>
      <c r="Q64" s="59" t="str">
        <f>IF(Planung!$C$41="","",Planung!$C$41)</f>
        <v>Kickers Rodendorf</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39" t="str">
        <f ca="1">IF(AA64&gt;0,(X64+AG64)&amp;Sprache!$E$90&amp;(Y64+AH64),"")</f>
        <v>50:36</v>
      </c>
      <c r="AD64" s="140"/>
      <c r="AE64" s="145">
        <f ca="1">IF($AA64=0,0,IF($X64&gt;$Y64,1,0)+IF($AG64&gt;$AH64,1,0))</f>
        <v>2</v>
      </c>
      <c r="AF64" s="140">
        <f ca="1">IF($AA64=0,0,IF($X64&lt;$Y64,1,0)+IF($AG64&lt;$AH64,1,0))</f>
        <v>0</v>
      </c>
      <c r="AG64" s="145">
        <f ca="1">IF($AA64=1,Vorrunde!$L12,"")</f>
        <v>25</v>
      </c>
      <c r="AH64" s="140">
        <f ca="1">IF($AA64=1,Vorrunde!$N12,"")</f>
        <v>17</v>
      </c>
      <c r="AI64" s="140" t="str">
        <f ca="1">IF(AA64&gt;0,AE64&amp;Sprache!$E$90&amp;AF64,"")</f>
        <v>2:0</v>
      </c>
      <c r="AJ64" s="4"/>
      <c r="AK64" s="4"/>
      <c r="AL64" s="4"/>
      <c r="AM64" s="4"/>
      <c r="AN64" s="4"/>
      <c r="AO64" s="4"/>
      <c r="AP64" s="4"/>
      <c r="AQ64" s="4"/>
      <c r="AR64" s="4"/>
    </row>
    <row r="65" spans="2:43" s="2" customFormat="1" ht="13.5" thickBot="1" x14ac:dyDescent="0.25">
      <c r="F65" s="191">
        <v>1000</v>
      </c>
      <c r="G65" s="192" t="s">
        <v>108</v>
      </c>
      <c r="H65" s="196">
        <v>500</v>
      </c>
      <c r="I65" s="195" t="s">
        <v>367</v>
      </c>
      <c r="P65" s="45" t="s">
        <v>7</v>
      </c>
      <c r="Q65" s="60" t="str">
        <f>IF(Planung!$C$43="","",Planung!$C$43)</f>
        <v>Real Madrid</v>
      </c>
      <c r="U65" s="66" t="s">
        <v>7</v>
      </c>
      <c r="V65" s="40" t="str">
        <f ca="1">Planung!$L7</f>
        <v>FC Grönlingen</v>
      </c>
      <c r="W65" s="13" t="str">
        <f ca="1">Planung!$N7</f>
        <v>Inter Mailand</v>
      </c>
      <c r="X65" s="13">
        <f ca="1">IF($AA65=1,Vorrunde!$I13,"")</f>
        <v>25</v>
      </c>
      <c r="Y65" s="35">
        <f ca="1">IF($AA65=1,Vorrunde!$K13,"")</f>
        <v>20</v>
      </c>
      <c r="Z65" s="34" t="str">
        <f t="shared" ref="Z65:Z73" ca="1" si="66">V65&amp;W65</f>
        <v>FC GrönlingenInter Mailand</v>
      </c>
      <c r="AA65" s="739">
        <f ca="1">IF(AND(Vorrunde!$I13&lt;&gt;"",Vorrunde!$K13&lt;&gt;"",Vorrunde!$I13&lt;&gt;Vorrunde!$K13,OR(AND(Vorrunde!$L13="",Vorrunde!$N13=""),AND(Vorrunde!$L13&lt;&gt;"",Vorrunde!$N13&lt;&gt;"",Vorrunde!$L13&lt;&gt;Vorrunde!$N13)),Vorrunde!$F13&lt;&gt;"",Vorrunde!$H13&lt;&gt;"",Vorrunde!$F13&lt;&gt;Vorrunde!$H13),1,0)</f>
        <v>1</v>
      </c>
      <c r="AB65" s="739" t="str">
        <f ca="1">IF(AA65&gt;0,(X65+AG65)&amp;Sprache!$E$90&amp;(Y65+AH65),"")</f>
        <v>45:45</v>
      </c>
      <c r="AD65" s="141"/>
      <c r="AE65" s="146">
        <f t="shared" ref="AE65:AE123" ca="1" si="67">IF($AA65=0,0,IF($X65&gt;$Y65,1,0)+IF($AG65&gt;$AH65,1,0))</f>
        <v>1</v>
      </c>
      <c r="AF65" s="141">
        <f t="shared" ref="AF65:AF123" ca="1" si="68">IF($AA65=0,0,IF($X65&lt;$Y65,1,0)+IF($AG65&lt;$AH65,1,0))</f>
        <v>1</v>
      </c>
      <c r="AG65" s="146">
        <f ca="1">IF($AA65=1,Vorrunde!$L13,"")</f>
        <v>20</v>
      </c>
      <c r="AH65" s="141">
        <f ca="1">IF($AA65=1,Vorrunde!$N13,"")</f>
        <v>25</v>
      </c>
      <c r="AI65" s="141" t="str">
        <f ca="1">IF(AA65&gt;0,AE65&amp;Sprache!$E$90&amp;AF65,"")</f>
        <v>1:1</v>
      </c>
      <c r="AJ65" s="13"/>
      <c r="AK65" s="13"/>
      <c r="AL65" s="13"/>
      <c r="AM65" s="13"/>
      <c r="AN65" s="13"/>
      <c r="AO65" s="13"/>
      <c r="AP65" s="13"/>
      <c r="AQ65" s="13"/>
    </row>
    <row r="66" spans="2:43" s="2" customFormat="1" ht="13.5" thickBot="1" x14ac:dyDescent="0.25">
      <c r="F66" s="193">
        <v>1</v>
      </c>
      <c r="G66" s="194" t="s">
        <v>106</v>
      </c>
      <c r="P66" s="45" t="s">
        <v>8</v>
      </c>
      <c r="Q66" s="60" t="str">
        <f>IF(Planung!$C$45="","",Planung!$C$45)</f>
        <v>Borussia Dortmund</v>
      </c>
      <c r="U66" s="66" t="s">
        <v>8</v>
      </c>
      <c r="V66" s="40" t="str">
        <f ca="1">Planung!$L8</f>
        <v>1. FC Nürnberg</v>
      </c>
      <c r="W66" s="13" t="str">
        <f ca="1">Planung!$N8</f>
        <v>Real Madrid</v>
      </c>
      <c r="X66" s="13">
        <f ca="1">IF($AA66=1,Vorrunde!$I14,"")</f>
        <v>25</v>
      </c>
      <c r="Y66" s="35">
        <f ca="1">IF($AA66=1,Vorrunde!$K14,"")</f>
        <v>21</v>
      </c>
      <c r="Z66" s="34" t="str">
        <f t="shared" ca="1" si="66"/>
        <v>1. FC NürnbergReal Madrid</v>
      </c>
      <c r="AA66" s="739">
        <f ca="1">IF(AND(Vorrunde!$I14&lt;&gt;"",Vorrunde!$K14&lt;&gt;"",Vorrunde!$I14&lt;&gt;Vorrunde!$K14,OR(AND(Vorrunde!$L14="",Vorrunde!$N14=""),AND(Vorrunde!$L14&lt;&gt;"",Vorrunde!$N14&lt;&gt;"",Vorrunde!$L14&lt;&gt;Vorrunde!$N14)),Vorrunde!$F14&lt;&gt;"",Vorrunde!$H14&lt;&gt;"",Vorrunde!$F14&lt;&gt;Vorrunde!$H14),1,0)</f>
        <v>1</v>
      </c>
      <c r="AB66" s="739" t="str">
        <f ca="1">IF(AA66&gt;0,(X66+AG66)&amp;Sprache!$E$90&amp;(Y66+AH66),"")</f>
        <v>50:40</v>
      </c>
      <c r="AD66" s="141"/>
      <c r="AE66" s="146">
        <f t="shared" ca="1" si="67"/>
        <v>2</v>
      </c>
      <c r="AF66" s="141">
        <f t="shared" ca="1" si="68"/>
        <v>0</v>
      </c>
      <c r="AG66" s="146">
        <f ca="1">IF($AA66=1,Vorrunde!$L14,"")</f>
        <v>25</v>
      </c>
      <c r="AH66" s="141">
        <f ca="1">IF($AA66=1,Vorrunde!$N14,"")</f>
        <v>19</v>
      </c>
      <c r="AI66" s="141" t="str">
        <f ca="1">IF(AA66&gt;0,AE66&amp;Sprache!$E$90&amp;AF66,"")</f>
        <v>2:0</v>
      </c>
      <c r="AJ66" s="4"/>
      <c r="AK66" s="13"/>
      <c r="AL66" s="13"/>
      <c r="AM66" s="13"/>
      <c r="AN66" s="13"/>
      <c r="AO66" s="13"/>
      <c r="AP66" s="13"/>
      <c r="AQ66" s="13"/>
    </row>
    <row r="67" spans="2:43" s="2" customFormat="1" x14ac:dyDescent="0.2">
      <c r="P67" s="45" t="s">
        <v>9</v>
      </c>
      <c r="Q67" s="60" t="str">
        <f>IF(Planung!$C$47="","",Planung!$C$47)</f>
        <v>FSV Rauen</v>
      </c>
      <c r="U67" s="66" t="s">
        <v>9</v>
      </c>
      <c r="V67" s="40" t="str">
        <f ca="1">Planung!$L9</f>
        <v>SV Oberredenburg</v>
      </c>
      <c r="W67" s="13" t="str">
        <f ca="1">Planung!$N9</f>
        <v>Paris St. Germain</v>
      </c>
      <c r="X67" s="13">
        <f ca="1">IF($AA67=1,Vorrunde!$I15,"")</f>
        <v>25</v>
      </c>
      <c r="Y67" s="35">
        <f ca="1">IF($AA67=1,Vorrunde!$K15,"")</f>
        <v>22</v>
      </c>
      <c r="Z67" s="34" t="str">
        <f t="shared" ca="1" si="66"/>
        <v>SV OberredenburgParis St. Germain</v>
      </c>
      <c r="AA67" s="739">
        <f ca="1">IF(AND(Vorrunde!$I15&lt;&gt;"",Vorrunde!$K15&lt;&gt;"",Vorrunde!$I15&lt;&gt;Vorrunde!$K15,OR(AND(Vorrunde!$L15="",Vorrunde!$N15=""),AND(Vorrunde!$L15&lt;&gt;"",Vorrunde!$N15&lt;&gt;"",Vorrunde!$L15&lt;&gt;Vorrunde!$N15)),Vorrunde!$F15&lt;&gt;"",Vorrunde!$H15&lt;&gt;"",Vorrunde!$F15&lt;&gt;Vorrunde!$H15),1,0)</f>
        <v>1</v>
      </c>
      <c r="AB67" s="739" t="str">
        <f ca="1">IF(AA67&gt;0,(X67+AG67)&amp;Sprache!$E$90&amp;(Y67+AH67),"")</f>
        <v>50:42</v>
      </c>
      <c r="AD67" s="141"/>
      <c r="AE67" s="146">
        <f t="shared" ca="1" si="67"/>
        <v>2</v>
      </c>
      <c r="AF67" s="141">
        <f t="shared" ca="1" si="68"/>
        <v>0</v>
      </c>
      <c r="AG67" s="146">
        <f ca="1">IF($AA67=1,Vorrunde!$L15,"")</f>
        <v>25</v>
      </c>
      <c r="AH67" s="141">
        <f ca="1">IF($AA67=1,Vorrunde!$N15,"")</f>
        <v>20</v>
      </c>
      <c r="AI67" s="141" t="str">
        <f ca="1">IF(AA67&gt;0,AE67&amp;Sprache!$E$90&amp;AF67,"")</f>
        <v>2:0</v>
      </c>
      <c r="AJ67" s="13"/>
      <c r="AK67" s="4"/>
      <c r="AL67" s="13"/>
      <c r="AM67" s="13"/>
      <c r="AN67" s="13"/>
      <c r="AO67" s="13"/>
      <c r="AP67" s="13"/>
      <c r="AQ67" s="13"/>
    </row>
    <row r="68" spans="2:43" s="2" customFormat="1" x14ac:dyDescent="0.2">
      <c r="P68" s="45" t="s">
        <v>10</v>
      </c>
      <c r="Q68" s="60" t="str">
        <f>IF(Planung!$C$49="","",Planung!$C$49)</f>
        <v>1. FC Nürnberg</v>
      </c>
      <c r="U68" s="66" t="s">
        <v>10</v>
      </c>
      <c r="V68" s="40" t="str">
        <f ca="1">Planung!$L10</f>
        <v>Eintracht Frankfurt</v>
      </c>
      <c r="W68" s="13" t="str">
        <f ca="1">Planung!$N10</f>
        <v>Maibach 1822 eV</v>
      </c>
      <c r="X68" s="13">
        <f ca="1">IF($AA68=1,Vorrunde!$I16,"")</f>
        <v>25</v>
      </c>
      <c r="Y68" s="35">
        <f ca="1">IF($AA68=1,Vorrunde!$K16,"")</f>
        <v>23</v>
      </c>
      <c r="Z68" s="34" t="str">
        <f t="shared" ca="1" si="66"/>
        <v>Eintracht FrankfurtMaibach 1822 eV</v>
      </c>
      <c r="AA68" s="739">
        <f ca="1">IF(AND(Vorrunde!$I16&lt;&gt;"",Vorrunde!$K16&lt;&gt;"",Vorrunde!$I16&lt;&gt;Vorrunde!$K16,OR(AND(Vorrunde!$L16="",Vorrunde!$N16=""),AND(Vorrunde!$L16&lt;&gt;"",Vorrunde!$N16&lt;&gt;"",Vorrunde!$L16&lt;&gt;Vorrunde!$N16)),Vorrunde!$F16&lt;&gt;"",Vorrunde!$H16&lt;&gt;"",Vorrunde!$F16&lt;&gt;Vorrunde!$H16),1,0)</f>
        <v>1</v>
      </c>
      <c r="AB68" s="739" t="str">
        <f ca="1">IF(AA68&gt;0,(X68+AG68)&amp;Sprache!$E$90&amp;(Y68+AH68),"")</f>
        <v>50:44</v>
      </c>
      <c r="AD68" s="141"/>
      <c r="AE68" s="146">
        <f t="shared" ca="1" si="67"/>
        <v>2</v>
      </c>
      <c r="AF68" s="141">
        <f t="shared" ca="1" si="68"/>
        <v>0</v>
      </c>
      <c r="AG68" s="146">
        <f ca="1">IF($AA68=1,Vorrunde!$L16,"")</f>
        <v>25</v>
      </c>
      <c r="AH68" s="141">
        <f ca="1">IF($AA68=1,Vorrunde!$N16,"")</f>
        <v>21</v>
      </c>
      <c r="AI68" s="141" t="str">
        <f ca="1">IF(AA68&gt;0,AE68&amp;Sprache!$E$90&amp;AF68,"")</f>
        <v>2:0</v>
      </c>
      <c r="AJ68" s="13"/>
      <c r="AK68" s="13"/>
      <c r="AL68" s="4"/>
      <c r="AM68" s="13"/>
      <c r="AN68" s="13"/>
      <c r="AO68" s="13"/>
      <c r="AP68" s="13"/>
      <c r="AQ68" s="13"/>
    </row>
    <row r="69" spans="2:43" s="2" customFormat="1" x14ac:dyDescent="0.2">
      <c r="P69" s="45" t="s">
        <v>11</v>
      </c>
      <c r="Q69" s="60" t="str">
        <f>IF(Planung!$C$51="","",Planung!$C$51)</f>
        <v/>
      </c>
      <c r="U69" s="66" t="s">
        <v>11</v>
      </c>
      <c r="V69" s="40" t="str">
        <f ca="1">Planung!$L11</f>
        <v>SSV Wildbach</v>
      </c>
      <c r="W69" s="13" t="str">
        <f ca="1">Planung!$N11</f>
        <v>Manchester City</v>
      </c>
      <c r="X69" s="13">
        <f ca="1">IF($AA69=1,Vorrunde!$I17,"")</f>
        <v>25</v>
      </c>
      <c r="Y69" s="35">
        <f ca="1">IF($AA69=1,Vorrunde!$K17,"")</f>
        <v>17</v>
      </c>
      <c r="Z69" s="34" t="str">
        <f t="shared" ca="1" si="66"/>
        <v>SSV WildbachManchester City</v>
      </c>
      <c r="AA69" s="739">
        <f ca="1">IF(AND(Vorrunde!$I17&lt;&gt;"",Vorrunde!$K17&lt;&gt;"",Vorrunde!$I17&lt;&gt;Vorrunde!$K17,OR(AND(Vorrunde!$L17="",Vorrunde!$N17=""),AND(Vorrunde!$L17&lt;&gt;"",Vorrunde!$N17&lt;&gt;"",Vorrunde!$L17&lt;&gt;Vorrunde!$N17)),Vorrunde!$F17&lt;&gt;"",Vorrunde!$H17&lt;&gt;"",Vorrunde!$F17&lt;&gt;Vorrunde!$H17),1,0)</f>
        <v>1</v>
      </c>
      <c r="AB69" s="739" t="str">
        <f ca="1">IF(AA69&gt;0,(X69+AG69)&amp;Sprache!$E$90&amp;(Y69+AH69),"")</f>
        <v>50:39</v>
      </c>
      <c r="AD69" s="141"/>
      <c r="AE69" s="146">
        <f t="shared" ca="1" si="67"/>
        <v>2</v>
      </c>
      <c r="AF69" s="141">
        <f t="shared" ca="1" si="68"/>
        <v>0</v>
      </c>
      <c r="AG69" s="146">
        <f ca="1">IF($AA69=1,Vorrunde!$L17,"")</f>
        <v>25</v>
      </c>
      <c r="AH69" s="141">
        <f ca="1">IF($AA69=1,Vorrunde!$N17,"")</f>
        <v>22</v>
      </c>
      <c r="AI69" s="141"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6"/>
        <v>Borussia DortmundFSV Rauen</v>
      </c>
      <c r="AA70" s="739">
        <f ca="1">IF(AND(Vorrunde!$I18&lt;&gt;"",Vorrunde!$K18&lt;&gt;"",Vorrunde!$I18&lt;&gt;Vorrunde!$K18,OR(AND(Vorrunde!$L18="",Vorrunde!$N18=""),AND(Vorrunde!$L18&lt;&gt;"",Vorrunde!$N18&lt;&gt;"",Vorrunde!$L18&lt;&gt;Vorrunde!$N18)),Vorrunde!$F18&lt;&gt;"",Vorrunde!$H18&lt;&gt;"",Vorrunde!$F18&lt;&gt;Vorrunde!$H18),1,0)</f>
        <v>1</v>
      </c>
      <c r="AB70" s="739" t="str">
        <f ca="1">IF(AA70&gt;0,(X70+AG70)&amp;Sprache!$E$90&amp;(Y70+AH70),"")</f>
        <v>45:48</v>
      </c>
      <c r="AD70" s="141"/>
      <c r="AE70" s="146">
        <f t="shared" ca="1" si="67"/>
        <v>1</v>
      </c>
      <c r="AF70" s="141">
        <f t="shared" ca="1" si="68"/>
        <v>1</v>
      </c>
      <c r="AG70" s="146">
        <f ca="1">IF($AA70=1,Vorrunde!$L18,"")</f>
        <v>25</v>
      </c>
      <c r="AH70" s="141">
        <f ca="1">IF($AA70=1,Vorrunde!$N18,"")</f>
        <v>23</v>
      </c>
      <c r="AI70" s="141"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6"/>
        <v>HSVRB Leipzig</v>
      </c>
      <c r="AA71" s="739">
        <f ca="1">IF(AND(Vorrunde!$I19&lt;&gt;"",Vorrunde!$K19&lt;&gt;"",Vorrunde!$I19&lt;&gt;Vorrunde!$K19,OR(AND(Vorrunde!$L19="",Vorrunde!$N19=""),AND(Vorrunde!$L19&lt;&gt;"",Vorrunde!$N19&lt;&gt;"",Vorrunde!$L19&lt;&gt;Vorrunde!$N19)),Vorrunde!$F19&lt;&gt;"",Vorrunde!$H19&lt;&gt;"",Vorrunde!$F19&lt;&gt;Vorrunde!$H19),1,0)</f>
        <v>1</v>
      </c>
      <c r="AB71" s="739" t="str">
        <f ca="1">IF(AA71&gt;0,(X71+AG71)&amp;Sprache!$E$90&amp;(Y71+AH71),"")</f>
        <v>44:42</v>
      </c>
      <c r="AD71" s="141"/>
      <c r="AE71" s="146">
        <f t="shared" ca="1" si="67"/>
        <v>1</v>
      </c>
      <c r="AF71" s="141">
        <f t="shared" ca="1" si="68"/>
        <v>1</v>
      </c>
      <c r="AG71" s="146">
        <f ca="1">IF($AA71=1,Vorrunde!$L19,"")</f>
        <v>25</v>
      </c>
      <c r="AH71" s="141">
        <f ca="1">IF($AA71=1,Vorrunde!$N19,"")</f>
        <v>17</v>
      </c>
      <c r="AI71" s="141"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6"/>
        <v>VFB Essenheim1. FC Riedwald</v>
      </c>
      <c r="AA72" s="739">
        <f ca="1">IF(AND(Vorrunde!$I20&lt;&gt;"",Vorrunde!$K20&lt;&gt;"",Vorrunde!$I20&lt;&gt;Vorrunde!$K20,OR(AND(Vorrunde!$L20="",Vorrunde!$N20=""),AND(Vorrunde!$L20&lt;&gt;"",Vorrunde!$N20&lt;&gt;"",Vorrunde!$L20&lt;&gt;Vorrunde!$N20)),Vorrunde!$F20&lt;&gt;"",Vorrunde!$H20&lt;&gt;"",Vorrunde!$F20&lt;&gt;Vorrunde!$H20),1,0)</f>
        <v>1</v>
      </c>
      <c r="AB72" s="739" t="str">
        <f ca="1">IF(AA72&gt;0,(X72+AG72)&amp;Sprache!$E$90&amp;(Y72+AH72),"")</f>
        <v>41:43</v>
      </c>
      <c r="AD72" s="141"/>
      <c r="AE72" s="146">
        <f t="shared" ca="1" si="67"/>
        <v>1</v>
      </c>
      <c r="AF72" s="141">
        <f t="shared" ca="1" si="68"/>
        <v>1</v>
      </c>
      <c r="AG72" s="146">
        <f ca="1">IF($AA72=1,Vorrunde!$L20,"")</f>
        <v>25</v>
      </c>
      <c r="AH72" s="141">
        <f ca="1">IF($AA72=1,Vorrunde!$N20,"")</f>
        <v>18</v>
      </c>
      <c r="AI72" s="141"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6"/>
        <v>FC GrönlingenMainz 05</v>
      </c>
      <c r="AA73" s="739">
        <f ca="1">IF(AND(Vorrunde!$I21&lt;&gt;"",Vorrunde!$K21&lt;&gt;"",Vorrunde!$I21&lt;&gt;Vorrunde!$K21,OR(AND(Vorrunde!$L21="",Vorrunde!$N21=""),AND(Vorrunde!$L21&lt;&gt;"",Vorrunde!$N21&lt;&gt;"",Vorrunde!$L21&lt;&gt;Vorrunde!$N21)),Vorrunde!$F21&lt;&gt;"",Vorrunde!$H21&lt;&gt;"",Vorrunde!$F21&lt;&gt;Vorrunde!$H21),1,0)</f>
        <v>1</v>
      </c>
      <c r="AB73" s="739" t="str">
        <f ca="1">IF(AA73&gt;0,(X73+AG73)&amp;Sprache!$E$90&amp;(Y73+AH73),"")</f>
        <v>39:44</v>
      </c>
      <c r="AD73" s="141"/>
      <c r="AE73" s="146">
        <f t="shared" ca="1" si="67"/>
        <v>1</v>
      </c>
      <c r="AF73" s="141">
        <f t="shared" ca="1" si="68"/>
        <v>1</v>
      </c>
      <c r="AG73" s="146">
        <f ca="1">IF($AA73=1,Vorrunde!$L21,"")</f>
        <v>25</v>
      </c>
      <c r="AH73" s="141">
        <f ca="1">IF($AA73=1,Vorrunde!$N21,"")</f>
        <v>19</v>
      </c>
      <c r="AI73" s="141"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739">
        <f ca="1">IF(AND(Vorrunde!$I22&lt;&gt;"",Vorrunde!$K22&lt;&gt;"",Vorrunde!$I22&lt;&gt;Vorrunde!$K22,OR(AND(Vorrunde!$L22="",Vorrunde!$N22=""),AND(Vorrunde!$L22&lt;&gt;"",Vorrunde!$N22&lt;&gt;"",Vorrunde!$L22&lt;&gt;Vorrunde!$N22)),Vorrunde!$F22&lt;&gt;"",Vorrunde!$H22&lt;&gt;"",Vorrunde!$F22&lt;&gt;Vorrunde!$H22),1,0)</f>
        <v>1</v>
      </c>
      <c r="AB74" s="739" t="str">
        <f ca="1">IF(AA74&gt;0,(X74+AG74)&amp;Sprache!$E$90&amp;(Y74+AH74),"")</f>
        <v>47:45</v>
      </c>
      <c r="AD74" s="141"/>
      <c r="AE74" s="146">
        <f t="shared" ca="1" si="67"/>
        <v>1</v>
      </c>
      <c r="AF74" s="141">
        <f t="shared" ca="1" si="68"/>
        <v>1</v>
      </c>
      <c r="AG74" s="146">
        <f ca="1">IF($AA74=1,Vorrunde!$L22,"")</f>
        <v>25</v>
      </c>
      <c r="AH74" s="141">
        <f ca="1">IF($AA74=1,Vorrunde!$N22,"")</f>
        <v>20</v>
      </c>
      <c r="AI74" s="141"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123" ca="1" si="69">V75&amp;W75</f>
        <v>SV OberredenburgTSG Saalberg eV</v>
      </c>
      <c r="AA75" s="739">
        <f ca="1">IF(AND(Vorrunde!$I23&lt;&gt;"",Vorrunde!$K23&lt;&gt;"",Vorrunde!$I23&lt;&gt;Vorrunde!$K23,OR(AND(Vorrunde!$L23="",Vorrunde!$N23=""),AND(Vorrunde!$L23&lt;&gt;"",Vorrunde!$N23&lt;&gt;"",Vorrunde!$L23&lt;&gt;Vorrunde!$N23)),Vorrunde!$F23&lt;&gt;"",Vorrunde!$H23&lt;&gt;"",Vorrunde!$F23&lt;&gt;Vorrunde!$H23),1,0)</f>
        <v>1</v>
      </c>
      <c r="AB75" s="739" t="str">
        <f ca="1">IF(AA75&gt;0,(X75+AG75)&amp;Sprache!$E$90&amp;(Y75+AH75),"")</f>
        <v>44:46</v>
      </c>
      <c r="AD75" s="141"/>
      <c r="AE75" s="146">
        <f t="shared" ca="1" si="67"/>
        <v>1</v>
      </c>
      <c r="AF75" s="141">
        <f t="shared" ca="1" si="68"/>
        <v>1</v>
      </c>
      <c r="AG75" s="146">
        <f ca="1">IF($AA75=1,Vorrunde!$L23,"")</f>
        <v>25</v>
      </c>
      <c r="AH75" s="141">
        <f ca="1">IF($AA75=1,Vorrunde!$N23,"")</f>
        <v>21</v>
      </c>
      <c r="AI75" s="141"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9"/>
        <v>FC BarcelonaEintracht Frankfurt</v>
      </c>
      <c r="AA76" s="739">
        <f ca="1">IF(AND(Vorrunde!$I24&lt;&gt;"",Vorrunde!$K24&lt;&gt;"",Vorrunde!$I24&lt;&gt;Vorrunde!$K24,OR(AND(Vorrunde!$L24="",Vorrunde!$N24=""),AND(Vorrunde!$L24&lt;&gt;"",Vorrunde!$N24&lt;&gt;"",Vorrunde!$L24&lt;&gt;Vorrunde!$N24)),Vorrunde!$F24&lt;&gt;"",Vorrunde!$H24&lt;&gt;"",Vorrunde!$F24&lt;&gt;Vorrunde!$H24),1,0)</f>
        <v>1</v>
      </c>
      <c r="AB76" s="739" t="str">
        <f ca="1">IF(AA76&gt;0,(X76+AG76)&amp;Sprache!$E$90&amp;(Y76+AH76),"")</f>
        <v>29:50</v>
      </c>
      <c r="AD76" s="141"/>
      <c r="AE76" s="146">
        <f t="shared" ca="1" si="67"/>
        <v>0</v>
      </c>
      <c r="AF76" s="141">
        <f t="shared" ca="1" si="68"/>
        <v>2</v>
      </c>
      <c r="AG76" s="146">
        <f ca="1">IF($AA76=1,Vorrunde!$L24,"")</f>
        <v>12</v>
      </c>
      <c r="AH76" s="141">
        <f ca="1">IF($AA76=1,Vorrunde!$N24,"")</f>
        <v>25</v>
      </c>
      <c r="AI76" s="141"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9"/>
        <v>Inter MailandSSV Wildbach</v>
      </c>
      <c r="AA77" s="739">
        <f ca="1">IF(AND(Vorrunde!$I25&lt;&gt;"",Vorrunde!$K25&lt;&gt;"",Vorrunde!$I25&lt;&gt;Vorrunde!$K25,OR(AND(Vorrunde!$L25="",Vorrunde!$N25=""),AND(Vorrunde!$L25&lt;&gt;"",Vorrunde!$N25&lt;&gt;"",Vorrunde!$L25&lt;&gt;Vorrunde!$N25)),Vorrunde!$F25&lt;&gt;"",Vorrunde!$H25&lt;&gt;"",Vorrunde!$F25&lt;&gt;Vorrunde!$H25),1,0)</f>
        <v>1</v>
      </c>
      <c r="AB77" s="739" t="str">
        <f ca="1">IF(AA77&gt;0,(X77+AG77)&amp;Sprache!$E$90&amp;(Y77+AH77),"")</f>
        <v>39:48</v>
      </c>
      <c r="AD77" s="141"/>
      <c r="AE77" s="146">
        <f t="shared" ca="1" si="67"/>
        <v>1</v>
      </c>
      <c r="AF77" s="141">
        <f t="shared" ca="1" si="68"/>
        <v>1</v>
      </c>
      <c r="AG77" s="146">
        <f ca="1">IF($AA77=1,Vorrunde!$L25,"")</f>
        <v>25</v>
      </c>
      <c r="AH77" s="141">
        <f ca="1">IF($AA77=1,Vorrunde!$N25,"")</f>
        <v>23</v>
      </c>
      <c r="AI77" s="141"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9"/>
        <v>Real MadridBorussia Dortmund</v>
      </c>
      <c r="AA78" s="739">
        <f ca="1">IF(AND(Vorrunde!$I26&lt;&gt;"",Vorrunde!$K26&lt;&gt;"",Vorrunde!$I26&lt;&gt;Vorrunde!$K26,OR(AND(Vorrunde!$L26="",Vorrunde!$N26=""),AND(Vorrunde!$L26&lt;&gt;"",Vorrunde!$N26&lt;&gt;"",Vorrunde!$L26&lt;&gt;Vorrunde!$N26)),Vorrunde!$F26&lt;&gt;"",Vorrunde!$H26&lt;&gt;"",Vorrunde!$F26&lt;&gt;Vorrunde!$H26),1,0)</f>
        <v>1</v>
      </c>
      <c r="AB78" s="739" t="str">
        <f ca="1">IF(AA78&gt;0,(X78+AG78)&amp;Sprache!$E$90&amp;(Y78+AH78),"")</f>
        <v>46:42</v>
      </c>
      <c r="AD78" s="141"/>
      <c r="AE78" s="146">
        <f t="shared" ca="1" si="67"/>
        <v>1</v>
      </c>
      <c r="AF78" s="141">
        <f t="shared" ca="1" si="68"/>
        <v>1</v>
      </c>
      <c r="AG78" s="146">
        <f ca="1">IF($AA78=1,Vorrunde!$L26,"")</f>
        <v>25</v>
      </c>
      <c r="AH78" s="141">
        <f ca="1">IF($AA78=1,Vorrunde!$N26,"")</f>
        <v>17</v>
      </c>
      <c r="AI78" s="141"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9"/>
        <v>Paris St. GermainHSV</v>
      </c>
      <c r="AA79" s="739">
        <f ca="1">IF(AND(Vorrunde!$I27&lt;&gt;"",Vorrunde!$K27&lt;&gt;"",Vorrunde!$I27&lt;&gt;Vorrunde!$K27,OR(AND(Vorrunde!$L27="",Vorrunde!$N27=""),AND(Vorrunde!$L27&lt;&gt;"",Vorrunde!$N27&lt;&gt;"",Vorrunde!$L27&lt;&gt;Vorrunde!$N27)),Vorrunde!$F27&lt;&gt;"",Vorrunde!$H27&lt;&gt;"",Vorrunde!$F27&lt;&gt;Vorrunde!$H27),1,0)</f>
        <v>1</v>
      </c>
      <c r="AB79" s="739" t="str">
        <f ca="1">IF(AA79&gt;0,(X79+AG79)&amp;Sprache!$E$90&amp;(Y79+AH79),"")</f>
        <v>50:20</v>
      </c>
      <c r="AD79" s="141"/>
      <c r="AE79" s="146">
        <f t="shared" ca="1" si="67"/>
        <v>2</v>
      </c>
      <c r="AF79" s="141">
        <f t="shared" ca="1" si="68"/>
        <v>0</v>
      </c>
      <c r="AG79" s="146">
        <f ca="1">IF($AA79=1,Vorrunde!$L27,"")</f>
        <v>25</v>
      </c>
      <c r="AH79" s="141">
        <f ca="1">IF($AA79=1,Vorrunde!$N27,"")</f>
        <v>18</v>
      </c>
      <c r="AI79" s="141"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9"/>
        <v>1. FC RiedwaldMaibach 1822 eV</v>
      </c>
      <c r="AA80" s="739">
        <f ca="1">IF(AND(Vorrunde!$I28&lt;&gt;"",Vorrunde!$K28&lt;&gt;"",Vorrunde!$I28&lt;&gt;Vorrunde!$K28,OR(AND(Vorrunde!$L28="",Vorrunde!$N28=""),AND(Vorrunde!$L28&lt;&gt;"",Vorrunde!$N28&lt;&gt;"",Vorrunde!$L28&lt;&gt;Vorrunde!$N28)),Vorrunde!$F28&lt;&gt;"",Vorrunde!$H28&lt;&gt;"",Vorrunde!$F28&lt;&gt;Vorrunde!$H28),1,0)</f>
        <v>1</v>
      </c>
      <c r="AB80" s="739" t="str">
        <f ca="1">IF(AA80&gt;0,(X80+AG80)&amp;Sprache!$E$90&amp;(Y80+AH80),"")</f>
        <v>50:39</v>
      </c>
      <c r="AD80" s="141"/>
      <c r="AE80" s="146">
        <f t="shared" ca="1" si="67"/>
        <v>2</v>
      </c>
      <c r="AF80" s="141">
        <f t="shared" ca="1" si="68"/>
        <v>0</v>
      </c>
      <c r="AG80" s="146">
        <f ca="1">IF($AA80=1,Vorrunde!$L28,"")</f>
        <v>25</v>
      </c>
      <c r="AH80" s="141">
        <f ca="1">IF($AA80=1,Vorrunde!$N28,"")</f>
        <v>19</v>
      </c>
      <c r="AI80" s="141"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9"/>
        <v>Mainz 05Manchester City</v>
      </c>
      <c r="AA81" s="739">
        <f ca="1">IF(AND(Vorrunde!$I29&lt;&gt;"",Vorrunde!$K29&lt;&gt;"",Vorrunde!$I29&lt;&gt;Vorrunde!$K29,OR(AND(Vorrunde!$L29="",Vorrunde!$N29=""),AND(Vorrunde!$L29&lt;&gt;"",Vorrunde!$N29&lt;&gt;"",Vorrunde!$L29&lt;&gt;Vorrunde!$N29)),Vorrunde!$F29&lt;&gt;"",Vorrunde!$H29&lt;&gt;"",Vorrunde!$F29&lt;&gt;Vorrunde!$H29),1,0)</f>
        <v>1</v>
      </c>
      <c r="AB81" s="739" t="str">
        <f ca="1">IF(AA81&gt;0,(X81+AG81)&amp;Sprache!$E$90&amp;(Y81+AH81),"")</f>
        <v>50:22</v>
      </c>
      <c r="AD81" s="141"/>
      <c r="AE81" s="146">
        <f t="shared" ca="1" si="67"/>
        <v>2</v>
      </c>
      <c r="AF81" s="141">
        <f t="shared" ca="1" si="68"/>
        <v>0</v>
      </c>
      <c r="AG81" s="146">
        <f ca="1">IF($AA81=1,Vorrunde!$L29,"")</f>
        <v>25</v>
      </c>
      <c r="AH81" s="141">
        <f ca="1">IF($AA81=1,Vorrunde!$N29,"")</f>
        <v>20</v>
      </c>
      <c r="AI81" s="141"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9"/>
        <v>Kickers RodendorfFSV Rauen</v>
      </c>
      <c r="AA82" s="739">
        <f ca="1">IF(AND(Vorrunde!$I30&lt;&gt;"",Vorrunde!$K30&lt;&gt;"",Vorrunde!$I30&lt;&gt;Vorrunde!$K30,OR(AND(Vorrunde!$L30="",Vorrunde!$N30=""),AND(Vorrunde!$L30&lt;&gt;"",Vorrunde!$N30&lt;&gt;"",Vorrunde!$L30&lt;&gt;Vorrunde!$N30)),Vorrunde!$F30&lt;&gt;"",Vorrunde!$H30&lt;&gt;"",Vorrunde!$F30&lt;&gt;Vorrunde!$H30),1,0)</f>
        <v>1</v>
      </c>
      <c r="AB82" s="739" t="str">
        <f ca="1">IF(AA82&gt;0,(X82+AG82)&amp;Sprache!$E$90&amp;(Y82+AH82),"")</f>
        <v>50:23</v>
      </c>
      <c r="AD82" s="141"/>
      <c r="AE82" s="146">
        <f t="shared" ca="1" si="67"/>
        <v>2</v>
      </c>
      <c r="AF82" s="141">
        <f t="shared" ca="1" si="68"/>
        <v>0</v>
      </c>
      <c r="AG82" s="146">
        <f ca="1">IF($AA82=1,Vorrunde!$L30,"")</f>
        <v>25</v>
      </c>
      <c r="AH82" s="141">
        <f ca="1">IF($AA82=1,Vorrunde!$N30,"")</f>
        <v>21</v>
      </c>
      <c r="AI82" s="141"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9"/>
        <v>TSG Saalberg eVRB Leipzig</v>
      </c>
      <c r="AA83" s="739">
        <f ca="1">IF(AND(Vorrunde!$I31&lt;&gt;"",Vorrunde!$K31&lt;&gt;"",Vorrunde!$I31&lt;&gt;Vorrunde!$K31,OR(AND(Vorrunde!$L31="",Vorrunde!$N31=""),AND(Vorrunde!$L31&lt;&gt;"",Vorrunde!$N31&lt;&gt;"",Vorrunde!$L31&lt;&gt;Vorrunde!$N31)),Vorrunde!$F31&lt;&gt;"",Vorrunde!$H31&lt;&gt;"",Vorrunde!$F31&lt;&gt;Vorrunde!$H31),1,0)</f>
        <v>1</v>
      </c>
      <c r="AB83" s="739" t="str">
        <f ca="1">IF(AA83&gt;0,(X83+AG83)&amp;Sprache!$E$90&amp;(Y83+AH83),"")</f>
        <v>50:24</v>
      </c>
      <c r="AD83" s="141"/>
      <c r="AE83" s="146">
        <f t="shared" ca="1" si="67"/>
        <v>2</v>
      </c>
      <c r="AF83" s="141">
        <f t="shared" ca="1" si="68"/>
        <v>0</v>
      </c>
      <c r="AG83" s="146">
        <f ca="1">IF($AA83=1,Vorrunde!$L31,"")</f>
        <v>25</v>
      </c>
      <c r="AH83" s="141">
        <f ca="1">IF($AA83=1,Vorrunde!$N31,"")</f>
        <v>22</v>
      </c>
      <c r="AI83" s="141"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9"/>
        <v>Eintracht FrankfurtVFB Essenheim</v>
      </c>
      <c r="AA84" s="739">
        <f ca="1">IF(AND(Vorrunde!$I32&lt;&gt;"",Vorrunde!$K32&lt;&gt;"",Vorrunde!$I32&lt;&gt;Vorrunde!$K32,OR(AND(Vorrunde!$L32="",Vorrunde!$N32=""),AND(Vorrunde!$L32&lt;&gt;"",Vorrunde!$N32&lt;&gt;"",Vorrunde!$L32&lt;&gt;Vorrunde!$N32)),Vorrunde!$F32&lt;&gt;"",Vorrunde!$H32&lt;&gt;"",Vorrunde!$F32&lt;&gt;Vorrunde!$H32),1,0)</f>
        <v>1</v>
      </c>
      <c r="AB84" s="739" t="str">
        <f ca="1">IF(AA84&gt;0,(X84+AG84)&amp;Sprache!$E$90&amp;(Y84+AH84),"")</f>
        <v>38:36</v>
      </c>
      <c r="AD84" s="141"/>
      <c r="AE84" s="146">
        <f t="shared" ca="1" si="67"/>
        <v>1</v>
      </c>
      <c r="AF84" s="141">
        <f t="shared" ca="1" si="68"/>
        <v>1</v>
      </c>
      <c r="AG84" s="146">
        <f ca="1">IF($AA84=1,Vorrunde!$L32,"")</f>
        <v>25</v>
      </c>
      <c r="AH84" s="141">
        <f ca="1">IF($AA84=1,Vorrunde!$N32,"")</f>
        <v>11</v>
      </c>
      <c r="AI84" s="141"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9"/>
        <v>SSV WildbachFC Grönlingen</v>
      </c>
      <c r="AA85" s="739">
        <f ca="1">IF(AND(Vorrunde!$I33&lt;&gt;"",Vorrunde!$K33&lt;&gt;"",Vorrunde!$I33&lt;&gt;Vorrunde!$K33,OR(AND(Vorrunde!$L33="",Vorrunde!$N33=""),AND(Vorrunde!$L33&lt;&gt;"",Vorrunde!$N33&lt;&gt;"",Vorrunde!$L33&lt;&gt;Vorrunde!$N33)),Vorrunde!$F33&lt;&gt;"",Vorrunde!$H33&lt;&gt;"",Vorrunde!$F33&lt;&gt;Vorrunde!$H33),1,0)</f>
        <v>1</v>
      </c>
      <c r="AB85" s="739" t="str">
        <f ca="1">IF(AA85&gt;0,(X85+AG85)&amp;Sprache!$E$90&amp;(Y85+AH85),"")</f>
        <v>44:42</v>
      </c>
      <c r="AD85" s="141"/>
      <c r="AE85" s="146">
        <f t="shared" ca="1" si="67"/>
        <v>1</v>
      </c>
      <c r="AF85" s="141">
        <f t="shared" ca="1" si="68"/>
        <v>1</v>
      </c>
      <c r="AG85" s="146">
        <f ca="1">IF($AA85=1,Vorrunde!$L33,"")</f>
        <v>25</v>
      </c>
      <c r="AH85" s="141">
        <f ca="1">IF($AA85=1,Vorrunde!$N33,"")</f>
        <v>17</v>
      </c>
      <c r="AI85" s="141"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9"/>
        <v>Borussia Dortmund1. FC Nürnberg</v>
      </c>
      <c r="AA86" s="739">
        <f ca="1">IF(AND(Vorrunde!$I34&lt;&gt;"",Vorrunde!$K34&lt;&gt;"",Vorrunde!$I34&lt;&gt;Vorrunde!$K34,OR(AND(Vorrunde!$L34="",Vorrunde!$N34=""),AND(Vorrunde!$L34&lt;&gt;"",Vorrunde!$N34&lt;&gt;"",Vorrunde!$L34&lt;&gt;Vorrunde!$N34)),Vorrunde!$F34&lt;&gt;"",Vorrunde!$H34&lt;&gt;"",Vorrunde!$F34&lt;&gt;Vorrunde!$H34),1,0)</f>
        <v>1</v>
      </c>
      <c r="AB86" s="739" t="str">
        <f ca="1">IF(AA86&gt;0,(X86+AG86)&amp;Sprache!$E$90&amp;(Y86+AH86),"")</f>
        <v>42:41</v>
      </c>
      <c r="AD86" s="141"/>
      <c r="AE86" s="146">
        <f t="shared" ca="1" si="67"/>
        <v>1</v>
      </c>
      <c r="AF86" s="141">
        <f t="shared" ca="1" si="68"/>
        <v>1</v>
      </c>
      <c r="AG86" s="146">
        <f ca="1">IF($AA86=1,Vorrunde!$L34,"")</f>
        <v>25</v>
      </c>
      <c r="AH86" s="141">
        <f ca="1">IF($AA86=1,Vorrunde!$N34,"")</f>
        <v>16</v>
      </c>
      <c r="AI86" s="141"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9"/>
        <v>HSVSV Oberredenburg</v>
      </c>
      <c r="AA87" s="739">
        <f ca="1">IF(AND(Vorrunde!$I35&lt;&gt;"",Vorrunde!$K35&lt;&gt;"",Vorrunde!$I35&lt;&gt;Vorrunde!$K35,OR(AND(Vorrunde!$L35="",Vorrunde!$N35=""),AND(Vorrunde!$L35&lt;&gt;"",Vorrunde!$N35&lt;&gt;"",Vorrunde!$L35&lt;&gt;Vorrunde!$N35)),Vorrunde!$F35&lt;&gt;"",Vorrunde!$H35&lt;&gt;"",Vorrunde!$F35&lt;&gt;Vorrunde!$H35),1,0)</f>
        <v>1</v>
      </c>
      <c r="AB87" s="739" t="str">
        <f ca="1">IF(AA87&gt;0,(X87+AG87)&amp;Sprache!$E$90&amp;(Y87+AH87),"")</f>
        <v>39:44</v>
      </c>
      <c r="AD87" s="141"/>
      <c r="AE87" s="146">
        <f t="shared" ca="1" si="67"/>
        <v>1</v>
      </c>
      <c r="AF87" s="141">
        <f t="shared" ca="1" si="68"/>
        <v>1</v>
      </c>
      <c r="AG87" s="146">
        <f ca="1">IF($AA87=1,Vorrunde!$L35,"")</f>
        <v>25</v>
      </c>
      <c r="AH87" s="141">
        <f ca="1">IF($AA87=1,Vorrunde!$N35,"")</f>
        <v>19</v>
      </c>
      <c r="AI87" s="141"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9"/>
        <v>FC BarcelonaMaibach 1822 eV</v>
      </c>
      <c r="AA88" s="739">
        <f ca="1">IF(AND(Vorrunde!$I36&lt;&gt;"",Vorrunde!$K36&lt;&gt;"",Vorrunde!$I36&lt;&gt;Vorrunde!$K36,OR(AND(Vorrunde!$L36="",Vorrunde!$N36=""),AND(Vorrunde!$L36&lt;&gt;"",Vorrunde!$N36&lt;&gt;"",Vorrunde!$L36&lt;&gt;Vorrunde!$N36)),Vorrunde!$F36&lt;&gt;"",Vorrunde!$H36&lt;&gt;"",Vorrunde!$F36&lt;&gt;Vorrunde!$H36),1,0)</f>
        <v>1</v>
      </c>
      <c r="AB88" s="739" t="str">
        <f ca="1">IF(AA88&gt;0,(X88+AG88)&amp;Sprache!$E$90&amp;(Y88+AH88),"")</f>
        <v>45:45</v>
      </c>
      <c r="AD88" s="141"/>
      <c r="AE88" s="146">
        <f t="shared" ca="1" si="67"/>
        <v>1</v>
      </c>
      <c r="AF88" s="141">
        <f t="shared" ca="1" si="68"/>
        <v>1</v>
      </c>
      <c r="AG88" s="146">
        <f ca="1">IF($AA88=1,Vorrunde!$L36,"")</f>
        <v>25</v>
      </c>
      <c r="AH88" s="141">
        <f ca="1">IF($AA88=1,Vorrunde!$N36,"")</f>
        <v>20</v>
      </c>
      <c r="AI88" s="141"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9"/>
        <v>Inter MailandManchester City</v>
      </c>
      <c r="AA89" s="739">
        <f ca="1">IF(AND(Vorrunde!$I37&lt;&gt;"",Vorrunde!$K37&lt;&gt;"",Vorrunde!$I37&lt;&gt;Vorrunde!$K37,OR(AND(Vorrunde!$L37="",Vorrunde!$N37=""),AND(Vorrunde!$L37&lt;&gt;"",Vorrunde!$N37&lt;&gt;"",Vorrunde!$L37&lt;&gt;Vorrunde!$N37)),Vorrunde!$F37&lt;&gt;"",Vorrunde!$H37&lt;&gt;"",Vorrunde!$F37&lt;&gt;Vorrunde!$H37),1,0)</f>
        <v>1</v>
      </c>
      <c r="AB89" s="739" t="str">
        <f ca="1">IF(AA89&gt;0,(X89+AG89)&amp;Sprache!$E$90&amp;(Y89+AH89),"")</f>
        <v>44:46</v>
      </c>
      <c r="AD89" s="141"/>
      <c r="AE89" s="146">
        <f t="shared" ca="1" si="67"/>
        <v>1</v>
      </c>
      <c r="AF89" s="141">
        <f t="shared" ca="1" si="68"/>
        <v>1</v>
      </c>
      <c r="AG89" s="146">
        <f ca="1">IF($AA89=1,Vorrunde!$L37,"")</f>
        <v>25</v>
      </c>
      <c r="AH89" s="141">
        <f ca="1">IF($AA89=1,Vorrunde!$N37,"")</f>
        <v>21</v>
      </c>
      <c r="AI89" s="141"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9"/>
        <v>Real MadridFSV Rauen</v>
      </c>
      <c r="AA90" s="739">
        <f ca="1">IF(AND(Vorrunde!$I38&lt;&gt;"",Vorrunde!$K38&lt;&gt;"",Vorrunde!$I38&lt;&gt;Vorrunde!$K38,OR(AND(Vorrunde!$L38="",Vorrunde!$N38=""),AND(Vorrunde!$L38&lt;&gt;"",Vorrunde!$N38&lt;&gt;"",Vorrunde!$L38&lt;&gt;Vorrunde!$N38)),Vorrunde!$F38&lt;&gt;"",Vorrunde!$H38&lt;&gt;"",Vorrunde!$F38&lt;&gt;Vorrunde!$H38),1,0)</f>
        <v>1</v>
      </c>
      <c r="AB90" s="739" t="str">
        <f ca="1">IF(AA90&gt;0,(X90+AG90)&amp;Sprache!$E$90&amp;(Y90+AH90),"")</f>
        <v>42:47</v>
      </c>
      <c r="AD90" s="141"/>
      <c r="AE90" s="146">
        <f t="shared" ca="1" si="67"/>
        <v>1</v>
      </c>
      <c r="AF90" s="141">
        <f t="shared" ca="1" si="68"/>
        <v>1</v>
      </c>
      <c r="AG90" s="146">
        <f ca="1">IF($AA90=1,Vorrunde!$L38,"")</f>
        <v>25</v>
      </c>
      <c r="AH90" s="141">
        <f ca="1">IF($AA90=1,Vorrunde!$N38,"")</f>
        <v>22</v>
      </c>
      <c r="AI90" s="141"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9"/>
        <v>Paris St. GermainRB Leipzig</v>
      </c>
      <c r="AA91" s="739">
        <f ca="1">IF(AND(Vorrunde!$I39&lt;&gt;"",Vorrunde!$K39&lt;&gt;"",Vorrunde!$I39&lt;&gt;Vorrunde!$K39,OR(AND(Vorrunde!$L39="",Vorrunde!$N39=""),AND(Vorrunde!$L39&lt;&gt;"",Vorrunde!$N39&lt;&gt;"",Vorrunde!$L39&lt;&gt;Vorrunde!$N39)),Vorrunde!$F39&lt;&gt;"",Vorrunde!$H39&lt;&gt;"",Vorrunde!$F39&lt;&gt;Vorrunde!$H39),1,0)</f>
        <v>1</v>
      </c>
      <c r="AB91" s="739" t="str">
        <f ca="1">IF(AA91&gt;0,(X91+AG91)&amp;Sprache!$E$90&amp;(Y91+AH91),"")</f>
        <v>44:48</v>
      </c>
      <c r="AD91" s="141"/>
      <c r="AE91" s="146">
        <f t="shared" ca="1" si="67"/>
        <v>1</v>
      </c>
      <c r="AF91" s="141">
        <f t="shared" ca="1" si="68"/>
        <v>1</v>
      </c>
      <c r="AG91" s="146">
        <f ca="1">IF($AA91=1,Vorrunde!$L39,"")</f>
        <v>25</v>
      </c>
      <c r="AH91" s="141">
        <f ca="1">IF($AA91=1,Vorrunde!$N39,"")</f>
        <v>23</v>
      </c>
      <c r="AI91" s="141"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9"/>
        <v>Eintracht Frankfurt1. FC Riedwald</v>
      </c>
      <c r="AA92" s="739">
        <f ca="1">IF(AND(Vorrunde!$I40&lt;&gt;"",Vorrunde!$K40&lt;&gt;"",Vorrunde!$I40&lt;&gt;Vorrunde!$K40,OR(AND(Vorrunde!$L40="",Vorrunde!$N40=""),AND(Vorrunde!$L40&lt;&gt;"",Vorrunde!$N40&lt;&gt;"",Vorrunde!$L40&lt;&gt;Vorrunde!$N40)),Vorrunde!$F40&lt;&gt;"",Vorrunde!$H40&lt;&gt;"",Vorrunde!$F40&lt;&gt;Vorrunde!$H40),1,0)</f>
        <v>1</v>
      </c>
      <c r="AB92" s="739" t="str">
        <f ca="1">IF(AA92&gt;0,(X92+AG92)&amp;Sprache!$E$90&amp;(Y92+AH92),"")</f>
        <v>34:50</v>
      </c>
      <c r="AD92" s="141"/>
      <c r="AE92" s="146">
        <f t="shared" ca="1" si="67"/>
        <v>0</v>
      </c>
      <c r="AF92" s="141">
        <f t="shared" ca="1" si="68"/>
        <v>2</v>
      </c>
      <c r="AG92" s="146">
        <f ca="1">IF($AA92=1,Vorrunde!$L40,"")</f>
        <v>17</v>
      </c>
      <c r="AH92" s="141">
        <f ca="1">IF($AA92=1,Vorrunde!$N40,"")</f>
        <v>25</v>
      </c>
      <c r="AI92" s="141"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9"/>
        <v>SSV WildbachMainz 05</v>
      </c>
      <c r="AA93" s="739">
        <f ca="1">IF(AND(Vorrunde!$I41&lt;&gt;"",Vorrunde!$K41&lt;&gt;"",Vorrunde!$I41&lt;&gt;Vorrunde!$K41,OR(AND(Vorrunde!$L41="",Vorrunde!$N41=""),AND(Vorrunde!$L41&lt;&gt;"",Vorrunde!$N41&lt;&gt;"",Vorrunde!$L41&lt;&gt;Vorrunde!$N41)),Vorrunde!$F41&lt;&gt;"",Vorrunde!$H41&lt;&gt;"",Vorrunde!$F41&lt;&gt;Vorrunde!$H41),1,0)</f>
        <v>1</v>
      </c>
      <c r="AB93" s="739" t="str">
        <f ca="1">IF(AA93&gt;0,(X93+AG93)&amp;Sprache!$E$90&amp;(Y93+AH93),"")</f>
        <v>39:43</v>
      </c>
      <c r="AD93" s="141"/>
      <c r="AE93" s="146">
        <f t="shared" ca="1" si="67"/>
        <v>1</v>
      </c>
      <c r="AF93" s="141">
        <f t="shared" ca="1" si="68"/>
        <v>1</v>
      </c>
      <c r="AG93" s="146">
        <f ca="1">IF($AA93=1,Vorrunde!$L41,"")</f>
        <v>25</v>
      </c>
      <c r="AH93" s="141">
        <f ca="1">IF($AA93=1,Vorrunde!$N41,"")</f>
        <v>18</v>
      </c>
      <c r="AI93" s="141"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ca="1" si="69"/>
        <v>Borussia DortmundKickers Rodendorf</v>
      </c>
      <c r="AA94" s="739">
        <f ca="1">IF(AND(Vorrunde!$I42&lt;&gt;"",Vorrunde!$K42&lt;&gt;"",Vorrunde!$I42&lt;&gt;Vorrunde!$K42,OR(AND(Vorrunde!$L42="",Vorrunde!$N42=""),AND(Vorrunde!$L42&lt;&gt;"",Vorrunde!$N42&lt;&gt;"",Vorrunde!$L42&lt;&gt;Vorrunde!$N42)),Vorrunde!$F42&lt;&gt;"",Vorrunde!$H42&lt;&gt;"",Vorrunde!$F42&lt;&gt;Vorrunde!$H42),1,0)</f>
        <v>1</v>
      </c>
      <c r="AB94" s="739" t="str">
        <f ca="1">IF(AA94&gt;0,(X94+AG94)&amp;Sprache!$E$90&amp;(Y94+AH94),"")</f>
        <v>45:44</v>
      </c>
      <c r="AD94" s="141"/>
      <c r="AE94" s="146">
        <f t="shared" ca="1" si="67"/>
        <v>1</v>
      </c>
      <c r="AF94" s="141">
        <f t="shared" ca="1" si="68"/>
        <v>1</v>
      </c>
      <c r="AG94" s="146">
        <f ca="1">IF($AA94=1,Vorrunde!$L42,"")</f>
        <v>25</v>
      </c>
      <c r="AH94" s="141">
        <f ca="1">IF($AA94=1,Vorrunde!$N42,"")</f>
        <v>19</v>
      </c>
      <c r="AI94" s="141"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9"/>
        <v>HSVTSG Saalberg eV</v>
      </c>
      <c r="AA95" s="739">
        <f ca="1">IF(AND(Vorrunde!$I43&lt;&gt;"",Vorrunde!$K43&lt;&gt;"",Vorrunde!$I43&lt;&gt;Vorrunde!$K43,OR(AND(Vorrunde!$L43="",Vorrunde!$N43=""),AND(Vorrunde!$L43&lt;&gt;"",Vorrunde!$N43&lt;&gt;"",Vorrunde!$L43&lt;&gt;Vorrunde!$N43)),Vorrunde!$F43&lt;&gt;"",Vorrunde!$H43&lt;&gt;"",Vorrunde!$F43&lt;&gt;Vorrunde!$H43),1,0)</f>
        <v>1</v>
      </c>
      <c r="AB95" s="739" t="str">
        <f ca="1">IF(AA95&gt;0,(X95+AG95)&amp;Sprache!$E$90&amp;(Y95+AH95),"")</f>
        <v>44:45</v>
      </c>
      <c r="AD95" s="141"/>
      <c r="AE95" s="146">
        <f t="shared" ca="1" si="67"/>
        <v>1</v>
      </c>
      <c r="AF95" s="141">
        <f t="shared" ca="1" si="68"/>
        <v>1</v>
      </c>
      <c r="AG95" s="146">
        <f ca="1">IF($AA95=1,Vorrunde!$L43,"")</f>
        <v>25</v>
      </c>
      <c r="AH95" s="141">
        <f ca="1">IF($AA95=1,Vorrunde!$N43,"")</f>
        <v>20</v>
      </c>
      <c r="AI95" s="141"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9"/>
        <v>Maibach 1822 eVVFB Essenheim</v>
      </c>
      <c r="AA96" s="739">
        <f ca="1">IF(AND(Vorrunde!$I44&lt;&gt;"",Vorrunde!$K44&lt;&gt;"",Vorrunde!$I44&lt;&gt;Vorrunde!$K44,OR(AND(Vorrunde!$L44="",Vorrunde!$N44=""),AND(Vorrunde!$L44&lt;&gt;"",Vorrunde!$N44&lt;&gt;"",Vorrunde!$L44&lt;&gt;Vorrunde!$N44)),Vorrunde!$F44&lt;&gt;"",Vorrunde!$H44&lt;&gt;"",Vorrunde!$F44&lt;&gt;Vorrunde!$H44),1,0)</f>
        <v>1</v>
      </c>
      <c r="AB96" s="739" t="str">
        <f ca="1">IF(AA96&gt;0,(X96+AG96)&amp;Sprache!$E$90&amp;(Y96+AH96),"")</f>
        <v>42:46</v>
      </c>
      <c r="AD96" s="141"/>
      <c r="AE96" s="146">
        <f t="shared" ca="1" si="67"/>
        <v>1</v>
      </c>
      <c r="AF96" s="141">
        <f t="shared" ca="1" si="68"/>
        <v>1</v>
      </c>
      <c r="AG96" s="146">
        <f ca="1">IF($AA96=1,Vorrunde!$L44,"")</f>
        <v>25</v>
      </c>
      <c r="AH96" s="141">
        <f ca="1">IF($AA96=1,Vorrunde!$N44,"")</f>
        <v>21</v>
      </c>
      <c r="AI96" s="141"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9"/>
        <v>Manchester CityFC Grönlingen</v>
      </c>
      <c r="AA97" s="739">
        <f ca="1">IF(AND(Vorrunde!$I45&lt;&gt;"",Vorrunde!$K45&lt;&gt;"",Vorrunde!$I45&lt;&gt;Vorrunde!$K45,OR(AND(Vorrunde!$L45="",Vorrunde!$N45=""),AND(Vorrunde!$L45&lt;&gt;"",Vorrunde!$N45&lt;&gt;"",Vorrunde!$L45&lt;&gt;Vorrunde!$N45)),Vorrunde!$F45&lt;&gt;"",Vorrunde!$H45&lt;&gt;"",Vorrunde!$F45&lt;&gt;Vorrunde!$H45),1,0)</f>
        <v>1</v>
      </c>
      <c r="AB97" s="739" t="str">
        <f ca="1">IF(AA97&gt;0,(X97+AG97)&amp;Sprache!$E$90&amp;(Y97+AH97),"")</f>
        <v>39:47</v>
      </c>
      <c r="AD97" s="141"/>
      <c r="AE97" s="146">
        <f t="shared" ca="1" si="67"/>
        <v>1</v>
      </c>
      <c r="AF97" s="141">
        <f t="shared" ca="1" si="68"/>
        <v>1</v>
      </c>
      <c r="AG97" s="146">
        <f ca="1">IF($AA97=1,Vorrunde!$L45,"")</f>
        <v>25</v>
      </c>
      <c r="AH97" s="141">
        <f ca="1">IF($AA97=1,Vorrunde!$N45,"")</f>
        <v>22</v>
      </c>
      <c r="AI97" s="141"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9"/>
        <v>FSV Rauen1. FC Nürnberg</v>
      </c>
      <c r="AA98" s="739">
        <f ca="1">IF(AND(Vorrunde!$I46&lt;&gt;"",Vorrunde!$K46&lt;&gt;"",Vorrunde!$I46&lt;&gt;Vorrunde!$K46,OR(AND(Vorrunde!$L46="",Vorrunde!$N46=""),AND(Vorrunde!$L46&lt;&gt;"",Vorrunde!$N46&lt;&gt;"",Vorrunde!$L46&lt;&gt;Vorrunde!$N46)),Vorrunde!$F46&lt;&gt;"",Vorrunde!$H46&lt;&gt;"",Vorrunde!$F46&lt;&gt;Vorrunde!$H46),1,0)</f>
        <v>1</v>
      </c>
      <c r="AB98" s="739" t="str">
        <f ca="1">IF(AA98&gt;0,(X98+AG98)&amp;Sprache!$E$90&amp;(Y98+AH98),"")</f>
        <v>50:34</v>
      </c>
      <c r="AD98" s="141"/>
      <c r="AE98" s="146">
        <f t="shared" ca="1" si="67"/>
        <v>2</v>
      </c>
      <c r="AF98" s="141">
        <f t="shared" ca="1" si="68"/>
        <v>0</v>
      </c>
      <c r="AG98" s="146">
        <f ca="1">IF($AA98=1,Vorrunde!$L46,"")</f>
        <v>25</v>
      </c>
      <c r="AH98" s="141">
        <f ca="1">IF($AA98=1,Vorrunde!$N46,"")</f>
        <v>13</v>
      </c>
      <c r="AI98" s="141"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9"/>
        <v>RB LeipzigSV Oberredenburg</v>
      </c>
      <c r="AA99" s="739">
        <f ca="1">IF(AND(Vorrunde!$I47&lt;&gt;"",Vorrunde!$K47&lt;&gt;"",Vorrunde!$I47&lt;&gt;Vorrunde!$K47,OR(AND(Vorrunde!$L47="",Vorrunde!$N47=""),AND(Vorrunde!$L47&lt;&gt;"",Vorrunde!$N47&lt;&gt;"",Vorrunde!$L47&lt;&gt;Vorrunde!$N47)),Vorrunde!$F47&lt;&gt;"",Vorrunde!$H47&lt;&gt;"",Vorrunde!$F47&lt;&gt;Vorrunde!$H47),1,0)</f>
        <v>1</v>
      </c>
      <c r="AB99" s="739" t="str">
        <f ca="1">IF(AA99&gt;0,(X99+AG99)&amp;Sprache!$E$90&amp;(Y99+AH99),"")</f>
        <v>50:36</v>
      </c>
      <c r="AD99" s="141"/>
      <c r="AE99" s="146">
        <f t="shared" ca="1" si="67"/>
        <v>2</v>
      </c>
      <c r="AF99" s="141">
        <f t="shared" ca="1" si="68"/>
        <v>0</v>
      </c>
      <c r="AG99" s="146">
        <f ca="1">IF($AA99=1,Vorrunde!$L47,"")</f>
        <v>25</v>
      </c>
      <c r="AH99" s="141">
        <f ca="1">IF($AA99=1,Vorrunde!$N47,"")</f>
        <v>17</v>
      </c>
      <c r="AI99" s="141"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9"/>
        <v>1. FC RiedwaldFC Barcelona</v>
      </c>
      <c r="AA100" s="739">
        <f ca="1">IF(AND(Vorrunde!$I48&lt;&gt;"",Vorrunde!$K48&lt;&gt;"",Vorrunde!$I48&lt;&gt;Vorrunde!$K48,OR(AND(Vorrunde!$L48="",Vorrunde!$N48=""),AND(Vorrunde!$L48&lt;&gt;"",Vorrunde!$N48&lt;&gt;"",Vorrunde!$L48&lt;&gt;Vorrunde!$N48)),Vorrunde!$F48&lt;&gt;"",Vorrunde!$H48&lt;&gt;"",Vorrunde!$F48&lt;&gt;Vorrunde!$H48),1,0)</f>
        <v>1</v>
      </c>
      <c r="AB100" s="739" t="str">
        <f ca="1">IF(AA100&gt;0,(X100+AG100)&amp;Sprache!$E$90&amp;(Y100+AH100),"")</f>
        <v>50:35</v>
      </c>
      <c r="AD100" s="141"/>
      <c r="AE100" s="146">
        <f t="shared" ca="1" si="67"/>
        <v>2</v>
      </c>
      <c r="AF100" s="141">
        <f t="shared" ca="1" si="68"/>
        <v>0</v>
      </c>
      <c r="AG100" s="146">
        <f ca="1">IF($AA100=1,Vorrunde!$L48,"")</f>
        <v>25</v>
      </c>
      <c r="AH100" s="141">
        <f ca="1">IF($AA100=1,Vorrunde!$N48,"")</f>
        <v>18</v>
      </c>
      <c r="AI100" s="141"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9"/>
        <v>Mainz 05Inter Mailand</v>
      </c>
      <c r="AA101" s="739">
        <f ca="1">IF(AND(Vorrunde!$I49&lt;&gt;"",Vorrunde!$K49&lt;&gt;"",Vorrunde!$I49&lt;&gt;Vorrunde!$K49,OR(AND(Vorrunde!$L49="",Vorrunde!$N49=""),AND(Vorrunde!$L49&lt;&gt;"",Vorrunde!$N49&lt;&gt;"",Vorrunde!$L49&lt;&gt;Vorrunde!$N49)),Vorrunde!$F49&lt;&gt;"",Vorrunde!$H49&lt;&gt;"",Vorrunde!$F49&lt;&gt;Vorrunde!$H49),1,0)</f>
        <v>1</v>
      </c>
      <c r="AB101" s="739" t="str">
        <f ca="1">IF(AA101&gt;0,(X101+AG101)&amp;Sprache!$E$90&amp;(Y101+AH101),"")</f>
        <v>50:33</v>
      </c>
      <c r="AD101" s="141"/>
      <c r="AE101" s="146">
        <f t="shared" ca="1" si="67"/>
        <v>2</v>
      </c>
      <c r="AF101" s="141">
        <f t="shared" ca="1" si="68"/>
        <v>0</v>
      </c>
      <c r="AG101" s="146">
        <f ca="1">IF($AA101=1,Vorrunde!$L49,"")</f>
        <v>25</v>
      </c>
      <c r="AH101" s="141">
        <f ca="1">IF($AA101=1,Vorrunde!$N49,"")</f>
        <v>19</v>
      </c>
      <c r="AI101" s="141"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9"/>
        <v>Kickers RodendorfReal Madrid</v>
      </c>
      <c r="AA102" s="739">
        <f ca="1">IF(AND(Vorrunde!$I50&lt;&gt;"",Vorrunde!$K50&lt;&gt;"",Vorrunde!$I50&lt;&gt;Vorrunde!$K50,OR(AND(Vorrunde!$L50="",Vorrunde!$N50=""),AND(Vorrunde!$L50&lt;&gt;"",Vorrunde!$N50&lt;&gt;"",Vorrunde!$L50&lt;&gt;Vorrunde!$N50)),Vorrunde!$F50&lt;&gt;"",Vorrunde!$H50&lt;&gt;"",Vorrunde!$F50&lt;&gt;Vorrunde!$H50),1,0)</f>
        <v>1</v>
      </c>
      <c r="AB102" s="739" t="str">
        <f ca="1">IF(AA102&gt;0,(X102+AG102)&amp;Sprache!$E$90&amp;(Y102+AH102),"")</f>
        <v>38:45</v>
      </c>
      <c r="AD102" s="141"/>
      <c r="AE102" s="146">
        <f t="shared" ca="1" si="67"/>
        <v>1</v>
      </c>
      <c r="AF102" s="141">
        <f t="shared" ca="1" si="68"/>
        <v>1</v>
      </c>
      <c r="AG102" s="146">
        <f ca="1">IF($AA102=1,Vorrunde!$L50,"")</f>
        <v>25</v>
      </c>
      <c r="AH102" s="141">
        <f ca="1">IF($AA102=1,Vorrunde!$N50,"")</f>
        <v>20</v>
      </c>
      <c r="AI102" s="141"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9"/>
        <v>TSG Saalberg eVParis St. Germain</v>
      </c>
      <c r="AA103" s="739">
        <f ca="1">IF(AND(Vorrunde!$I51&lt;&gt;"",Vorrunde!$K51&lt;&gt;"",Vorrunde!$I51&lt;&gt;Vorrunde!$K51,OR(AND(Vorrunde!$L51="",Vorrunde!$N51=""),AND(Vorrunde!$L51&lt;&gt;"",Vorrunde!$N51&lt;&gt;"",Vorrunde!$L51&lt;&gt;Vorrunde!$N51)),Vorrunde!$F51&lt;&gt;"",Vorrunde!$H51&lt;&gt;"",Vorrunde!$F51&lt;&gt;Vorrunde!$H51),1,0)</f>
        <v>1</v>
      </c>
      <c r="AB103" s="739" t="str">
        <f ca="1">IF(AA103&gt;0,(X103+AG103)&amp;Sprache!$E$90&amp;(Y103+AH103),"")</f>
        <v>43:46</v>
      </c>
      <c r="AD103" s="141"/>
      <c r="AE103" s="146">
        <f t="shared" ca="1" si="67"/>
        <v>1</v>
      </c>
      <c r="AF103" s="141">
        <f t="shared" ca="1" si="68"/>
        <v>1</v>
      </c>
      <c r="AG103" s="146">
        <f ca="1">IF($AA103=1,Vorrunde!$L51,"")</f>
        <v>25</v>
      </c>
      <c r="AH103" s="141">
        <f ca="1">IF($AA103=1,Vorrunde!$N51,"")</f>
        <v>21</v>
      </c>
      <c r="AI103" s="141"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9"/>
        <v/>
      </c>
      <c r="AA104" s="739">
        <f ca="1">IF(AND(Vorrunde!$I52&lt;&gt;"",Vorrunde!$K52&lt;&gt;"",Vorrunde!$I52&lt;&gt;Vorrunde!$K52,OR(AND(Vorrunde!$L52="",Vorrunde!$N52=""),AND(Vorrunde!$L52&lt;&gt;"",Vorrunde!$N52&lt;&gt;"",Vorrunde!$L52&lt;&gt;Vorrunde!$N52)),Vorrunde!$F52&lt;&gt;"",Vorrunde!$H52&lt;&gt;"",Vorrunde!$F52&lt;&gt;Vorrunde!$H52),1,0)</f>
        <v>0</v>
      </c>
      <c r="AB104" s="739" t="str">
        <f ca="1">IF(AA104&gt;0,(X104+AG104)&amp;Sprache!$E$90&amp;(Y104+AH104),"")</f>
        <v/>
      </c>
      <c r="AD104" s="141"/>
      <c r="AE104" s="146">
        <f t="shared" ca="1" si="67"/>
        <v>0</v>
      </c>
      <c r="AF104" s="141">
        <f t="shared" ca="1" si="68"/>
        <v>0</v>
      </c>
      <c r="AG104" s="146" t="str">
        <f ca="1">IF($AA104=1,Vorrunde!$L52,"")</f>
        <v/>
      </c>
      <c r="AH104" s="141" t="str">
        <f ca="1">IF($AA104=1,Vorrunde!$N52,"")</f>
        <v/>
      </c>
      <c r="AI104" s="141"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9"/>
        <v/>
      </c>
      <c r="AA105" s="739">
        <f ca="1">IF(AND(Vorrunde!$I53&lt;&gt;"",Vorrunde!$K53&lt;&gt;"",Vorrunde!$I53&lt;&gt;Vorrunde!$K53,OR(AND(Vorrunde!$L53="",Vorrunde!$N53=""),AND(Vorrunde!$L53&lt;&gt;"",Vorrunde!$N53&lt;&gt;"",Vorrunde!$L53&lt;&gt;Vorrunde!$N53)),Vorrunde!$F53&lt;&gt;"",Vorrunde!$H53&lt;&gt;"",Vorrunde!$F53&lt;&gt;Vorrunde!$H53),1,0)</f>
        <v>0</v>
      </c>
      <c r="AB105" s="739" t="str">
        <f ca="1">IF(AA105&gt;0,(X105+AG105)&amp;Sprache!$E$90&amp;(Y105+AH105),"")</f>
        <v/>
      </c>
      <c r="AD105" s="141"/>
      <c r="AE105" s="146">
        <f t="shared" ca="1" si="67"/>
        <v>0</v>
      </c>
      <c r="AF105" s="141">
        <f t="shared" ca="1" si="68"/>
        <v>0</v>
      </c>
      <c r="AG105" s="146" t="str">
        <f ca="1">IF($AA105=1,Vorrunde!$L53,"")</f>
        <v/>
      </c>
      <c r="AH105" s="141" t="str">
        <f ca="1">IF($AA105=1,Vorrunde!$N53,"")</f>
        <v/>
      </c>
      <c r="AI105" s="141"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9"/>
        <v/>
      </c>
      <c r="AA106" s="739">
        <f ca="1">IF(AND(Vorrunde!$I54&lt;&gt;"",Vorrunde!$K54&lt;&gt;"",Vorrunde!$I54&lt;&gt;Vorrunde!$K54,OR(AND(Vorrunde!$L54="",Vorrunde!$N54=""),AND(Vorrunde!$L54&lt;&gt;"",Vorrunde!$N54&lt;&gt;"",Vorrunde!$L54&lt;&gt;Vorrunde!$N54)),Vorrunde!$F54&lt;&gt;"",Vorrunde!$H54&lt;&gt;"",Vorrunde!$F54&lt;&gt;Vorrunde!$H54),1,0)</f>
        <v>0</v>
      </c>
      <c r="AB106" s="739" t="str">
        <f ca="1">IF(AA106&gt;0,(X106+AG106)&amp;Sprache!$E$90&amp;(Y106+AH106),"")</f>
        <v/>
      </c>
      <c r="AD106" s="141"/>
      <c r="AE106" s="146">
        <f t="shared" ca="1" si="67"/>
        <v>0</v>
      </c>
      <c r="AF106" s="141">
        <f t="shared" ca="1" si="68"/>
        <v>0</v>
      </c>
      <c r="AG106" s="146" t="str">
        <f ca="1">IF($AA106=1,Vorrunde!$L54,"")</f>
        <v/>
      </c>
      <c r="AH106" s="141" t="str">
        <f ca="1">IF($AA106=1,Vorrunde!$N54,"")</f>
        <v/>
      </c>
      <c r="AI106" s="141"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9"/>
        <v/>
      </c>
      <c r="AA107" s="739">
        <f ca="1">IF(AND(Vorrunde!$I55&lt;&gt;"",Vorrunde!$K55&lt;&gt;"",Vorrunde!$I55&lt;&gt;Vorrunde!$K55,OR(AND(Vorrunde!$L55="",Vorrunde!$N55=""),AND(Vorrunde!$L55&lt;&gt;"",Vorrunde!$N55&lt;&gt;"",Vorrunde!$L55&lt;&gt;Vorrunde!$N55)),Vorrunde!$F55&lt;&gt;"",Vorrunde!$H55&lt;&gt;"",Vorrunde!$F55&lt;&gt;Vorrunde!$H55),1,0)</f>
        <v>0</v>
      </c>
      <c r="AB107" s="739" t="str">
        <f ca="1">IF(AA107&gt;0,(X107+AG107)&amp;Sprache!$E$90&amp;(Y107+AH107),"")</f>
        <v/>
      </c>
      <c r="AD107" s="141"/>
      <c r="AE107" s="146">
        <f t="shared" ca="1" si="67"/>
        <v>0</v>
      </c>
      <c r="AF107" s="141">
        <f t="shared" ca="1" si="68"/>
        <v>0</v>
      </c>
      <c r="AG107" s="146" t="str">
        <f ca="1">IF($AA107=1,Vorrunde!$L55,"")</f>
        <v/>
      </c>
      <c r="AH107" s="141" t="str">
        <f ca="1">IF($AA107=1,Vorrunde!$N55,"")</f>
        <v/>
      </c>
      <c r="AI107" s="141"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9"/>
        <v/>
      </c>
      <c r="AA108" s="739">
        <f ca="1">IF(AND(Vorrunde!$I56&lt;&gt;"",Vorrunde!$K56&lt;&gt;"",Vorrunde!$I56&lt;&gt;Vorrunde!$K56,OR(AND(Vorrunde!$L56="",Vorrunde!$N56=""),AND(Vorrunde!$L56&lt;&gt;"",Vorrunde!$N56&lt;&gt;"",Vorrunde!$L56&lt;&gt;Vorrunde!$N56)),Vorrunde!$F56&lt;&gt;"",Vorrunde!$H56&lt;&gt;"",Vorrunde!$F56&lt;&gt;Vorrunde!$H56),1,0)</f>
        <v>0</v>
      </c>
      <c r="AB108" s="739" t="str">
        <f ca="1">IF(AA108&gt;0,(X108+AG108)&amp;Sprache!$E$90&amp;(Y108+AH108),"")</f>
        <v/>
      </c>
      <c r="AD108" s="141"/>
      <c r="AE108" s="146">
        <f t="shared" ca="1" si="67"/>
        <v>0</v>
      </c>
      <c r="AF108" s="141">
        <f t="shared" ca="1" si="68"/>
        <v>0</v>
      </c>
      <c r="AG108" s="146" t="str">
        <f ca="1">IF($AA108=1,Vorrunde!$L56,"")</f>
        <v/>
      </c>
      <c r="AH108" s="141" t="str">
        <f ca="1">IF($AA108=1,Vorrunde!$N56,"")</f>
        <v/>
      </c>
      <c r="AI108" s="141"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9"/>
        <v/>
      </c>
      <c r="AA109" s="739">
        <f ca="1">IF(AND(Vorrunde!$I57&lt;&gt;"",Vorrunde!$K57&lt;&gt;"",Vorrunde!$I57&lt;&gt;Vorrunde!$K57,OR(AND(Vorrunde!$L57="",Vorrunde!$N57=""),AND(Vorrunde!$L57&lt;&gt;"",Vorrunde!$N57&lt;&gt;"",Vorrunde!$L57&lt;&gt;Vorrunde!$N57)),Vorrunde!$F57&lt;&gt;"",Vorrunde!$H57&lt;&gt;"",Vorrunde!$F57&lt;&gt;Vorrunde!$H57),1,0)</f>
        <v>0</v>
      </c>
      <c r="AB109" s="739" t="str">
        <f ca="1">IF(AA109&gt;0,(X109+AG109)&amp;Sprache!$E$90&amp;(Y109+AH109),"")</f>
        <v/>
      </c>
      <c r="AD109" s="141"/>
      <c r="AE109" s="146">
        <f t="shared" ca="1" si="67"/>
        <v>0</v>
      </c>
      <c r="AF109" s="141">
        <f t="shared" ca="1" si="68"/>
        <v>0</v>
      </c>
      <c r="AG109" s="146" t="str">
        <f ca="1">IF($AA109=1,Vorrunde!$L57,"")</f>
        <v/>
      </c>
      <c r="AH109" s="141" t="str">
        <f ca="1">IF($AA109=1,Vorrunde!$N57,"")</f>
        <v/>
      </c>
      <c r="AI109" s="141"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9"/>
        <v/>
      </c>
      <c r="AA110" s="739">
        <f ca="1">IF(AND(Vorrunde!$I58&lt;&gt;"",Vorrunde!$K58&lt;&gt;"",Vorrunde!$I58&lt;&gt;Vorrunde!$K58,OR(AND(Vorrunde!$L58="",Vorrunde!$N58=""),AND(Vorrunde!$L58&lt;&gt;"",Vorrunde!$N58&lt;&gt;"",Vorrunde!$L58&lt;&gt;Vorrunde!$N58)),Vorrunde!$F58&lt;&gt;"",Vorrunde!$H58&lt;&gt;"",Vorrunde!$F58&lt;&gt;Vorrunde!$H58),1,0)</f>
        <v>0</v>
      </c>
      <c r="AB110" s="739" t="str">
        <f ca="1">IF(AA110&gt;0,(X110+AG110)&amp;Sprache!$E$90&amp;(Y110+AH110),"")</f>
        <v/>
      </c>
      <c r="AD110" s="141"/>
      <c r="AE110" s="146">
        <f t="shared" ca="1" si="67"/>
        <v>0</v>
      </c>
      <c r="AF110" s="141">
        <f t="shared" ca="1" si="68"/>
        <v>0</v>
      </c>
      <c r="AG110" s="146" t="str">
        <f ca="1">IF($AA110=1,Vorrunde!$L58,"")</f>
        <v/>
      </c>
      <c r="AH110" s="141" t="str">
        <f ca="1">IF($AA110=1,Vorrunde!$N58,"")</f>
        <v/>
      </c>
      <c r="AI110" s="141"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9"/>
        <v/>
      </c>
      <c r="AA111" s="739">
        <f ca="1">IF(AND(Vorrunde!$I59&lt;&gt;"",Vorrunde!$K59&lt;&gt;"",Vorrunde!$I59&lt;&gt;Vorrunde!$K59,OR(AND(Vorrunde!$L59="",Vorrunde!$N59=""),AND(Vorrunde!$L59&lt;&gt;"",Vorrunde!$N59&lt;&gt;"",Vorrunde!$L59&lt;&gt;Vorrunde!$N59)),Vorrunde!$F59&lt;&gt;"",Vorrunde!$H59&lt;&gt;"",Vorrunde!$F59&lt;&gt;Vorrunde!$H59),1,0)</f>
        <v>0</v>
      </c>
      <c r="AB111" s="739" t="str">
        <f ca="1">IF(AA111&gt;0,(X111+AG111)&amp;Sprache!$E$90&amp;(Y111+AH111),"")</f>
        <v/>
      </c>
      <c r="AD111" s="141"/>
      <c r="AE111" s="146">
        <f t="shared" ca="1" si="67"/>
        <v>0</v>
      </c>
      <c r="AF111" s="141">
        <f t="shared" ca="1" si="68"/>
        <v>0</v>
      </c>
      <c r="AG111" s="146" t="str">
        <f ca="1">IF($AA111=1,Vorrunde!$L59,"")</f>
        <v/>
      </c>
      <c r="AH111" s="141" t="str">
        <f ca="1">IF($AA111=1,Vorrunde!$N59,"")</f>
        <v/>
      </c>
      <c r="AI111" s="141"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9"/>
        <v/>
      </c>
      <c r="AA112" s="739">
        <f ca="1">IF(AND(Vorrunde!$I60&lt;&gt;"",Vorrunde!$K60&lt;&gt;"",Vorrunde!$I60&lt;&gt;Vorrunde!$K60,OR(AND(Vorrunde!$L60="",Vorrunde!$N60=""),AND(Vorrunde!$L60&lt;&gt;"",Vorrunde!$N60&lt;&gt;"",Vorrunde!$L60&lt;&gt;Vorrunde!$N60)),Vorrunde!$F60&lt;&gt;"",Vorrunde!$H60&lt;&gt;"",Vorrunde!$F60&lt;&gt;Vorrunde!$H60),1,0)</f>
        <v>0</v>
      </c>
      <c r="AB112" s="739" t="str">
        <f ca="1">IF(AA112&gt;0,(X112+AG112)&amp;Sprache!$E$90&amp;(Y112+AH112),"")</f>
        <v/>
      </c>
      <c r="AD112" s="141"/>
      <c r="AE112" s="146">
        <f t="shared" ca="1" si="67"/>
        <v>0</v>
      </c>
      <c r="AF112" s="141">
        <f t="shared" ca="1" si="68"/>
        <v>0</v>
      </c>
      <c r="AG112" s="146" t="str">
        <f ca="1">IF($AA112=1,Vorrunde!$L60,"")</f>
        <v/>
      </c>
      <c r="AH112" s="141" t="str">
        <f ca="1">IF($AA112=1,Vorrunde!$N60,"")</f>
        <v/>
      </c>
      <c r="AI112" s="141"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9"/>
        <v/>
      </c>
      <c r="AA113" s="739">
        <f ca="1">IF(AND(Vorrunde!$I61&lt;&gt;"",Vorrunde!$K61&lt;&gt;"",Vorrunde!$I61&lt;&gt;Vorrunde!$K61,OR(AND(Vorrunde!$L61="",Vorrunde!$N61=""),AND(Vorrunde!$L61&lt;&gt;"",Vorrunde!$N61&lt;&gt;"",Vorrunde!$L61&lt;&gt;Vorrunde!$N61)),Vorrunde!$F61&lt;&gt;"",Vorrunde!$H61&lt;&gt;"",Vorrunde!$F61&lt;&gt;Vorrunde!$H61),1,0)</f>
        <v>0</v>
      </c>
      <c r="AB113" s="739" t="str">
        <f ca="1">IF(AA113&gt;0,(X113+AG113)&amp;Sprache!$E$90&amp;(Y113+AH113),"")</f>
        <v/>
      </c>
      <c r="AD113" s="141"/>
      <c r="AE113" s="146">
        <f t="shared" ca="1" si="67"/>
        <v>0</v>
      </c>
      <c r="AF113" s="141">
        <f t="shared" ca="1" si="68"/>
        <v>0</v>
      </c>
      <c r="AG113" s="146" t="str">
        <f ca="1">IF($AA113=1,Vorrunde!$L61,"")</f>
        <v/>
      </c>
      <c r="AH113" s="141" t="str">
        <f ca="1">IF($AA113=1,Vorrunde!$N61,"")</f>
        <v/>
      </c>
      <c r="AI113" s="141"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9"/>
        <v/>
      </c>
      <c r="AA114" s="739">
        <f ca="1">IF(AND(Vorrunde!$I62&lt;&gt;"",Vorrunde!$K62&lt;&gt;"",Vorrunde!$I62&lt;&gt;Vorrunde!$K62,OR(AND(Vorrunde!$L62="",Vorrunde!$N62=""),AND(Vorrunde!$L62&lt;&gt;"",Vorrunde!$N62&lt;&gt;"",Vorrunde!$L62&lt;&gt;Vorrunde!$N62)),Vorrunde!$F62&lt;&gt;"",Vorrunde!$H62&lt;&gt;"",Vorrunde!$F62&lt;&gt;Vorrunde!$H62),1,0)</f>
        <v>0</v>
      </c>
      <c r="AB114" s="739" t="str">
        <f ca="1">IF(AA114&gt;0,(X114+AG114)&amp;Sprache!$E$90&amp;(Y114+AH114),"")</f>
        <v/>
      </c>
      <c r="AD114" s="141"/>
      <c r="AE114" s="146">
        <f t="shared" ca="1" si="67"/>
        <v>0</v>
      </c>
      <c r="AF114" s="141">
        <f t="shared" ca="1" si="68"/>
        <v>0</v>
      </c>
      <c r="AG114" s="146" t="str">
        <f ca="1">IF($AA114=1,Vorrunde!$L62,"")</f>
        <v/>
      </c>
      <c r="AH114" s="141" t="str">
        <f ca="1">IF($AA114=1,Vorrunde!$N62,"")</f>
        <v/>
      </c>
      <c r="AI114" s="141"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9"/>
        <v/>
      </c>
      <c r="AA115" s="739">
        <f ca="1">IF(AND(Vorrunde!$I63&lt;&gt;"",Vorrunde!$K63&lt;&gt;"",Vorrunde!$I63&lt;&gt;Vorrunde!$K63,OR(AND(Vorrunde!$L63="",Vorrunde!$N63=""),AND(Vorrunde!$L63&lt;&gt;"",Vorrunde!$N63&lt;&gt;"",Vorrunde!$L63&lt;&gt;Vorrunde!$N63)),Vorrunde!$F63&lt;&gt;"",Vorrunde!$H63&lt;&gt;"",Vorrunde!$F63&lt;&gt;Vorrunde!$H63),1,0)</f>
        <v>0</v>
      </c>
      <c r="AB115" s="739" t="str">
        <f ca="1">IF(AA115&gt;0,(X115+AG115)&amp;Sprache!$E$90&amp;(Y115+AH115),"")</f>
        <v/>
      </c>
      <c r="AD115" s="141"/>
      <c r="AE115" s="146">
        <f t="shared" ca="1" si="67"/>
        <v>0</v>
      </c>
      <c r="AF115" s="141">
        <f t="shared" ca="1" si="68"/>
        <v>0</v>
      </c>
      <c r="AG115" s="146" t="str">
        <f ca="1">IF($AA115=1,Vorrunde!$L63,"")</f>
        <v/>
      </c>
      <c r="AH115" s="141" t="str">
        <f ca="1">IF($AA115=1,Vorrunde!$N63,"")</f>
        <v/>
      </c>
      <c r="AI115" s="141"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9"/>
        <v/>
      </c>
      <c r="AA116" s="739">
        <f ca="1">IF(AND(Vorrunde!$I64&lt;&gt;"",Vorrunde!$K64&lt;&gt;"",Vorrunde!$I64&lt;&gt;Vorrunde!$K64,OR(AND(Vorrunde!$L64="",Vorrunde!$N64=""),AND(Vorrunde!$L64&lt;&gt;"",Vorrunde!$N64&lt;&gt;"",Vorrunde!$L64&lt;&gt;Vorrunde!$N64)),Vorrunde!$F64&lt;&gt;"",Vorrunde!$H64&lt;&gt;"",Vorrunde!$F64&lt;&gt;Vorrunde!$H64),1,0)</f>
        <v>0</v>
      </c>
      <c r="AB116" s="739" t="str">
        <f ca="1">IF(AA116&gt;0,(X116+AG116)&amp;Sprache!$E$90&amp;(Y116+AH116),"")</f>
        <v/>
      </c>
      <c r="AD116" s="141"/>
      <c r="AE116" s="146">
        <f t="shared" ca="1" si="67"/>
        <v>0</v>
      </c>
      <c r="AF116" s="141">
        <f t="shared" ca="1" si="68"/>
        <v>0</v>
      </c>
      <c r="AG116" s="146" t="str">
        <f ca="1">IF($AA116=1,Vorrunde!$L64,"")</f>
        <v/>
      </c>
      <c r="AH116" s="141" t="str">
        <f ca="1">IF($AA116=1,Vorrunde!$N64,"")</f>
        <v/>
      </c>
      <c r="AI116" s="141"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9"/>
        <v/>
      </c>
      <c r="AA117" s="739">
        <f ca="1">IF(AND(Vorrunde!$I65&lt;&gt;"",Vorrunde!$K65&lt;&gt;"",Vorrunde!$I65&lt;&gt;Vorrunde!$K65,OR(AND(Vorrunde!$L65="",Vorrunde!$N65=""),AND(Vorrunde!$L65&lt;&gt;"",Vorrunde!$N65&lt;&gt;"",Vorrunde!$L65&lt;&gt;Vorrunde!$N65)),Vorrunde!$F65&lt;&gt;"",Vorrunde!$H65&lt;&gt;"",Vorrunde!$F65&lt;&gt;Vorrunde!$H65),1,0)</f>
        <v>0</v>
      </c>
      <c r="AB117" s="739" t="str">
        <f ca="1">IF(AA117&gt;0,(X117+AG117)&amp;Sprache!$E$90&amp;(Y117+AH117),"")</f>
        <v/>
      </c>
      <c r="AD117" s="141"/>
      <c r="AE117" s="146">
        <f t="shared" ca="1" si="67"/>
        <v>0</v>
      </c>
      <c r="AF117" s="141">
        <f t="shared" ca="1" si="68"/>
        <v>0</v>
      </c>
      <c r="AG117" s="146" t="str">
        <f ca="1">IF($AA117=1,Vorrunde!$L65,"")</f>
        <v/>
      </c>
      <c r="AH117" s="141" t="str">
        <f ca="1">IF($AA117=1,Vorrunde!$N65,"")</f>
        <v/>
      </c>
      <c r="AI117" s="141"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9"/>
        <v/>
      </c>
      <c r="AA118" s="739">
        <f ca="1">IF(AND(Vorrunde!$I66&lt;&gt;"",Vorrunde!$K66&lt;&gt;"",Vorrunde!$I66&lt;&gt;Vorrunde!$K66,OR(AND(Vorrunde!$L66="",Vorrunde!$N66=""),AND(Vorrunde!$L66&lt;&gt;"",Vorrunde!$N66&lt;&gt;"",Vorrunde!$L66&lt;&gt;Vorrunde!$N66)),Vorrunde!$F66&lt;&gt;"",Vorrunde!$H66&lt;&gt;"",Vorrunde!$F66&lt;&gt;Vorrunde!$H66),1,0)</f>
        <v>0</v>
      </c>
      <c r="AB118" s="739" t="str">
        <f ca="1">IF(AA118&gt;0,(X118+AG118)&amp;Sprache!$E$90&amp;(Y118+AH118),"")</f>
        <v/>
      </c>
      <c r="AD118" s="141"/>
      <c r="AE118" s="146">
        <f t="shared" ca="1" si="67"/>
        <v>0</v>
      </c>
      <c r="AF118" s="141">
        <f t="shared" ca="1" si="68"/>
        <v>0</v>
      </c>
      <c r="AG118" s="146" t="str">
        <f ca="1">IF($AA118=1,Vorrunde!$L66,"")</f>
        <v/>
      </c>
      <c r="AH118" s="141" t="str">
        <f ca="1">IF($AA118=1,Vorrunde!$N66,"")</f>
        <v/>
      </c>
      <c r="AI118" s="141"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9"/>
        <v/>
      </c>
      <c r="AA119" s="739">
        <f ca="1">IF(AND(Vorrunde!$I67&lt;&gt;"",Vorrunde!$K67&lt;&gt;"",Vorrunde!$I67&lt;&gt;Vorrunde!$K67,OR(AND(Vorrunde!$L67="",Vorrunde!$N67=""),AND(Vorrunde!$L67&lt;&gt;"",Vorrunde!$N67&lt;&gt;"",Vorrunde!$L67&lt;&gt;Vorrunde!$N67)),Vorrunde!$F67&lt;&gt;"",Vorrunde!$H67&lt;&gt;"",Vorrunde!$F67&lt;&gt;Vorrunde!$H67),1,0)</f>
        <v>0</v>
      </c>
      <c r="AB119" s="739" t="str">
        <f ca="1">IF(AA119&gt;0,(X119+AG119)&amp;Sprache!$E$90&amp;(Y119+AH119),"")</f>
        <v/>
      </c>
      <c r="AD119" s="141"/>
      <c r="AE119" s="146">
        <f t="shared" ca="1" si="67"/>
        <v>0</v>
      </c>
      <c r="AF119" s="141">
        <f t="shared" ca="1" si="68"/>
        <v>0</v>
      </c>
      <c r="AG119" s="146" t="str">
        <f ca="1">IF($AA119=1,Vorrunde!$L67,"")</f>
        <v/>
      </c>
      <c r="AH119" s="141" t="str">
        <f ca="1">IF($AA119=1,Vorrunde!$N67,"")</f>
        <v/>
      </c>
      <c r="AI119" s="141"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9"/>
        <v/>
      </c>
      <c r="AA120" s="739">
        <f ca="1">IF(AND(Vorrunde!$I68&lt;&gt;"",Vorrunde!$K68&lt;&gt;"",Vorrunde!$I68&lt;&gt;Vorrunde!$K68,OR(AND(Vorrunde!$L68="",Vorrunde!$N68=""),AND(Vorrunde!$L68&lt;&gt;"",Vorrunde!$N68&lt;&gt;"",Vorrunde!$L68&lt;&gt;Vorrunde!$N68)),Vorrunde!$F68&lt;&gt;"",Vorrunde!$H68&lt;&gt;"",Vorrunde!$F68&lt;&gt;Vorrunde!$H68),1,0)</f>
        <v>0</v>
      </c>
      <c r="AB120" s="739" t="str">
        <f ca="1">IF(AA120&gt;0,(X120+AG120)&amp;Sprache!$E$90&amp;(Y120+AH120),"")</f>
        <v/>
      </c>
      <c r="AD120" s="141"/>
      <c r="AE120" s="146">
        <f t="shared" ca="1" si="67"/>
        <v>0</v>
      </c>
      <c r="AF120" s="141">
        <f t="shared" ca="1" si="68"/>
        <v>0</v>
      </c>
      <c r="AG120" s="146" t="str">
        <f ca="1">IF($AA120=1,Vorrunde!$L68,"")</f>
        <v/>
      </c>
      <c r="AH120" s="141" t="str">
        <f ca="1">IF($AA120=1,Vorrunde!$N68,"")</f>
        <v/>
      </c>
      <c r="AI120" s="141"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9"/>
        <v/>
      </c>
      <c r="AA121" s="739">
        <f ca="1">IF(AND(Vorrunde!$I69&lt;&gt;"",Vorrunde!$K69&lt;&gt;"",Vorrunde!$I69&lt;&gt;Vorrunde!$K69,OR(AND(Vorrunde!$L69="",Vorrunde!$N69=""),AND(Vorrunde!$L69&lt;&gt;"",Vorrunde!$N69&lt;&gt;"",Vorrunde!$L69&lt;&gt;Vorrunde!$N69)),Vorrunde!$F69&lt;&gt;"",Vorrunde!$H69&lt;&gt;"",Vorrunde!$F69&lt;&gt;Vorrunde!$H69),1,0)</f>
        <v>0</v>
      </c>
      <c r="AB121" s="739" t="str">
        <f ca="1">IF(AA121&gt;0,(X121+AG121)&amp;Sprache!$E$90&amp;(Y121+AH121),"")</f>
        <v/>
      </c>
      <c r="AD121" s="141"/>
      <c r="AE121" s="146">
        <f t="shared" ca="1" si="67"/>
        <v>0</v>
      </c>
      <c r="AF121" s="141">
        <f t="shared" ca="1" si="68"/>
        <v>0</v>
      </c>
      <c r="AG121" s="146" t="str">
        <f ca="1">IF($AA121=1,Vorrunde!$L69,"")</f>
        <v/>
      </c>
      <c r="AH121" s="141" t="str">
        <f ca="1">IF($AA121=1,Vorrunde!$N69,"")</f>
        <v/>
      </c>
      <c r="AI121" s="141"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9"/>
        <v/>
      </c>
      <c r="AA122" s="739">
        <f ca="1">IF(AND(Vorrunde!$I70&lt;&gt;"",Vorrunde!$K70&lt;&gt;"",Vorrunde!$I70&lt;&gt;Vorrunde!$K70,OR(AND(Vorrunde!$L70="",Vorrunde!$N70=""),AND(Vorrunde!$L70&lt;&gt;"",Vorrunde!$N70&lt;&gt;"",Vorrunde!$L70&lt;&gt;Vorrunde!$N70)),Vorrunde!$F70&lt;&gt;"",Vorrunde!$H70&lt;&gt;"",Vorrunde!$F70&lt;&gt;Vorrunde!$H70),1,0)</f>
        <v>0</v>
      </c>
      <c r="AB122" s="739" t="str">
        <f ca="1">IF(AA122&gt;0,(X122+AG122)&amp;Sprache!$E$90&amp;(Y122+AH122),"")</f>
        <v/>
      </c>
      <c r="AD122" s="141"/>
      <c r="AE122" s="146">
        <f t="shared" ca="1" si="67"/>
        <v>0</v>
      </c>
      <c r="AF122" s="141">
        <f t="shared" ca="1" si="68"/>
        <v>0</v>
      </c>
      <c r="AG122" s="146" t="str">
        <f ca="1">IF($AA122=1,Vorrunde!$L70,"")</f>
        <v/>
      </c>
      <c r="AH122" s="141" t="str">
        <f ca="1">IF($AA122=1,Vorrunde!$N70,"")</f>
        <v/>
      </c>
      <c r="AI122" s="141"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9"/>
        <v/>
      </c>
      <c r="AA123" s="739">
        <f ca="1">IF(AND(Vorrunde!$I71&lt;&gt;"",Vorrunde!$K71&lt;&gt;"",Vorrunde!$I71&lt;&gt;Vorrunde!$K71,OR(AND(Vorrunde!$L71="",Vorrunde!$N71=""),AND(Vorrunde!$L71&lt;&gt;"",Vorrunde!$N71&lt;&gt;"",Vorrunde!$L71&lt;&gt;Vorrunde!$N71)),Vorrunde!$F71&lt;&gt;"",Vorrunde!$H71&lt;&gt;"",Vorrunde!$F71&lt;&gt;Vorrunde!$H71),1,0)</f>
        <v>0</v>
      </c>
      <c r="AB123" s="739" t="str">
        <f ca="1">IF(AA123&gt;0,(X123+AG123)&amp;Sprache!$E$90&amp;(Y123+AH123),"")</f>
        <v/>
      </c>
      <c r="AD123" s="141"/>
      <c r="AE123" s="146">
        <f t="shared" ca="1" si="67"/>
        <v>0</v>
      </c>
      <c r="AF123" s="141">
        <f t="shared" ca="1" si="68"/>
        <v>0</v>
      </c>
      <c r="AG123" s="146" t="str">
        <f ca="1">IF($AA123=1,Vorrunde!$L71,"")</f>
        <v/>
      </c>
      <c r="AH123" s="141" t="str">
        <f ca="1">IF($AA123=1,Vorrunde!$N71,"")</f>
        <v/>
      </c>
      <c r="AI123" s="141" t="str">
        <f ca="1">IF(AA123&gt;0,AE123&amp;Sprache!$E$90&amp;AF123,"")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39">
        <v>0</v>
      </c>
      <c r="AB125" s="739" t="str">
        <f>""</f>
        <v/>
      </c>
      <c r="AD125" s="141"/>
      <c r="AE125" s="146"/>
      <c r="AF125" s="141"/>
      <c r="AG125" s="646" t="str">
        <f>""</f>
        <v/>
      </c>
      <c r="AH125" s="647" t="str">
        <f>""</f>
        <v/>
      </c>
      <c r="AI125" s="647"/>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39">
        <v>0</v>
      </c>
      <c r="AB126" s="739" t="str">
        <f>""</f>
        <v/>
      </c>
      <c r="AD126" s="141"/>
      <c r="AE126" s="146"/>
      <c r="AF126" s="141"/>
      <c r="AG126" s="646" t="str">
        <f>""</f>
        <v/>
      </c>
      <c r="AH126" s="647" t="str">
        <f>""</f>
        <v/>
      </c>
      <c r="AI126" s="647"/>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39">
        <v>0</v>
      </c>
      <c r="AB127" s="739" t="str">
        <f>""</f>
        <v/>
      </c>
      <c r="AD127" s="141"/>
      <c r="AE127" s="146"/>
      <c r="AF127" s="141"/>
      <c r="AG127" s="646" t="str">
        <f>""</f>
        <v/>
      </c>
      <c r="AH127" s="647" t="str">
        <f>""</f>
        <v/>
      </c>
      <c r="AI127" s="647"/>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39">
        <v>0</v>
      </c>
      <c r="AB128" s="739" t="str">
        <f>""</f>
        <v/>
      </c>
      <c r="AD128" s="141"/>
      <c r="AE128" s="146"/>
      <c r="AF128" s="141"/>
      <c r="AG128" s="646" t="str">
        <f>""</f>
        <v/>
      </c>
      <c r="AH128" s="647" t="str">
        <f>""</f>
        <v/>
      </c>
      <c r="AI128" s="647"/>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39">
        <v>0</v>
      </c>
      <c r="AB129" s="739" t="str">
        <f>""</f>
        <v/>
      </c>
      <c r="AD129" s="141"/>
      <c r="AE129" s="146"/>
      <c r="AF129" s="141"/>
      <c r="AG129" s="646" t="str">
        <f>""</f>
        <v/>
      </c>
      <c r="AH129" s="647" t="str">
        <f>""</f>
        <v/>
      </c>
      <c r="AI129" s="647"/>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39">
        <v>0</v>
      </c>
      <c r="AB130" s="739" t="str">
        <f>""</f>
        <v/>
      </c>
      <c r="AD130" s="141"/>
      <c r="AE130" s="146"/>
      <c r="AF130" s="141"/>
      <c r="AG130" s="646" t="str">
        <f>""</f>
        <v/>
      </c>
      <c r="AH130" s="647" t="str">
        <f>""</f>
        <v/>
      </c>
      <c r="AI130" s="647"/>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39">
        <v>0</v>
      </c>
      <c r="AB131" s="739" t="str">
        <f>""</f>
        <v/>
      </c>
      <c r="AD131" s="141"/>
      <c r="AE131" s="146"/>
      <c r="AF131" s="141"/>
      <c r="AG131" s="646" t="str">
        <f>""</f>
        <v/>
      </c>
      <c r="AH131" s="647" t="str">
        <f>""</f>
        <v/>
      </c>
      <c r="AI131" s="647"/>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39">
        <v>0</v>
      </c>
      <c r="AB132" s="739" t="str">
        <f>""</f>
        <v/>
      </c>
      <c r="AD132" s="141"/>
      <c r="AE132" s="146"/>
      <c r="AF132" s="141"/>
      <c r="AG132" s="646" t="str">
        <f>""</f>
        <v/>
      </c>
      <c r="AH132" s="647" t="str">
        <f>""</f>
        <v/>
      </c>
      <c r="AI132" s="647"/>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39">
        <v>0</v>
      </c>
      <c r="AB133" s="739" t="str">
        <f>""</f>
        <v/>
      </c>
      <c r="AD133" s="141"/>
      <c r="AE133" s="146"/>
      <c r="AF133" s="141"/>
      <c r="AG133" s="646" t="str">
        <f>""</f>
        <v/>
      </c>
      <c r="AH133" s="647" t="str">
        <f>""</f>
        <v/>
      </c>
      <c r="AI133" s="647"/>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39">
        <v>0</v>
      </c>
      <c r="AB134" s="739" t="str">
        <f>""</f>
        <v/>
      </c>
      <c r="AD134" s="141"/>
      <c r="AE134" s="146"/>
      <c r="AF134" s="141"/>
      <c r="AG134" s="646" t="str">
        <f>""</f>
        <v/>
      </c>
      <c r="AH134" s="647" t="str">
        <f>""</f>
        <v/>
      </c>
      <c r="AI134" s="647"/>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48" t="str">
        <f>""</f>
        <v/>
      </c>
      <c r="AH135" s="649" t="str">
        <f>""</f>
        <v/>
      </c>
      <c r="AI135" s="649"/>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23" t="str">
        <f ca="1">IF(AA136&gt;0,(Y64+AH64)&amp;Sprache!$E$90&amp;(X64+AG64),"")</f>
        <v>36:50</v>
      </c>
      <c r="AD136" s="141"/>
      <c r="AI136" s="654" t="str">
        <f ca="1">IF(AA64&gt;0,AF64&amp;Sprache!$E$90&amp;AE64,"")</f>
        <v>0:2</v>
      </c>
    </row>
    <row r="137" spans="2:35" x14ac:dyDescent="0.2">
      <c r="Y137" s="66" t="s">
        <v>7</v>
      </c>
      <c r="Z137" s="34" t="str">
        <f ca="1">W65&amp;V65</f>
        <v>Inter MailandFC Grönlingen</v>
      </c>
      <c r="AA137" s="13">
        <f t="shared" ref="AA137:AA195" ca="1" si="70">AA65</f>
        <v>1</v>
      </c>
      <c r="AB137" s="723" t="str">
        <f ca="1">IF(AA137&gt;0,(Y65+AH65)&amp;Sprache!$E$90&amp;(X65+AG65),"")</f>
        <v>45:45</v>
      </c>
      <c r="AC137" s="2"/>
      <c r="AD137" s="141"/>
      <c r="AI137" s="655" t="str">
        <f ca="1">IF(AA65&gt;0,AF65&amp;Sprache!$E$90&amp;AE65,"")</f>
        <v>1:1</v>
      </c>
    </row>
    <row r="138" spans="2:35" x14ac:dyDescent="0.2">
      <c r="Y138" s="66" t="s">
        <v>8</v>
      </c>
      <c r="Z138" s="34" t="str">
        <f t="shared" ref="Z138:Z195" ca="1" si="71">W66&amp;V66</f>
        <v>Real Madrid1. FC Nürnberg</v>
      </c>
      <c r="AA138" s="13">
        <f t="shared" ca="1" si="70"/>
        <v>1</v>
      </c>
      <c r="AB138" s="723" t="str">
        <f ca="1">IF(AA138&gt;0,(Y66+AH66)&amp;Sprache!$E$90&amp;(X66+AG66),"")</f>
        <v>40:50</v>
      </c>
      <c r="AC138" s="2"/>
      <c r="AD138" s="141"/>
      <c r="AI138" s="655" t="str">
        <f ca="1">IF(AA66&gt;0,AF66&amp;Sprache!$E$90&amp;AE66,"")</f>
        <v>0:2</v>
      </c>
    </row>
    <row r="139" spans="2:35" x14ac:dyDescent="0.2">
      <c r="Y139" s="66" t="s">
        <v>9</v>
      </c>
      <c r="Z139" s="34" t="str">
        <f t="shared" ca="1" si="71"/>
        <v>Paris St. GermainSV Oberredenburg</v>
      </c>
      <c r="AA139" s="13">
        <f t="shared" ca="1" si="70"/>
        <v>1</v>
      </c>
      <c r="AB139" s="723" t="str">
        <f ca="1">IF(AA139&gt;0,(Y67+AH67)&amp;Sprache!$E$90&amp;(X67+AG67),"")</f>
        <v>42:50</v>
      </c>
      <c r="AC139" s="2"/>
      <c r="AD139" s="141"/>
      <c r="AI139" s="655" t="str">
        <f ca="1">IF(AA67&gt;0,AF67&amp;Sprache!$E$90&amp;AE67,"")</f>
        <v>0:2</v>
      </c>
    </row>
    <row r="140" spans="2:35" x14ac:dyDescent="0.2">
      <c r="Y140" s="66" t="s">
        <v>10</v>
      </c>
      <c r="Z140" s="34" t="str">
        <f t="shared" ca="1" si="71"/>
        <v>Maibach 1822 eVEintracht Frankfurt</v>
      </c>
      <c r="AA140" s="13">
        <f t="shared" ca="1" si="70"/>
        <v>1</v>
      </c>
      <c r="AB140" s="723" t="str">
        <f ca="1">IF(AA140&gt;0,(Y68+AH68)&amp;Sprache!$E$90&amp;(X68+AG68),"")</f>
        <v>44:50</v>
      </c>
      <c r="AC140" s="2"/>
      <c r="AD140" s="141"/>
      <c r="AI140" s="655" t="str">
        <f ca="1">IF(AA68&gt;0,AF68&amp;Sprache!$E$90&amp;AE68,"")</f>
        <v>0:2</v>
      </c>
    </row>
    <row r="141" spans="2:35" x14ac:dyDescent="0.2">
      <c r="Y141" s="66" t="s">
        <v>11</v>
      </c>
      <c r="Z141" s="34" t="str">
        <f t="shared" ca="1" si="71"/>
        <v>Manchester CitySSV Wildbach</v>
      </c>
      <c r="AA141" s="13">
        <f t="shared" ca="1" si="70"/>
        <v>1</v>
      </c>
      <c r="AB141" s="723" t="str">
        <f ca="1">IF(AA141&gt;0,(Y69+AH69)&amp;Sprache!$E$90&amp;(X69+AG69),"")</f>
        <v>39:50</v>
      </c>
      <c r="AC141" s="2"/>
      <c r="AD141" s="141"/>
      <c r="AI141" s="655" t="str">
        <f ca="1">IF(AA69&gt;0,AF69&amp;Sprache!$E$90&amp;AE69,"")</f>
        <v>0:2</v>
      </c>
    </row>
    <row r="142" spans="2:35" x14ac:dyDescent="0.2">
      <c r="Y142" s="66" t="s">
        <v>16</v>
      </c>
      <c r="Z142" s="34" t="str">
        <f t="shared" ca="1" si="71"/>
        <v>FSV RauenBorussia Dortmund</v>
      </c>
      <c r="AA142" s="13">
        <f t="shared" ca="1" si="70"/>
        <v>1</v>
      </c>
      <c r="AB142" s="723" t="str">
        <f ca="1">IF(AA142&gt;0,(Y70+AH70)&amp;Sprache!$E$90&amp;(X70+AG70),"")</f>
        <v>48:45</v>
      </c>
      <c r="AC142" s="2"/>
      <c r="AD142" s="141"/>
      <c r="AI142" s="655" t="str">
        <f ca="1">IF(AA70&gt;0,AF70&amp;Sprache!$E$90&amp;AE70,"")</f>
        <v>1:1</v>
      </c>
    </row>
    <row r="143" spans="2:35" x14ac:dyDescent="0.2">
      <c r="Y143" s="66" t="s">
        <v>17</v>
      </c>
      <c r="Z143" s="34" t="str">
        <f t="shared" ca="1" si="71"/>
        <v>RB LeipzigHSV</v>
      </c>
      <c r="AA143" s="13">
        <f t="shared" ca="1" si="70"/>
        <v>1</v>
      </c>
      <c r="AB143" s="723" t="str">
        <f ca="1">IF(AA143&gt;0,(Y71+AH71)&amp;Sprache!$E$90&amp;(X71+AG71),"")</f>
        <v>42:44</v>
      </c>
      <c r="AC143" s="2"/>
      <c r="AD143" s="141"/>
      <c r="AI143" s="655" t="str">
        <f ca="1">IF(AA71&gt;0,AF71&amp;Sprache!$E$90&amp;AE71,"")</f>
        <v>1:1</v>
      </c>
    </row>
    <row r="144" spans="2:35" x14ac:dyDescent="0.2">
      <c r="Y144" s="66" t="s">
        <v>18</v>
      </c>
      <c r="Z144" s="34" t="str">
        <f t="shared" ca="1" si="71"/>
        <v>1. FC RiedwaldVFB Essenheim</v>
      </c>
      <c r="AA144" s="13">
        <f t="shared" ca="1" si="70"/>
        <v>1</v>
      </c>
      <c r="AB144" s="723" t="str">
        <f ca="1">IF(AA144&gt;0,(Y72+AH72)&amp;Sprache!$E$90&amp;(X72+AG72),"")</f>
        <v>43:41</v>
      </c>
      <c r="AC144" s="2"/>
      <c r="AD144" s="141"/>
      <c r="AI144" s="655" t="str">
        <f ca="1">IF(AA72&gt;0,AF72&amp;Sprache!$E$90&amp;AE72,"")</f>
        <v>1:1</v>
      </c>
    </row>
    <row r="145" spans="25:35" x14ac:dyDescent="0.2">
      <c r="Y145" s="66" t="s">
        <v>24</v>
      </c>
      <c r="Z145" s="34" t="str">
        <f t="shared" ca="1" si="71"/>
        <v>Mainz 05FC Grönlingen</v>
      </c>
      <c r="AA145" s="13">
        <f t="shared" ca="1" si="70"/>
        <v>1</v>
      </c>
      <c r="AB145" s="723" t="str">
        <f ca="1">IF(AA145&gt;0,(Y73+AH73)&amp;Sprache!$E$90&amp;(X73+AG73),"")</f>
        <v>44:39</v>
      </c>
      <c r="AC145" s="2"/>
      <c r="AD145" s="141"/>
      <c r="AI145" s="655" t="str">
        <f ca="1">IF(AA73&gt;0,AF73&amp;Sprache!$E$90&amp;AE73,"")</f>
        <v>1:1</v>
      </c>
    </row>
    <row r="146" spans="25:35" x14ac:dyDescent="0.2">
      <c r="Y146" s="66" t="s">
        <v>25</v>
      </c>
      <c r="Z146" s="34" t="str">
        <f t="shared" ca="1" si="71"/>
        <v>Kickers Rodendorf1. FC Nürnberg</v>
      </c>
      <c r="AA146" s="13">
        <f t="shared" ca="1" si="70"/>
        <v>1</v>
      </c>
      <c r="AB146" s="723" t="str">
        <f ca="1">IF(AA146&gt;0,(Y74+AH74)&amp;Sprache!$E$90&amp;(X74+AG74),"")</f>
        <v>45:47</v>
      </c>
      <c r="AC146" s="2"/>
      <c r="AD146" s="141"/>
      <c r="AI146" s="655" t="str">
        <f ca="1">IF(AA74&gt;0,AF74&amp;Sprache!$E$90&amp;AE74,"")</f>
        <v>1:1</v>
      </c>
    </row>
    <row r="147" spans="25:35" x14ac:dyDescent="0.2">
      <c r="Y147" s="66" t="s">
        <v>26</v>
      </c>
      <c r="Z147" s="34" t="str">
        <f t="shared" ca="1" si="71"/>
        <v>TSG Saalberg eVSV Oberredenburg</v>
      </c>
      <c r="AA147" s="13">
        <f t="shared" ca="1" si="70"/>
        <v>1</v>
      </c>
      <c r="AB147" s="723" t="str">
        <f ca="1">IF(AA147&gt;0,(Y75+AH75)&amp;Sprache!$E$90&amp;(X75+AG75),"")</f>
        <v>46:44</v>
      </c>
      <c r="AC147" s="2"/>
      <c r="AD147" s="141"/>
      <c r="AI147" s="655" t="str">
        <f ca="1">IF(AA75&gt;0,AF75&amp;Sprache!$E$90&amp;AE75,"")</f>
        <v>1:1</v>
      </c>
    </row>
    <row r="148" spans="25:35" x14ac:dyDescent="0.2">
      <c r="Y148" s="66" t="s">
        <v>27</v>
      </c>
      <c r="Z148" s="34" t="str">
        <f t="shared" ca="1" si="71"/>
        <v>Eintracht FrankfurtFC Barcelona</v>
      </c>
      <c r="AA148" s="13">
        <f t="shared" ca="1" si="70"/>
        <v>1</v>
      </c>
      <c r="AB148" s="723" t="str">
        <f ca="1">IF(AA148&gt;0,(Y76+AH76)&amp;Sprache!$E$90&amp;(X76+AG76),"")</f>
        <v>50:29</v>
      </c>
      <c r="AC148" s="2"/>
      <c r="AD148" s="141"/>
      <c r="AI148" s="655" t="str">
        <f ca="1">IF(AA76&gt;0,AF76&amp;Sprache!$E$90&amp;AE76,"")</f>
        <v>2:0</v>
      </c>
    </row>
    <row r="149" spans="25:35" x14ac:dyDescent="0.2">
      <c r="Y149" s="66" t="s">
        <v>28</v>
      </c>
      <c r="Z149" s="34" t="str">
        <f t="shared" ca="1" si="71"/>
        <v>SSV WildbachInter Mailand</v>
      </c>
      <c r="AA149" s="13">
        <f t="shared" ca="1" si="70"/>
        <v>1</v>
      </c>
      <c r="AB149" s="723" t="str">
        <f ca="1">IF(AA149&gt;0,(Y77+AH77)&amp;Sprache!$E$90&amp;(X77+AG77),"")</f>
        <v>48:39</v>
      </c>
      <c r="AC149" s="2"/>
      <c r="AD149" s="141"/>
      <c r="AI149" s="655" t="str">
        <f ca="1">IF(AA77&gt;0,AF77&amp;Sprache!$E$90&amp;AE77,"")</f>
        <v>1:1</v>
      </c>
    </row>
    <row r="150" spans="25:35" x14ac:dyDescent="0.2">
      <c r="Y150" s="66" t="s">
        <v>29</v>
      </c>
      <c r="Z150" s="34" t="str">
        <f t="shared" ca="1" si="71"/>
        <v>Borussia DortmundReal Madrid</v>
      </c>
      <c r="AA150" s="13">
        <f t="shared" ca="1" si="70"/>
        <v>1</v>
      </c>
      <c r="AB150" s="723" t="str">
        <f ca="1">IF(AA150&gt;0,(Y78+AH78)&amp;Sprache!$E$90&amp;(X78+AG78),"")</f>
        <v>42:46</v>
      </c>
      <c r="AC150" s="2"/>
      <c r="AD150" s="141"/>
      <c r="AI150" s="655" t="str">
        <f ca="1">IF(AA78&gt;0,AF78&amp;Sprache!$E$90&amp;AE78,"")</f>
        <v>1:1</v>
      </c>
    </row>
    <row r="151" spans="25:35" x14ac:dyDescent="0.2">
      <c r="Y151" s="66" t="s">
        <v>30</v>
      </c>
      <c r="Z151" s="34" t="str">
        <f t="shared" ca="1" si="71"/>
        <v>HSVParis St. Germain</v>
      </c>
      <c r="AA151" s="13">
        <f t="shared" ca="1" si="70"/>
        <v>1</v>
      </c>
      <c r="AB151" s="723" t="str">
        <f ca="1">IF(AA151&gt;0,(Y79+AH79)&amp;Sprache!$E$90&amp;(X79+AG79),"")</f>
        <v>20:50</v>
      </c>
      <c r="AC151" s="2"/>
      <c r="AD151" s="141"/>
      <c r="AI151" s="655" t="str">
        <f ca="1">IF(AA79&gt;0,AF79&amp;Sprache!$E$90&amp;AE79,"")</f>
        <v>0:2</v>
      </c>
    </row>
    <row r="152" spans="25:35" x14ac:dyDescent="0.2">
      <c r="Y152" s="66" t="s">
        <v>31</v>
      </c>
      <c r="Z152" s="34" t="str">
        <f t="shared" ca="1" si="71"/>
        <v>Maibach 1822 eV1. FC Riedwald</v>
      </c>
      <c r="AA152" s="13">
        <f t="shared" ca="1" si="70"/>
        <v>1</v>
      </c>
      <c r="AB152" s="723" t="str">
        <f ca="1">IF(AA152&gt;0,(Y80+AH80)&amp;Sprache!$E$90&amp;(X80+AG80),"")</f>
        <v>39:50</v>
      </c>
      <c r="AC152" s="2"/>
      <c r="AD152" s="141"/>
      <c r="AI152" s="655" t="str">
        <f ca="1">IF(AA80&gt;0,AF80&amp;Sprache!$E$90&amp;AE80,"")</f>
        <v>0:2</v>
      </c>
    </row>
    <row r="153" spans="25:35" x14ac:dyDescent="0.2">
      <c r="Y153" s="66" t="s">
        <v>32</v>
      </c>
      <c r="Z153" s="34" t="str">
        <f t="shared" ca="1" si="71"/>
        <v>Manchester CityMainz 05</v>
      </c>
      <c r="AA153" s="13">
        <f t="shared" ca="1" si="70"/>
        <v>1</v>
      </c>
      <c r="AB153" s="723" t="str">
        <f ca="1">IF(AA153&gt;0,(Y81+AH81)&amp;Sprache!$E$90&amp;(X81+AG81),"")</f>
        <v>22:50</v>
      </c>
      <c r="AC153" s="2"/>
      <c r="AD153" s="141"/>
      <c r="AI153" s="655" t="str">
        <f ca="1">IF(AA81&gt;0,AF81&amp;Sprache!$E$90&amp;AE81,"")</f>
        <v>0:2</v>
      </c>
    </row>
    <row r="154" spans="25:35" x14ac:dyDescent="0.2">
      <c r="Y154" s="66" t="s">
        <v>33</v>
      </c>
      <c r="Z154" s="34" t="str">
        <f t="shared" ca="1" si="71"/>
        <v>FSV RauenKickers Rodendorf</v>
      </c>
      <c r="AA154" s="13">
        <f t="shared" ca="1" si="70"/>
        <v>1</v>
      </c>
      <c r="AB154" s="723" t="str">
        <f ca="1">IF(AA154&gt;0,(Y82+AH82)&amp;Sprache!$E$90&amp;(X82+AG82),"")</f>
        <v>23:50</v>
      </c>
      <c r="AC154" s="2"/>
      <c r="AD154" s="141"/>
      <c r="AI154" s="655" t="str">
        <f ca="1">IF(AA82&gt;0,AF82&amp;Sprache!$E$90&amp;AE82,"")</f>
        <v>0:2</v>
      </c>
    </row>
    <row r="155" spans="25:35" x14ac:dyDescent="0.2">
      <c r="Y155" s="66" t="s">
        <v>34</v>
      </c>
      <c r="Z155" s="34" t="str">
        <f t="shared" ca="1" si="71"/>
        <v>RB LeipzigTSG Saalberg eV</v>
      </c>
      <c r="AA155" s="13">
        <f t="shared" ca="1" si="70"/>
        <v>1</v>
      </c>
      <c r="AB155" s="723" t="str">
        <f ca="1">IF(AA155&gt;0,(Y83+AH83)&amp;Sprache!$E$90&amp;(X83+AG83),"")</f>
        <v>24:50</v>
      </c>
      <c r="AC155" s="2"/>
      <c r="AD155" s="141"/>
      <c r="AI155" s="655" t="str">
        <f ca="1">IF(AA83&gt;0,AF83&amp;Sprache!$E$90&amp;AE83,"")</f>
        <v>0:2</v>
      </c>
    </row>
    <row r="156" spans="25:35" x14ac:dyDescent="0.2">
      <c r="Y156" s="66" t="s">
        <v>35</v>
      </c>
      <c r="Z156" s="34" t="str">
        <f t="shared" ca="1" si="71"/>
        <v>VFB EssenheimEintracht Frankfurt</v>
      </c>
      <c r="AA156" s="13">
        <f t="shared" ca="1" si="70"/>
        <v>1</v>
      </c>
      <c r="AB156" s="723" t="str">
        <f ca="1">IF(AA156&gt;0,(Y84+AH84)&amp;Sprache!$E$90&amp;(X84+AG84),"")</f>
        <v>36:38</v>
      </c>
      <c r="AC156" s="2"/>
      <c r="AD156" s="141"/>
      <c r="AI156" s="655" t="str">
        <f ca="1">IF(AA84&gt;0,AF84&amp;Sprache!$E$90&amp;AE84,"")</f>
        <v>1:1</v>
      </c>
    </row>
    <row r="157" spans="25:35" x14ac:dyDescent="0.2">
      <c r="Y157" s="66" t="s">
        <v>36</v>
      </c>
      <c r="Z157" s="34" t="str">
        <f t="shared" ca="1" si="71"/>
        <v>FC GrönlingenSSV Wildbach</v>
      </c>
      <c r="AA157" s="13">
        <f t="shared" ca="1" si="70"/>
        <v>1</v>
      </c>
      <c r="AB157" s="723" t="str">
        <f ca="1">IF(AA157&gt;0,(Y85+AH85)&amp;Sprache!$E$90&amp;(X85+AG85),"")</f>
        <v>42:44</v>
      </c>
      <c r="AC157" s="2"/>
      <c r="AD157" s="141"/>
      <c r="AI157" s="655" t="str">
        <f ca="1">IF(AA85&gt;0,AF85&amp;Sprache!$E$90&amp;AE85,"")</f>
        <v>1:1</v>
      </c>
    </row>
    <row r="158" spans="25:35" x14ac:dyDescent="0.2">
      <c r="Y158" s="66" t="s">
        <v>37</v>
      </c>
      <c r="Z158" s="34" t="str">
        <f t="shared" ca="1" si="71"/>
        <v>1. FC NürnbergBorussia Dortmund</v>
      </c>
      <c r="AA158" s="13">
        <f t="shared" ca="1" si="70"/>
        <v>1</v>
      </c>
      <c r="AB158" s="723" t="str">
        <f ca="1">IF(AA158&gt;0,(Y86+AH86)&amp;Sprache!$E$90&amp;(X86+AG86),"")</f>
        <v>41:42</v>
      </c>
      <c r="AC158" s="2"/>
      <c r="AD158" s="141"/>
      <c r="AI158" s="655" t="str">
        <f ca="1">IF(AA86&gt;0,AF86&amp;Sprache!$E$90&amp;AE86,"")</f>
        <v>1:1</v>
      </c>
    </row>
    <row r="159" spans="25:35" x14ac:dyDescent="0.2">
      <c r="Y159" s="66" t="s">
        <v>38</v>
      </c>
      <c r="Z159" s="34" t="str">
        <f t="shared" ca="1" si="71"/>
        <v>SV OberredenburgHSV</v>
      </c>
      <c r="AA159" s="13">
        <f t="shared" ca="1" si="70"/>
        <v>1</v>
      </c>
      <c r="AB159" s="723" t="str">
        <f ca="1">IF(AA159&gt;0,(Y87+AH87)&amp;Sprache!$E$90&amp;(X87+AG87),"")</f>
        <v>44:39</v>
      </c>
      <c r="AC159" s="2"/>
      <c r="AD159" s="141"/>
      <c r="AI159" s="655" t="str">
        <f ca="1">IF(AA87&gt;0,AF87&amp;Sprache!$E$90&amp;AE87,"")</f>
        <v>1:1</v>
      </c>
    </row>
    <row r="160" spans="25:35" x14ac:dyDescent="0.2">
      <c r="Y160" s="66" t="s">
        <v>39</v>
      </c>
      <c r="Z160" s="34" t="str">
        <f t="shared" ca="1" si="71"/>
        <v>Maibach 1822 eVFC Barcelona</v>
      </c>
      <c r="AA160" s="13">
        <f t="shared" ca="1" si="70"/>
        <v>1</v>
      </c>
      <c r="AB160" s="723" t="str">
        <f ca="1">IF(AA160&gt;0,(Y88+AH88)&amp;Sprache!$E$90&amp;(X88+AG88),"")</f>
        <v>45:45</v>
      </c>
      <c r="AC160" s="2"/>
      <c r="AD160" s="141"/>
      <c r="AI160" s="655" t="str">
        <f ca="1">IF(AA88&gt;0,AF88&amp;Sprache!$E$90&amp;AE88,"")</f>
        <v>1:1</v>
      </c>
    </row>
    <row r="161" spans="25:35" x14ac:dyDescent="0.2">
      <c r="Y161" s="66" t="s">
        <v>40</v>
      </c>
      <c r="Z161" s="34" t="str">
        <f t="shared" ca="1" si="71"/>
        <v>Manchester CityInter Mailand</v>
      </c>
      <c r="AA161" s="13">
        <f t="shared" ca="1" si="70"/>
        <v>1</v>
      </c>
      <c r="AB161" s="723" t="str">
        <f ca="1">IF(AA161&gt;0,(Y89+AH89)&amp;Sprache!$E$90&amp;(X89+AG89),"")</f>
        <v>46:44</v>
      </c>
      <c r="AC161" s="2"/>
      <c r="AD161" s="141"/>
      <c r="AI161" s="655" t="str">
        <f ca="1">IF(AA89&gt;0,AF89&amp;Sprache!$E$90&amp;AE89,"")</f>
        <v>1:1</v>
      </c>
    </row>
    <row r="162" spans="25:35" x14ac:dyDescent="0.2">
      <c r="Y162" s="66" t="s">
        <v>41</v>
      </c>
      <c r="Z162" s="34" t="str">
        <f t="shared" ca="1" si="71"/>
        <v>FSV RauenReal Madrid</v>
      </c>
      <c r="AA162" s="13">
        <f t="shared" ca="1" si="70"/>
        <v>1</v>
      </c>
      <c r="AB162" s="723" t="str">
        <f ca="1">IF(AA162&gt;0,(Y90+AH90)&amp;Sprache!$E$90&amp;(X90+AG90),"")</f>
        <v>47:42</v>
      </c>
      <c r="AC162" s="2"/>
      <c r="AD162" s="141"/>
      <c r="AI162" s="655" t="str">
        <f ca="1">IF(AA90&gt;0,AF90&amp;Sprache!$E$90&amp;AE90,"")</f>
        <v>1:1</v>
      </c>
    </row>
    <row r="163" spans="25:35" x14ac:dyDescent="0.2">
      <c r="Y163" s="66" t="s">
        <v>42</v>
      </c>
      <c r="Z163" s="34" t="str">
        <f t="shared" ca="1" si="71"/>
        <v>RB LeipzigParis St. Germain</v>
      </c>
      <c r="AA163" s="13">
        <f t="shared" ca="1" si="70"/>
        <v>1</v>
      </c>
      <c r="AB163" s="723" t="str">
        <f ca="1">IF(AA163&gt;0,(Y91+AH91)&amp;Sprache!$E$90&amp;(X91+AG91),"")</f>
        <v>48:44</v>
      </c>
      <c r="AC163" s="2"/>
      <c r="AD163" s="141"/>
      <c r="AI163" s="655" t="str">
        <f ca="1">IF(AA91&gt;0,AF91&amp;Sprache!$E$90&amp;AE91,"")</f>
        <v>1:1</v>
      </c>
    </row>
    <row r="164" spans="25:35" x14ac:dyDescent="0.2">
      <c r="Y164" s="66" t="s">
        <v>43</v>
      </c>
      <c r="Z164" s="34" t="str">
        <f t="shared" ca="1" si="71"/>
        <v>1. FC RiedwaldEintracht Frankfurt</v>
      </c>
      <c r="AA164" s="13">
        <f t="shared" ca="1" si="70"/>
        <v>1</v>
      </c>
      <c r="AB164" s="723" t="str">
        <f ca="1">IF(AA164&gt;0,(Y92+AH92)&amp;Sprache!$E$90&amp;(X92+AG92),"")</f>
        <v>50:34</v>
      </c>
      <c r="AC164" s="2"/>
      <c r="AD164" s="141"/>
      <c r="AI164" s="655" t="str">
        <f ca="1">IF(AA92&gt;0,AF92&amp;Sprache!$E$90&amp;AE92,"")</f>
        <v>2:0</v>
      </c>
    </row>
    <row r="165" spans="25:35" x14ac:dyDescent="0.2">
      <c r="Y165" s="66" t="s">
        <v>44</v>
      </c>
      <c r="Z165" s="34" t="str">
        <f t="shared" ca="1" si="71"/>
        <v>Mainz 05SSV Wildbach</v>
      </c>
      <c r="AA165" s="13">
        <f t="shared" ca="1" si="70"/>
        <v>1</v>
      </c>
      <c r="AB165" s="723" t="str">
        <f ca="1">IF(AA165&gt;0,(Y93+AH93)&amp;Sprache!$E$90&amp;(X93+AG93),"")</f>
        <v>43:39</v>
      </c>
      <c r="AC165" s="2"/>
      <c r="AD165" s="141"/>
      <c r="AI165" s="655" t="str">
        <f ca="1">IF(AA93&gt;0,AF93&amp;Sprache!$E$90&amp;AE93,"")</f>
        <v>1:1</v>
      </c>
    </row>
    <row r="166" spans="25:35" x14ac:dyDescent="0.2">
      <c r="Y166" s="66" t="s">
        <v>45</v>
      </c>
      <c r="Z166" s="34" t="str">
        <f t="shared" ca="1" si="71"/>
        <v>Kickers RodendorfBorussia Dortmund</v>
      </c>
      <c r="AA166" s="13">
        <f t="shared" ca="1" si="70"/>
        <v>1</v>
      </c>
      <c r="AB166" s="723" t="str">
        <f ca="1">IF(AA166&gt;0,(Y94+AH94)&amp;Sprache!$E$90&amp;(X94+AG94),"")</f>
        <v>44:45</v>
      </c>
      <c r="AC166" s="2"/>
      <c r="AD166" s="141"/>
      <c r="AI166" s="655" t="str">
        <f ca="1">IF(AA94&gt;0,AF94&amp;Sprache!$E$90&amp;AE94,"")</f>
        <v>1:1</v>
      </c>
    </row>
    <row r="167" spans="25:35" x14ac:dyDescent="0.2">
      <c r="Y167" s="66" t="s">
        <v>46</v>
      </c>
      <c r="Z167" s="34" t="str">
        <f t="shared" ca="1" si="71"/>
        <v>TSG Saalberg eVHSV</v>
      </c>
      <c r="AA167" s="13">
        <f t="shared" ca="1" si="70"/>
        <v>1</v>
      </c>
      <c r="AB167" s="723" t="str">
        <f ca="1">IF(AA167&gt;0,(Y95+AH95)&amp;Sprache!$E$90&amp;(X95+AG95),"")</f>
        <v>45:44</v>
      </c>
      <c r="AC167" s="2"/>
      <c r="AD167" s="141"/>
      <c r="AI167" s="655" t="str">
        <f ca="1">IF(AA95&gt;0,AF95&amp;Sprache!$E$90&amp;AE95,"")</f>
        <v>1:1</v>
      </c>
    </row>
    <row r="168" spans="25:35" x14ac:dyDescent="0.2">
      <c r="Y168" s="66" t="s">
        <v>47</v>
      </c>
      <c r="Z168" s="34" t="str">
        <f t="shared" ca="1" si="71"/>
        <v>VFB EssenheimMaibach 1822 eV</v>
      </c>
      <c r="AA168" s="13">
        <f t="shared" ca="1" si="70"/>
        <v>1</v>
      </c>
      <c r="AB168" s="723" t="str">
        <f ca="1">IF(AA168&gt;0,(Y96+AH96)&amp;Sprache!$E$90&amp;(X96+AG96),"")</f>
        <v>46:42</v>
      </c>
      <c r="AC168" s="2"/>
      <c r="AD168" s="141"/>
      <c r="AI168" s="655" t="str">
        <f ca="1">IF(AA96&gt;0,AF96&amp;Sprache!$E$90&amp;AE96,"")</f>
        <v>1:1</v>
      </c>
    </row>
    <row r="169" spans="25:35" x14ac:dyDescent="0.2">
      <c r="Y169" s="66" t="s">
        <v>48</v>
      </c>
      <c r="Z169" s="34" t="str">
        <f t="shared" ca="1" si="71"/>
        <v>FC GrönlingenManchester City</v>
      </c>
      <c r="AA169" s="13">
        <f t="shared" ca="1" si="70"/>
        <v>1</v>
      </c>
      <c r="AB169" s="723" t="str">
        <f ca="1">IF(AA169&gt;0,(Y97+AH97)&amp;Sprache!$E$90&amp;(X97+AG97),"")</f>
        <v>47:39</v>
      </c>
      <c r="AC169" s="2"/>
      <c r="AD169" s="141"/>
      <c r="AI169" s="655" t="str">
        <f ca="1">IF(AA97&gt;0,AF97&amp;Sprache!$E$90&amp;AE97,"")</f>
        <v>1:1</v>
      </c>
    </row>
    <row r="170" spans="25:35" x14ac:dyDescent="0.2">
      <c r="Y170" s="66" t="s">
        <v>49</v>
      </c>
      <c r="Z170" s="34" t="str">
        <f t="shared" ca="1" si="71"/>
        <v>1. FC NürnbergFSV Rauen</v>
      </c>
      <c r="AA170" s="13">
        <f t="shared" ca="1" si="70"/>
        <v>1</v>
      </c>
      <c r="AB170" s="723" t="str">
        <f ca="1">IF(AA170&gt;0,(Y98+AH98)&amp;Sprache!$E$90&amp;(X98+AG98),"")</f>
        <v>34:50</v>
      </c>
      <c r="AC170" s="2"/>
      <c r="AD170" s="141"/>
      <c r="AI170" s="655" t="str">
        <f ca="1">IF(AA98&gt;0,AF98&amp;Sprache!$E$90&amp;AE98,"")</f>
        <v>0:2</v>
      </c>
    </row>
    <row r="171" spans="25:35" x14ac:dyDescent="0.2">
      <c r="Y171" s="66" t="s">
        <v>50</v>
      </c>
      <c r="Z171" s="34" t="str">
        <f t="shared" ca="1" si="71"/>
        <v>SV OberredenburgRB Leipzig</v>
      </c>
      <c r="AA171" s="13">
        <f t="shared" ca="1" si="70"/>
        <v>1</v>
      </c>
      <c r="AB171" s="723" t="str">
        <f ca="1">IF(AA171&gt;0,(Y99+AH99)&amp;Sprache!$E$90&amp;(X99+AG99),"")</f>
        <v>36:50</v>
      </c>
      <c r="AC171" s="2"/>
      <c r="AD171" s="141"/>
      <c r="AI171" s="655" t="str">
        <f ca="1">IF(AA99&gt;0,AF99&amp;Sprache!$E$90&amp;AE99,"")</f>
        <v>0:2</v>
      </c>
    </row>
    <row r="172" spans="25:35" x14ac:dyDescent="0.2">
      <c r="Y172" s="66" t="s">
        <v>58</v>
      </c>
      <c r="Z172" s="34" t="str">
        <f t="shared" ca="1" si="71"/>
        <v>FC Barcelona1. FC Riedwald</v>
      </c>
      <c r="AA172" s="13">
        <f t="shared" ca="1" si="70"/>
        <v>1</v>
      </c>
      <c r="AB172" s="723" t="str">
        <f ca="1">IF(AA172&gt;0,(Y100+AH100)&amp;Sprache!$E$90&amp;(X100+AG100),"")</f>
        <v>35:50</v>
      </c>
      <c r="AC172" s="2"/>
      <c r="AD172" s="141"/>
      <c r="AI172" s="655" t="str">
        <f ca="1">IF(AA100&gt;0,AF100&amp;Sprache!$E$90&amp;AE100,"")</f>
        <v>0:2</v>
      </c>
    </row>
    <row r="173" spans="25:35" x14ac:dyDescent="0.2">
      <c r="Y173" s="66" t="s">
        <v>59</v>
      </c>
      <c r="Z173" s="34" t="str">
        <f t="shared" ca="1" si="71"/>
        <v>Inter MailandMainz 05</v>
      </c>
      <c r="AA173" s="13">
        <f t="shared" ca="1" si="70"/>
        <v>1</v>
      </c>
      <c r="AB173" s="723" t="str">
        <f ca="1">IF(AA173&gt;0,(Y101+AH101)&amp;Sprache!$E$90&amp;(X101+AG101),"")</f>
        <v>33:50</v>
      </c>
      <c r="AC173" s="2"/>
      <c r="AD173" s="141"/>
      <c r="AI173" s="655" t="str">
        <f ca="1">IF(AA101&gt;0,AF101&amp;Sprache!$E$90&amp;AE101,"")</f>
        <v>0:2</v>
      </c>
    </row>
    <row r="174" spans="25:35" x14ac:dyDescent="0.2">
      <c r="Y174" s="66" t="s">
        <v>60</v>
      </c>
      <c r="Z174" s="34" t="str">
        <f t="shared" ca="1" si="71"/>
        <v>Real MadridKickers Rodendorf</v>
      </c>
      <c r="AA174" s="13">
        <f t="shared" ca="1" si="70"/>
        <v>1</v>
      </c>
      <c r="AB174" s="723" t="str">
        <f ca="1">IF(AA174&gt;0,(Y102+AH102)&amp;Sprache!$E$90&amp;(X102+AG102),"")</f>
        <v>45:38</v>
      </c>
      <c r="AC174" s="2"/>
      <c r="AD174" s="141"/>
      <c r="AI174" s="655" t="str">
        <f ca="1">IF(AA102&gt;0,AF102&amp;Sprache!$E$90&amp;AE102,"")</f>
        <v>1:1</v>
      </c>
    </row>
    <row r="175" spans="25:35" x14ac:dyDescent="0.2">
      <c r="Y175" s="66" t="s">
        <v>61</v>
      </c>
      <c r="Z175" s="34" t="str">
        <f t="shared" ca="1" si="71"/>
        <v>Paris St. GermainTSG Saalberg eV</v>
      </c>
      <c r="AA175" s="13">
        <f t="shared" ca="1" si="70"/>
        <v>1</v>
      </c>
      <c r="AB175" s="723" t="str">
        <f ca="1">IF(AA175&gt;0,(Y103+AH103)&amp;Sprache!$E$90&amp;(X103+AG103),"")</f>
        <v>46:43</v>
      </c>
      <c r="AC175" s="2"/>
      <c r="AD175" s="141"/>
      <c r="AI175" s="655" t="str">
        <f ca="1">IF(AA103&gt;0,AF103&amp;Sprache!$E$90&amp;AE103,"")</f>
        <v>1:1</v>
      </c>
    </row>
    <row r="176" spans="25:35" x14ac:dyDescent="0.2">
      <c r="Y176" s="66" t="s">
        <v>62</v>
      </c>
      <c r="Z176" s="34" t="str">
        <f t="shared" ca="1" si="71"/>
        <v/>
      </c>
      <c r="AA176" s="13">
        <f t="shared" ca="1" si="70"/>
        <v>0</v>
      </c>
      <c r="AB176" s="723" t="str">
        <f ca="1">IF(AA176&gt;0,(Y104+AH104)&amp;Sprache!$E$90&amp;(X104+AG104),"")</f>
        <v/>
      </c>
      <c r="AC176" s="2"/>
      <c r="AD176" s="141"/>
      <c r="AI176" s="655" t="str">
        <f ca="1">IF(AA104&gt;0,AF104&amp;Sprache!$E$90&amp;AE104,"")</f>
        <v/>
      </c>
    </row>
    <row r="177" spans="25:35" x14ac:dyDescent="0.2">
      <c r="Y177" s="66" t="s">
        <v>63</v>
      </c>
      <c r="Z177" s="34" t="str">
        <f t="shared" ca="1" si="71"/>
        <v/>
      </c>
      <c r="AA177" s="13">
        <f t="shared" ca="1" si="70"/>
        <v>0</v>
      </c>
      <c r="AB177" s="723" t="str">
        <f ca="1">IF(AA177&gt;0,(Y105+AH105)&amp;Sprache!$E$90&amp;(X105+AG105),"")</f>
        <v/>
      </c>
      <c r="AC177" s="2"/>
      <c r="AD177" s="141"/>
      <c r="AI177" s="655" t="str">
        <f ca="1">IF(AA105&gt;0,AF105&amp;Sprache!$E$90&amp;AE105,"")</f>
        <v/>
      </c>
    </row>
    <row r="178" spans="25:35" x14ac:dyDescent="0.2">
      <c r="Y178" s="66" t="s">
        <v>64</v>
      </c>
      <c r="Z178" s="34" t="str">
        <f t="shared" ca="1" si="71"/>
        <v/>
      </c>
      <c r="AA178" s="13">
        <f t="shared" ca="1" si="70"/>
        <v>0</v>
      </c>
      <c r="AB178" s="723" t="str">
        <f ca="1">IF(AA178&gt;0,(Y106+AH106)&amp;Sprache!$E$90&amp;(X106+AG106),"")</f>
        <v/>
      </c>
      <c r="AC178" s="2"/>
      <c r="AD178" s="141"/>
      <c r="AI178" s="655" t="str">
        <f ca="1">IF(AA106&gt;0,AF106&amp;Sprache!$E$90&amp;AE106,"")</f>
        <v/>
      </c>
    </row>
    <row r="179" spans="25:35" x14ac:dyDescent="0.2">
      <c r="Y179" s="66" t="s">
        <v>65</v>
      </c>
      <c r="Z179" s="34" t="str">
        <f t="shared" ca="1" si="71"/>
        <v/>
      </c>
      <c r="AA179" s="13">
        <f t="shared" ca="1" si="70"/>
        <v>0</v>
      </c>
      <c r="AB179" s="723" t="str">
        <f ca="1">IF(AA179&gt;0,(Y107+AH107)&amp;Sprache!$E$90&amp;(X107+AG107),"")</f>
        <v/>
      </c>
      <c r="AC179" s="2"/>
      <c r="AD179" s="141"/>
      <c r="AI179" s="655" t="str">
        <f ca="1">IF(AA107&gt;0,AF107&amp;Sprache!$E$90&amp;AE107,"")</f>
        <v/>
      </c>
    </row>
    <row r="180" spans="25:35" x14ac:dyDescent="0.2">
      <c r="Y180" s="66" t="s">
        <v>66</v>
      </c>
      <c r="Z180" s="34" t="str">
        <f t="shared" ca="1" si="71"/>
        <v/>
      </c>
      <c r="AA180" s="13">
        <f t="shared" ca="1" si="70"/>
        <v>0</v>
      </c>
      <c r="AB180" s="723" t="str">
        <f ca="1">IF(AA180&gt;0,(Y108+AH108)&amp;Sprache!$E$90&amp;(X108+AG108),"")</f>
        <v/>
      </c>
      <c r="AC180" s="2"/>
      <c r="AD180" s="141"/>
      <c r="AI180" s="655" t="str">
        <f ca="1">IF(AA108&gt;0,AF108&amp;Sprache!$E$90&amp;AE108,"")</f>
        <v/>
      </c>
    </row>
    <row r="181" spans="25:35" x14ac:dyDescent="0.2">
      <c r="Y181" s="66" t="s">
        <v>67</v>
      </c>
      <c r="Z181" s="34" t="str">
        <f t="shared" ca="1" si="71"/>
        <v/>
      </c>
      <c r="AA181" s="13">
        <f t="shared" ca="1" si="70"/>
        <v>0</v>
      </c>
      <c r="AB181" s="723" t="str">
        <f ca="1">IF(AA181&gt;0,(Y109+AH109)&amp;Sprache!$E$90&amp;(X109+AG109),"")</f>
        <v/>
      </c>
      <c r="AC181" s="2"/>
      <c r="AD181" s="141"/>
      <c r="AI181" s="655" t="str">
        <f ca="1">IF(AA109&gt;0,AF109&amp;Sprache!$E$90&amp;AE109,"")</f>
        <v/>
      </c>
    </row>
    <row r="182" spans="25:35" x14ac:dyDescent="0.2">
      <c r="Y182" s="66" t="s">
        <v>68</v>
      </c>
      <c r="Z182" s="34" t="str">
        <f t="shared" ca="1" si="71"/>
        <v/>
      </c>
      <c r="AA182" s="13">
        <f t="shared" ca="1" si="70"/>
        <v>0</v>
      </c>
      <c r="AB182" s="723" t="str">
        <f ca="1">IF(AA182&gt;0,(Y110+AH110)&amp;Sprache!$E$90&amp;(X110+AG110),"")</f>
        <v/>
      </c>
      <c r="AC182" s="2"/>
      <c r="AD182" s="141"/>
      <c r="AI182" s="655" t="str">
        <f ca="1">IF(AA110&gt;0,AF110&amp;Sprache!$E$90&amp;AE110,"")</f>
        <v/>
      </c>
    </row>
    <row r="183" spans="25:35" x14ac:dyDescent="0.2">
      <c r="Y183" s="66" t="s">
        <v>69</v>
      </c>
      <c r="Z183" s="34" t="str">
        <f t="shared" ca="1" si="71"/>
        <v/>
      </c>
      <c r="AA183" s="13">
        <f t="shared" ca="1" si="70"/>
        <v>0</v>
      </c>
      <c r="AB183" s="723" t="str">
        <f ca="1">IF(AA183&gt;0,(Y111+AH111)&amp;Sprache!$E$90&amp;(X111+AG111),"")</f>
        <v/>
      </c>
      <c r="AC183" s="2"/>
      <c r="AD183" s="141"/>
      <c r="AI183" s="655" t="str">
        <f ca="1">IF(AA111&gt;0,AF111&amp;Sprache!$E$90&amp;AE111,"")</f>
        <v/>
      </c>
    </row>
    <row r="184" spans="25:35" x14ac:dyDescent="0.2">
      <c r="Y184" s="66" t="s">
        <v>70</v>
      </c>
      <c r="Z184" s="34" t="str">
        <f t="shared" ca="1" si="71"/>
        <v/>
      </c>
      <c r="AA184" s="13">
        <f t="shared" ca="1" si="70"/>
        <v>0</v>
      </c>
      <c r="AB184" s="723" t="str">
        <f ca="1">IF(AA184&gt;0,(Y112+AH112)&amp;Sprache!$E$90&amp;(X112+AG112),"")</f>
        <v/>
      </c>
      <c r="AC184" s="2"/>
      <c r="AD184" s="141"/>
      <c r="AI184" s="655" t="str">
        <f ca="1">IF(AA112&gt;0,AF112&amp;Sprache!$E$90&amp;AE112,"")</f>
        <v/>
      </c>
    </row>
    <row r="185" spans="25:35" x14ac:dyDescent="0.2">
      <c r="Y185" s="66" t="s">
        <v>71</v>
      </c>
      <c r="Z185" s="34" t="str">
        <f t="shared" ca="1" si="71"/>
        <v/>
      </c>
      <c r="AA185" s="13">
        <f t="shared" ca="1" si="70"/>
        <v>0</v>
      </c>
      <c r="AB185" s="723" t="str">
        <f ca="1">IF(AA185&gt;0,(Y113+AH113)&amp;Sprache!$E$90&amp;(X113+AG113),"")</f>
        <v/>
      </c>
      <c r="AC185" s="2"/>
      <c r="AD185" s="141"/>
      <c r="AI185" s="655" t="str">
        <f ca="1">IF(AA113&gt;0,AF113&amp;Sprache!$E$90&amp;AE113,"")</f>
        <v/>
      </c>
    </row>
    <row r="186" spans="25:35" x14ac:dyDescent="0.2">
      <c r="Y186" s="66" t="s">
        <v>72</v>
      </c>
      <c r="Z186" s="34" t="str">
        <f t="shared" ca="1" si="71"/>
        <v/>
      </c>
      <c r="AA186" s="13">
        <f t="shared" ca="1" si="70"/>
        <v>0</v>
      </c>
      <c r="AB186" s="723" t="str">
        <f ca="1">IF(AA186&gt;0,(Y114+AH114)&amp;Sprache!$E$90&amp;(X114+AG114),"")</f>
        <v/>
      </c>
      <c r="AC186" s="2"/>
      <c r="AD186" s="141"/>
      <c r="AI186" s="655" t="str">
        <f ca="1">IF(AA114&gt;0,AF114&amp;Sprache!$E$90&amp;AE114,"")</f>
        <v/>
      </c>
    </row>
    <row r="187" spans="25:35" x14ac:dyDescent="0.2">
      <c r="Y187" s="66" t="s">
        <v>73</v>
      </c>
      <c r="Z187" s="34" t="str">
        <f t="shared" ca="1" si="71"/>
        <v/>
      </c>
      <c r="AA187" s="13">
        <f t="shared" ca="1" si="70"/>
        <v>0</v>
      </c>
      <c r="AB187" s="723" t="str">
        <f ca="1">IF(AA187&gt;0,(Y115+AH115)&amp;Sprache!$E$90&amp;(X115+AG115),"")</f>
        <v/>
      </c>
      <c r="AC187" s="2"/>
      <c r="AD187" s="141"/>
      <c r="AI187" s="655" t="str">
        <f ca="1">IF(AA115&gt;0,AF115&amp;Sprache!$E$90&amp;AE115,"")</f>
        <v/>
      </c>
    </row>
    <row r="188" spans="25:35" x14ac:dyDescent="0.2">
      <c r="Y188" s="66" t="s">
        <v>74</v>
      </c>
      <c r="Z188" s="34" t="str">
        <f t="shared" ca="1" si="71"/>
        <v/>
      </c>
      <c r="AA188" s="13">
        <f t="shared" ca="1" si="70"/>
        <v>0</v>
      </c>
      <c r="AB188" s="723" t="str">
        <f ca="1">IF(AA188&gt;0,(Y116+AH116)&amp;Sprache!$E$90&amp;(X116+AG116),"")</f>
        <v/>
      </c>
      <c r="AC188" s="2"/>
      <c r="AD188" s="141"/>
      <c r="AI188" s="655" t="str">
        <f ca="1">IF(AA116&gt;0,AF116&amp;Sprache!$E$90&amp;AE116,"")</f>
        <v/>
      </c>
    </row>
    <row r="189" spans="25:35" x14ac:dyDescent="0.2">
      <c r="Y189" s="66" t="s">
        <v>75</v>
      </c>
      <c r="Z189" s="34" t="str">
        <f t="shared" ca="1" si="71"/>
        <v/>
      </c>
      <c r="AA189" s="13">
        <f t="shared" ca="1" si="70"/>
        <v>0</v>
      </c>
      <c r="AB189" s="723" t="str">
        <f ca="1">IF(AA189&gt;0,(Y117+AH117)&amp;Sprache!$E$90&amp;(X117+AG117),"")</f>
        <v/>
      </c>
      <c r="AC189" s="2"/>
      <c r="AD189" s="141"/>
      <c r="AI189" s="655" t="str">
        <f ca="1">IF(AA117&gt;0,AF117&amp;Sprache!$E$90&amp;AE117,"")</f>
        <v/>
      </c>
    </row>
    <row r="190" spans="25:35" x14ac:dyDescent="0.2">
      <c r="Y190" s="66" t="s">
        <v>76</v>
      </c>
      <c r="Z190" s="34" t="str">
        <f t="shared" ca="1" si="71"/>
        <v/>
      </c>
      <c r="AA190" s="13">
        <f t="shared" ca="1" si="70"/>
        <v>0</v>
      </c>
      <c r="AB190" s="723" t="str">
        <f ca="1">IF(AA190&gt;0,(Y118+AH118)&amp;Sprache!$E$90&amp;(X118+AG118),"")</f>
        <v/>
      </c>
      <c r="AC190" s="2"/>
      <c r="AD190" s="141"/>
      <c r="AI190" s="655" t="str">
        <f ca="1">IF(AA118&gt;0,AF118&amp;Sprache!$E$90&amp;AE118,"")</f>
        <v/>
      </c>
    </row>
    <row r="191" spans="25:35" x14ac:dyDescent="0.2">
      <c r="Y191" s="66" t="s">
        <v>77</v>
      </c>
      <c r="Z191" s="34" t="str">
        <f t="shared" ca="1" si="71"/>
        <v/>
      </c>
      <c r="AA191" s="13">
        <f t="shared" ca="1" si="70"/>
        <v>0</v>
      </c>
      <c r="AB191" s="723" t="str">
        <f ca="1">IF(AA191&gt;0,(Y119+AH119)&amp;Sprache!$E$90&amp;(X119+AG119),"")</f>
        <v/>
      </c>
      <c r="AC191" s="2"/>
      <c r="AD191" s="141"/>
      <c r="AI191" s="655" t="str">
        <f ca="1">IF(AA119&gt;0,AF119&amp;Sprache!$E$90&amp;AE119,"")</f>
        <v/>
      </c>
    </row>
    <row r="192" spans="25:35" x14ac:dyDescent="0.2">
      <c r="Y192" s="66" t="s">
        <v>78</v>
      </c>
      <c r="Z192" s="34" t="str">
        <f t="shared" ca="1" si="71"/>
        <v/>
      </c>
      <c r="AA192" s="13">
        <f t="shared" ca="1" si="70"/>
        <v>0</v>
      </c>
      <c r="AB192" s="723" t="str">
        <f ca="1">IF(AA192&gt;0,(Y120+AH120)&amp;Sprache!$E$90&amp;(X120+AG120),"")</f>
        <v/>
      </c>
      <c r="AC192" s="2"/>
      <c r="AD192" s="141"/>
      <c r="AI192" s="655" t="str">
        <f ca="1">IF(AA120&gt;0,AF120&amp;Sprache!$E$90&amp;AE120,"")</f>
        <v/>
      </c>
    </row>
    <row r="193" spans="25:35" x14ac:dyDescent="0.2">
      <c r="Y193" s="66" t="s">
        <v>79</v>
      </c>
      <c r="Z193" s="34" t="str">
        <f t="shared" ca="1" si="71"/>
        <v/>
      </c>
      <c r="AA193" s="13">
        <f t="shared" ca="1" si="70"/>
        <v>0</v>
      </c>
      <c r="AB193" s="723" t="str">
        <f ca="1">IF(AA193&gt;0,(Y121+AH121)&amp;Sprache!$E$90&amp;(X121+AG121),"")</f>
        <v/>
      </c>
      <c r="AC193" s="2"/>
      <c r="AD193" s="141"/>
      <c r="AI193" s="655" t="str">
        <f ca="1">IF(AA121&gt;0,AF121&amp;Sprache!$E$90&amp;AE121,"")</f>
        <v/>
      </c>
    </row>
    <row r="194" spans="25:35" x14ac:dyDescent="0.2">
      <c r="Y194" s="66" t="s">
        <v>80</v>
      </c>
      <c r="Z194" s="34" t="str">
        <f t="shared" ca="1" si="71"/>
        <v/>
      </c>
      <c r="AA194" s="13">
        <f t="shared" ca="1" si="70"/>
        <v>0</v>
      </c>
      <c r="AB194" s="723" t="str">
        <f ca="1">IF(AA194&gt;0,(Y122+AH122)&amp;Sprache!$E$90&amp;(X122+AG122),"")</f>
        <v/>
      </c>
      <c r="AC194" s="2"/>
      <c r="AD194" s="141"/>
      <c r="AI194" s="655" t="str">
        <f ca="1">IF(AA122&gt;0,AF122&amp;Sprache!$E$90&amp;AE122,"")</f>
        <v/>
      </c>
    </row>
    <row r="195" spans="25:35" ht="12.75" thickBot="1" x14ac:dyDescent="0.25">
      <c r="Y195" s="66" t="s">
        <v>81</v>
      </c>
      <c r="Z195" s="34" t="str">
        <f t="shared" ca="1" si="71"/>
        <v/>
      </c>
      <c r="AA195" s="13">
        <f t="shared" ca="1" si="70"/>
        <v>0</v>
      </c>
      <c r="AB195" s="723" t="str">
        <f ca="1">IF(AA195&gt;0,(Y123+AH123)&amp;Sprache!$E$90&amp;(X123+AG123),"")</f>
        <v/>
      </c>
      <c r="AC195" s="2"/>
      <c r="AD195" s="141"/>
      <c r="AI195" s="655" t="str">
        <f ca="1">IF(AA123&gt;0,AF123&amp;Sprache!$E$90&amp;AE123,"")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23" t="str">
        <f>""</f>
        <v/>
      </c>
      <c r="AC197" s="2"/>
      <c r="AD197" s="141"/>
      <c r="AI197" s="656"/>
    </row>
    <row r="198" spans="25:35" x14ac:dyDescent="0.2">
      <c r="Y198" s="66" t="s">
        <v>84</v>
      </c>
      <c r="Z198" s="34" t="str">
        <f>""</f>
        <v/>
      </c>
      <c r="AA198" s="13">
        <v>0</v>
      </c>
      <c r="AB198" s="723" t="str">
        <f>""</f>
        <v/>
      </c>
      <c r="AC198" s="2"/>
      <c r="AD198" s="141"/>
      <c r="AI198" s="656"/>
    </row>
    <row r="199" spans="25:35" x14ac:dyDescent="0.2">
      <c r="Y199" s="66" t="s">
        <v>85</v>
      </c>
      <c r="Z199" s="34" t="str">
        <f>""</f>
        <v/>
      </c>
      <c r="AA199" s="13">
        <v>0</v>
      </c>
      <c r="AB199" s="723" t="str">
        <f>""</f>
        <v/>
      </c>
      <c r="AC199" s="2"/>
      <c r="AD199" s="141"/>
      <c r="AI199" s="656"/>
    </row>
    <row r="200" spans="25:35" x14ac:dyDescent="0.2">
      <c r="Y200" s="66" t="s">
        <v>86</v>
      </c>
      <c r="Z200" s="34" t="str">
        <f>""</f>
        <v/>
      </c>
      <c r="AA200" s="13">
        <v>0</v>
      </c>
      <c r="AB200" s="723" t="str">
        <f>""</f>
        <v/>
      </c>
      <c r="AC200" s="2"/>
      <c r="AD200" s="141"/>
      <c r="AI200" s="656"/>
    </row>
    <row r="201" spans="25:35" x14ac:dyDescent="0.2">
      <c r="Y201" s="66" t="s">
        <v>87</v>
      </c>
      <c r="Z201" s="34" t="str">
        <f>""</f>
        <v/>
      </c>
      <c r="AA201" s="13">
        <v>0</v>
      </c>
      <c r="AB201" s="723" t="str">
        <f>""</f>
        <v/>
      </c>
      <c r="AC201" s="2"/>
      <c r="AD201" s="141"/>
      <c r="AI201" s="656"/>
    </row>
    <row r="202" spans="25:35" x14ac:dyDescent="0.2">
      <c r="Y202" s="66" t="s">
        <v>88</v>
      </c>
      <c r="Z202" s="34" t="str">
        <f>""</f>
        <v/>
      </c>
      <c r="AA202" s="13">
        <v>0</v>
      </c>
      <c r="AB202" s="723" t="str">
        <f>""</f>
        <v/>
      </c>
      <c r="AC202" s="2"/>
      <c r="AD202" s="141"/>
      <c r="AE202" s="658"/>
      <c r="AF202" s="659"/>
      <c r="AG202" s="659"/>
      <c r="AH202" s="660"/>
      <c r="AI202" s="656"/>
    </row>
    <row r="203" spans="25:35" x14ac:dyDescent="0.2">
      <c r="Y203" s="66" t="s">
        <v>89</v>
      </c>
      <c r="Z203" s="34" t="str">
        <f>""</f>
        <v/>
      </c>
      <c r="AA203" s="13">
        <v>0</v>
      </c>
      <c r="AB203" s="723" t="str">
        <f>""</f>
        <v/>
      </c>
      <c r="AC203" s="2"/>
      <c r="AD203" s="141"/>
      <c r="AE203" s="658"/>
      <c r="AF203" s="659"/>
      <c r="AG203" s="659"/>
      <c r="AH203" s="660"/>
      <c r="AI203" s="656"/>
    </row>
    <row r="204" spans="25:35" x14ac:dyDescent="0.2">
      <c r="Y204" s="66" t="s">
        <v>90</v>
      </c>
      <c r="Z204" s="34" t="str">
        <f>""</f>
        <v/>
      </c>
      <c r="AA204" s="13">
        <v>0</v>
      </c>
      <c r="AB204" s="723" t="str">
        <f>""</f>
        <v/>
      </c>
      <c r="AC204" s="2"/>
      <c r="AD204" s="141"/>
      <c r="AE204" s="658"/>
      <c r="AF204" s="659"/>
      <c r="AG204" s="659"/>
      <c r="AH204" s="660"/>
      <c r="AI204" s="656"/>
    </row>
    <row r="205" spans="25:35" x14ac:dyDescent="0.2">
      <c r="Y205" s="66" t="s">
        <v>91</v>
      </c>
      <c r="Z205" s="34" t="str">
        <f>""</f>
        <v/>
      </c>
      <c r="AA205" s="13">
        <v>0</v>
      </c>
      <c r="AB205" s="723" t="str">
        <f>""</f>
        <v/>
      </c>
      <c r="AC205" s="2"/>
      <c r="AD205" s="141"/>
      <c r="AE205" s="658"/>
      <c r="AF205" s="659"/>
      <c r="AG205" s="659"/>
      <c r="AH205" s="660"/>
      <c r="AI205" s="656"/>
    </row>
    <row r="206" spans="25:35" x14ac:dyDescent="0.2">
      <c r="Y206" s="66" t="s">
        <v>92</v>
      </c>
      <c r="Z206" s="34" t="str">
        <f>""</f>
        <v/>
      </c>
      <c r="AA206" s="13">
        <v>0</v>
      </c>
      <c r="AB206" s="723" t="str">
        <f>""</f>
        <v/>
      </c>
      <c r="AC206" s="2"/>
      <c r="AD206" s="141"/>
      <c r="AE206" s="658"/>
      <c r="AF206" s="659"/>
      <c r="AG206" s="659"/>
      <c r="AH206" s="660"/>
      <c r="AI206" s="656"/>
    </row>
    <row r="207" spans="25:35" ht="12.75" thickBot="1" x14ac:dyDescent="0.25">
      <c r="Y207" s="67" t="s">
        <v>93</v>
      </c>
      <c r="Z207" s="36" t="str">
        <f>""</f>
        <v/>
      </c>
      <c r="AA207" s="37">
        <v>0</v>
      </c>
      <c r="AB207" s="142" t="str">
        <f>""</f>
        <v/>
      </c>
      <c r="AC207" s="144"/>
      <c r="AD207" s="143"/>
      <c r="AE207" s="661"/>
      <c r="AF207" s="662"/>
      <c r="AG207" s="662"/>
      <c r="AH207" s="663"/>
      <c r="AI207" s="657"/>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5" s="2" customFormat="1" x14ac:dyDescent="0.2"/>
    <row r="2" spans="1:45" s="2" customFormat="1" x14ac:dyDescent="0.2">
      <c r="B2" s="13"/>
      <c r="C2" s="13"/>
      <c r="D2" s="13"/>
      <c r="E2" s="13"/>
      <c r="F2" s="1"/>
      <c r="G2" s="1"/>
      <c r="H2" s="1"/>
      <c r="I2" s="1"/>
      <c r="J2" s="1" t="s">
        <v>376</v>
      </c>
      <c r="K2" s="1"/>
      <c r="L2" s="1"/>
      <c r="M2" s="1"/>
      <c r="N2" s="13"/>
      <c r="O2" s="1"/>
      <c r="P2" s="1"/>
      <c r="Q2" s="1"/>
      <c r="W2" s="2" t="s">
        <v>148</v>
      </c>
    </row>
    <row r="3" spans="1:45" s="2" customFormat="1" ht="13.5" customHeight="1" thickBot="1" x14ac:dyDescent="0.25">
      <c r="B3" s="1"/>
      <c r="C3" s="13"/>
      <c r="D3" s="13"/>
      <c r="E3" s="13"/>
      <c r="F3" s="13"/>
      <c r="G3" s="69" t="s">
        <v>106</v>
      </c>
      <c r="H3" s="69" t="s">
        <v>107</v>
      </c>
      <c r="I3" s="651" t="s">
        <v>108</v>
      </c>
      <c r="J3" s="27" t="s">
        <v>109</v>
      </c>
      <c r="K3" s="651"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995">
        <f ca="1">IF($O$4&lt;10,$O$4,0)</f>
        <v>0</v>
      </c>
      <c r="X3" s="996"/>
      <c r="Y3" s="996"/>
      <c r="Z3" s="996"/>
      <c r="AA3" s="996"/>
      <c r="AB3" s="995">
        <f ca="1">IF($P$4&lt;10,$P$4,0)</f>
        <v>0</v>
      </c>
      <c r="AC3" s="996"/>
      <c r="AD3" s="996"/>
      <c r="AE3" s="996"/>
      <c r="AF3" s="996"/>
      <c r="AG3" s="995">
        <f ca="1">IF($Q$4&lt;10,$Q$4,0)</f>
        <v>0</v>
      </c>
      <c r="AH3" s="996"/>
      <c r="AI3" s="996"/>
      <c r="AJ3" s="996"/>
      <c r="AK3" s="996"/>
      <c r="AL3" s="995">
        <f ca="1">IF($R$4&lt;10,$R$4,0)</f>
        <v>0</v>
      </c>
      <c r="AM3" s="996"/>
      <c r="AN3" s="996"/>
      <c r="AO3" s="996"/>
      <c r="AP3" s="996"/>
      <c r="AR3" s="27" t="s">
        <v>423</v>
      </c>
      <c r="AS3" s="27" t="s">
        <v>424</v>
      </c>
    </row>
    <row r="4" spans="1:45" s="2" customFormat="1" ht="12.75" thickTop="1" x14ac:dyDescent="0.2">
      <c r="A4" s="251"/>
      <c r="B4" s="1">
        <v>1</v>
      </c>
      <c r="C4" s="21">
        <f ca="1">RANK(D4,$D$4:$D$12,1)</f>
        <v>1</v>
      </c>
      <c r="D4" s="13">
        <f ca="1">E4+ROW()/1000+(F4="")*10</f>
        <v>1.004</v>
      </c>
      <c r="E4" s="263">
        <f ca="1">IF($AI$15,RANK(AH17,AH$17:AH$25,1),RANK(X17,X$17:X$25,1))</f>
        <v>1</v>
      </c>
      <c r="F4" s="1" t="str">
        <f>$Q64</f>
        <v>TSG Saalberg eV</v>
      </c>
      <c r="G4" s="1">
        <f ca="1">SUMIFS($X$64:$X$135,$V$64:$V$135,$F4)+SUMIFS($Y$64:$Y$135,$W$64:$W$135,$F4)+SUMIFS($AG$64:$AG$135,$V$64:$V$135,$F4)+SUMIFS($AH$64:$AH$135,$W$64:$W$135,$F4)</f>
        <v>184</v>
      </c>
      <c r="H4" s="1">
        <f ca="1">SUMIFS($Y$64:$Y$135,$V$64:$V$135,$F4)+SUMIFS($X$64:$X$135,$W$64:$W$135,$F4)+SUMIFS($AH$64:$AH$135,$V$64:$V$135,$F4)+SUMIFS($AG$64:$AG$135,$W$64:$W$135,$F4)</f>
        <v>158</v>
      </c>
      <c r="I4" s="736">
        <f ca="1">IF(Einstellungen!$G$7,G4-H4,IF(H4=0,IF(G4=0,0,Einstellungen!$F$7),G4/H4))</f>
        <v>26</v>
      </c>
      <c r="J4" s="1">
        <f ca="1">SUMPRODUCT(($V$64:$V$135=F4)*$AE$64:$AE$135*$AA$64:$AA$135)+SUMPRODUCT(($W$64:$W$135=F4)*$AF$64:$AF$135*$AA$64:$AA$135)</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8">
        <f ca="1">SMALL($O$3:$V$3,1)</f>
        <v>99999</v>
      </c>
      <c r="P4" s="118">
        <f ca="1">SMALL($O$3:$V$3,2)</f>
        <v>99999</v>
      </c>
      <c r="Q4" s="118">
        <f ca="1">SMALL($O$3:$V$3,3)</f>
        <v>99999</v>
      </c>
      <c r="R4" s="118">
        <f ca="1">SMALL($O$3:$V$3,4)</f>
        <v>99999</v>
      </c>
      <c r="V4" s="1"/>
      <c r="W4" s="629" t="str">
        <f ca="1">IFERROR(INDEX($O$17:$V$25,ROW(A1),$W$3),"")</f>
        <v/>
      </c>
      <c r="X4" s="630" t="str">
        <f ca="1">INDEX($W$4:$W$12,MATCH(ROW(A1),$AA$4:$AA$12,0))</f>
        <v/>
      </c>
      <c r="Y4" s="631">
        <f ca="1">IF($W4="",99999,VLOOKUP($W4,$C$17:$Z$25,24,0))</f>
        <v>99999</v>
      </c>
      <c r="Z4" s="632">
        <f ca="1">RANK(Y4,Y$4:Y$12,1)+INDEX($E$4:$E$12,MATCH(W4,$F$4:$F$12,0))/100+ROW()/10000</f>
        <v>1.0604</v>
      </c>
      <c r="AA4" s="633">
        <f ca="1">RANK($Z4,$Z$4:$Z$12,1)</f>
        <v>1</v>
      </c>
      <c r="AB4" s="634" t="str">
        <f t="shared" ref="AB4:AB12" ca="1" si="1">IFERROR(INDEX($O$17:$V$25,ROW(A1),$AB$3),"")</f>
        <v/>
      </c>
      <c r="AC4" s="635" t="str">
        <f ca="1">INDEX($AB$4:$AB$12,MATCH(ROW(A1),$AF$4:$AF$12,0))</f>
        <v/>
      </c>
      <c r="AD4" s="636">
        <f ca="1">IF($AB4="",99999,VLOOKUP($AB4,$C$17:$Z$25,24,0))</f>
        <v>99999</v>
      </c>
      <c r="AE4" s="632">
        <f ca="1">RANK(AD4,AD$4:AD$12,1)+INDEX($E$4:$E$12,MATCH(AB4,$F$4:$F$12,0))/100+ROW()/10000</f>
        <v>1.0604</v>
      </c>
      <c r="AF4" s="632">
        <f ca="1">RANK($AE4,$AE$4:$AE$12,1)</f>
        <v>1</v>
      </c>
      <c r="AG4" s="634" t="str">
        <f t="shared" ref="AG4:AG12" ca="1" si="2">IFERROR(INDEX($O$17:$V$25,ROW(C1),$AG$3),"")</f>
        <v/>
      </c>
      <c r="AH4" s="635" t="str">
        <f ca="1">INDEX($AG$4:$AG$12,MATCH(ROW(A1),$AK$4:$AK$12,0))</f>
        <v/>
      </c>
      <c r="AI4" s="636">
        <f ca="1">IF($AG4="",99999,VLOOKUP($AG4,$C$17:$Z$25,24,0))</f>
        <v>99999</v>
      </c>
      <c r="AJ4" s="632">
        <f ca="1">RANK(AI4,AI$4:AI$12,1)+INDEX($E$4:$E$12,MATCH(AG4,$F$4:$F$12,0))/100+ROW()/10000</f>
        <v>1.0604</v>
      </c>
      <c r="AK4" s="637">
        <f ca="1">RANK($AJ4,$AJ$4:$AJ$12,1)</f>
        <v>1</v>
      </c>
      <c r="AL4" s="635" t="str">
        <f t="shared" ref="AL4:AL12" ca="1" si="3">IFERROR(INDEX($O$17:$V$25,ROW(E1),$AL$3),"")</f>
        <v/>
      </c>
      <c r="AM4" s="635" t="str">
        <f ca="1">INDEX($AL$4:$AL$12,MATCH(ROW(A1),$AP$4:$AP$12,0))</f>
        <v/>
      </c>
      <c r="AN4" s="636">
        <f ca="1">IF($AL4="",99999,VLOOKUP($AL4,$C$17:$Z$25,24,0))</f>
        <v>99999</v>
      </c>
      <c r="AO4" s="632">
        <f ca="1">RANK(AN4,AN$4:AN$12,1)+INDEX($E$4:$E$12,MATCH(AL4,$F$4:$F$12,0))/100+ROW()/10000</f>
        <v>1.0604</v>
      </c>
      <c r="AP4" s="637">
        <f ca="1">RANK($AO4,$AO$4:$AO$12,1)</f>
        <v>1</v>
      </c>
      <c r="AR4" s="1">
        <f ca="1">IF(Einstellungen!$G$7,$I4,ROUND($I4,Einstellungen!$H$7))</f>
        <v>26</v>
      </c>
      <c r="AS4" s="1">
        <f ca="1">SUMPRODUCT(($W$64:$W$135=F4)*$AE$64:$AE$135*$AA$64:$AA$135)+SUMPRODUCT(($V$64:$V$135=F4)*$AF$64:$AF$135*$AA$64:$AA$135)</f>
        <v>3</v>
      </c>
    </row>
    <row r="5" spans="1:45" s="2" customFormat="1" x14ac:dyDescent="0.2">
      <c r="A5" s="251"/>
      <c r="B5" s="1">
        <v>2</v>
      </c>
      <c r="C5" s="22">
        <f t="shared" ref="C5:C12" ca="1" si="4">RANK(D5,$D$4:$D$12,1)</f>
        <v>2</v>
      </c>
      <c r="D5" s="13">
        <f t="shared" ref="D5:D12" ca="1" si="5">E5+ROW()/1000+(F5="")*10</f>
        <v>2.0049999999999999</v>
      </c>
      <c r="E5" s="263">
        <f t="shared" ref="E5:E12" ca="1" si="6">IF($AI$15,RANK(AH18,AH$17:AH$25,1),RANK(X18,X$17:X$25,1))</f>
        <v>2</v>
      </c>
      <c r="F5" s="1" t="str">
        <f t="shared" ref="F5:F12" si="7">$Q65</f>
        <v>Paris St. Germain</v>
      </c>
      <c r="G5" s="1">
        <f t="shared" ref="G5:G12" ca="1" si="8">SUMIFS($X$64:$X$135,$V$64:$V$135,$F5)+SUMIFS($Y$64:$Y$135,$W$64:$W$135,$F5)+SUMIFS($AG$64:$AG$135,$V$64:$V$135,$F5)+SUMIFS($AH$64:$AH$135,$W$64:$W$135,$F5)</f>
        <v>182</v>
      </c>
      <c r="H5" s="1">
        <f t="shared" ref="H5:H12" ca="1" si="9">SUMIFS($Y$64:$Y$135,$V$64:$V$135,$F5)+SUMIFS($X$64:$X$135,$W$64:$W$135,$F5)+SUMIFS($AH$64:$AH$135,$V$64:$V$135,$F5)+SUMIFS($AG$64:$AG$135,$W$64:$W$135,$F5)</f>
        <v>161</v>
      </c>
      <c r="I5" s="736">
        <f ca="1">IF(Einstellungen!$G$7,G5-H5,IF(H5=0,IF(G5=0,0,Einstellungen!$F$7),G5/H5))</f>
        <v>21</v>
      </c>
      <c r="J5" s="1">
        <f t="shared" ref="J5:J12" ca="1" si="10">SUMPRODUCT(($V$64:$V$135=F5)*$AE$64:$AE$135*$AA$64:$AA$135)+SUMPRODUCT(($W$64:$W$135=F5)*$AF$64:$AF$135*$AA$64:$AA$135)</f>
        <v>4</v>
      </c>
      <c r="K5" s="1">
        <f t="shared" ref="K5:K12" ca="1" si="11">SUMPRODUCT(($V$64:$V$135=F5)*$AA$64:$AA$135)+SUMPRODUCT(($W$64:$W$135=F5)*$AA$64:$AA$135)</f>
        <v>4</v>
      </c>
      <c r="L5" s="1">
        <f t="shared" ref="L5:L12" ca="1" si="12">K5-M5-N5</f>
        <v>1</v>
      </c>
      <c r="M5" s="1">
        <f t="shared" ref="M5:M12" ca="1" si="13">SUMPRODUCT(($V$64:$W$135=F5)*($AE$64:$AE$135=$AF$64:$AF$135)*$AA$64:$AA$135)</f>
        <v>2</v>
      </c>
      <c r="N5" s="1">
        <f t="shared" ref="N5:N12" ca="1" si="14">SUMPRODUCT(($V$64:$V$135=F5)*($AE$64:$AE$135&lt;$AF$64:$AF$135)*$AA$64:$AA$135)+SUMPRODUCT(($W$64:$W$135=F5)*($AE$64:$AE$135&gt;$AF$64:$AF$135)*$AA$64:$AA$135)</f>
        <v>1</v>
      </c>
      <c r="O5" s="24"/>
      <c r="P5" s="25"/>
      <c r="V5" s="1"/>
      <c r="W5" s="634" t="str">
        <f t="shared" ref="W5:W12" ca="1" si="15">IFERROR(INDEX($O$17:$V$25,ROW(A2),$W$3),"")</f>
        <v/>
      </c>
      <c r="X5" s="635" t="str">
        <f t="shared" ref="X5:X12" ca="1" si="16">INDEX($W$4:$W$12,MATCH(ROW(A2),$AA$4:$AA$12,0))</f>
        <v/>
      </c>
      <c r="Y5" s="632">
        <f t="shared" ref="Y5:Y12" ca="1" si="17">IF($W5="",99999,VLOOKUP($W5,$C$17:$Z$25,24,0))</f>
        <v>99999</v>
      </c>
      <c r="Z5" s="632">
        <f ca="1">RANK(Y5,Y$4:Y$12,1)+INDEX($E$4:$E$12,MATCH(W5,$F$4:$F$12,0))/100+ROW()/10000</f>
        <v>1.0605</v>
      </c>
      <c r="AA5" s="637">
        <f t="shared" ref="AA5:AA12" ca="1" si="18">RANK($Z5,$Z$4:$Z$12,1)</f>
        <v>2</v>
      </c>
      <c r="AB5" s="634" t="str">
        <f t="shared" ca="1" si="1"/>
        <v/>
      </c>
      <c r="AC5" s="635" t="str">
        <f t="shared" ref="AC5:AC12" ca="1" si="19">INDEX($AB$4:$AB$12,MATCH(ROW(A2),$AF$4:$AF$12,0))</f>
        <v/>
      </c>
      <c r="AD5" s="636">
        <f t="shared" ref="AD5:AD12" ca="1" si="20">IF($AB5="",99999,VLOOKUP($AB5,$C$17:$Z$25,24,0))</f>
        <v>99999</v>
      </c>
      <c r="AE5" s="632">
        <f ca="1">RANK(AD5,AD$4:AD$12,1)+INDEX($E$4:$E$12,MATCH(AB5,$F$4:$F$12,0))/100+ROW()/10000</f>
        <v>1.0605</v>
      </c>
      <c r="AF5" s="632">
        <f t="shared" ref="AF5:AF12" ca="1" si="21">RANK($AE5,$AE$4:$AE$12,1)</f>
        <v>2</v>
      </c>
      <c r="AG5" s="634" t="str">
        <f t="shared" ca="1" si="2"/>
        <v/>
      </c>
      <c r="AH5" s="635" t="str">
        <f t="shared" ref="AH5:AH12" ca="1" si="22">INDEX($AG$4:$AG$12,MATCH(ROW(A2),$AK$4:$AK$12,0))</f>
        <v/>
      </c>
      <c r="AI5" s="636">
        <f t="shared" ref="AI5:AI12" ca="1" si="23">IF($AG5="",99999,VLOOKUP($AG5,$C$17:$Z$25,24,0))</f>
        <v>99999</v>
      </c>
      <c r="AJ5" s="632">
        <f ca="1">RANK(AI5,AI$4:AI$12,1)+INDEX($E$4:$E$12,MATCH(AG5,$F$4:$F$12,0))/100+ROW()/10000</f>
        <v>1.0605</v>
      </c>
      <c r="AK5" s="637">
        <f t="shared" ref="AK5:AK12" ca="1" si="24">RANK($AJ5,$AJ$4:$AJ$12,1)</f>
        <v>2</v>
      </c>
      <c r="AL5" s="635" t="str">
        <f t="shared" ca="1" si="3"/>
        <v/>
      </c>
      <c r="AM5" s="635" t="str">
        <f t="shared" ref="AM5:AM12" ca="1" si="25">INDEX($AL$4:$AL$12,MATCH(ROW(A2),$AP$4:$AP$12,0))</f>
        <v/>
      </c>
      <c r="AN5" s="636">
        <f t="shared" ref="AN5:AN12" ca="1" si="26">IF($AL5="",99999,VLOOKUP($AL5,$C$17:$Z$25,24,0))</f>
        <v>99999</v>
      </c>
      <c r="AO5" s="632">
        <f ca="1">RANK(AN5,AN$4:AN$12,1)+INDEX($E$4:$E$12,MATCH(AL5,$F$4:$F$12,0))/100+ROW()/10000</f>
        <v>1.0605</v>
      </c>
      <c r="AP5" s="637">
        <f t="shared" ref="AP5:AP12" ca="1" si="27">RANK($AO5,$AO$4:$AO$12,1)</f>
        <v>2</v>
      </c>
      <c r="AR5" s="1">
        <f ca="1">IF(Einstellungen!$G$7,$I5,ROUND($I5,Einstellungen!$H$7))</f>
        <v>21</v>
      </c>
      <c r="AS5" s="1">
        <f t="shared" ref="AS5:AS12" ca="1" si="28">SUMPRODUCT(($W$64:$W$135=F5)*$AE$64:$AE$135*$AA$64:$AA$135)+SUMPRODUCT(($V$64:$V$135=F5)*$AF$64:$AF$135*$AA$64:$AA$135)</f>
        <v>4</v>
      </c>
    </row>
    <row r="6" spans="1:45" s="2" customFormat="1" x14ac:dyDescent="0.2">
      <c r="A6" s="251"/>
      <c r="B6" s="1">
        <v>3</v>
      </c>
      <c r="C6" s="22">
        <f t="shared" ca="1" si="4"/>
        <v>5</v>
      </c>
      <c r="D6" s="13">
        <f t="shared" ca="1" si="5"/>
        <v>5.0060000000000002</v>
      </c>
      <c r="E6" s="263">
        <f t="shared" ca="1" si="6"/>
        <v>5</v>
      </c>
      <c r="F6" s="1" t="str">
        <f t="shared" si="7"/>
        <v>HSV</v>
      </c>
      <c r="G6" s="1">
        <f t="shared" ca="1" si="8"/>
        <v>147</v>
      </c>
      <c r="H6" s="1">
        <f t="shared" ca="1" si="9"/>
        <v>181</v>
      </c>
      <c r="I6" s="736">
        <f ca="1">IF(Einstellungen!$G$7,G6-H6,IF(H6=0,IF(G6=0,0,Einstellungen!$F$7),G6/H6))</f>
        <v>-34</v>
      </c>
      <c r="J6" s="1">
        <f t="shared" ca="1" si="10"/>
        <v>3</v>
      </c>
      <c r="K6" s="1">
        <f t="shared" ca="1" si="11"/>
        <v>4</v>
      </c>
      <c r="L6" s="1">
        <f t="shared" ca="1" si="12"/>
        <v>0</v>
      </c>
      <c r="M6" s="1">
        <f t="shared" ca="1" si="13"/>
        <v>3</v>
      </c>
      <c r="N6" s="1">
        <f t="shared" ca="1" si="14"/>
        <v>1</v>
      </c>
      <c r="O6" s="24"/>
      <c r="P6" s="25"/>
      <c r="V6" s="1"/>
      <c r="W6" s="634" t="str">
        <f t="shared" ca="1" si="15"/>
        <v/>
      </c>
      <c r="X6" s="635" t="str">
        <f t="shared" ca="1" si="16"/>
        <v/>
      </c>
      <c r="Y6" s="632">
        <f t="shared" ca="1" si="17"/>
        <v>99999</v>
      </c>
      <c r="Z6" s="632">
        <f ca="1">RANK(Y6,Y$4:Y$12,1)+INDEX($E$4:$E$12,MATCH(W6,$F$4:$F$12,0))/100+ROW()/10000</f>
        <v>1.0606</v>
      </c>
      <c r="AA6" s="637">
        <f t="shared" ca="1" si="18"/>
        <v>3</v>
      </c>
      <c r="AB6" s="634" t="str">
        <f t="shared" ca="1" si="1"/>
        <v/>
      </c>
      <c r="AC6" s="635" t="str">
        <f t="shared" ca="1" si="19"/>
        <v/>
      </c>
      <c r="AD6" s="636">
        <f t="shared" ca="1" si="20"/>
        <v>99999</v>
      </c>
      <c r="AE6" s="632">
        <f ca="1">RANK(AD6,AD$4:AD$12,1)+INDEX($E$4:$E$12,MATCH(AB6,$F$4:$F$12,0))/100+ROW()/10000</f>
        <v>1.0606</v>
      </c>
      <c r="AF6" s="632">
        <f t="shared" ca="1" si="21"/>
        <v>3</v>
      </c>
      <c r="AG6" s="634" t="str">
        <f t="shared" ca="1" si="2"/>
        <v/>
      </c>
      <c r="AH6" s="635" t="str">
        <f t="shared" ca="1" si="22"/>
        <v/>
      </c>
      <c r="AI6" s="636">
        <f t="shared" ca="1" si="23"/>
        <v>99999</v>
      </c>
      <c r="AJ6" s="632">
        <f ca="1">RANK(AI6,AI$4:AI$12,1)+INDEX($E$4:$E$12,MATCH(AG6,$F$4:$F$12,0))/100+ROW()/10000</f>
        <v>1.0606</v>
      </c>
      <c r="AK6" s="637">
        <f t="shared" ca="1" si="24"/>
        <v>3</v>
      </c>
      <c r="AL6" s="635" t="str">
        <f t="shared" ca="1" si="3"/>
        <v/>
      </c>
      <c r="AM6" s="635" t="str">
        <f t="shared" ca="1" si="25"/>
        <v/>
      </c>
      <c r="AN6" s="636">
        <f t="shared" ca="1" si="26"/>
        <v>99999</v>
      </c>
      <c r="AO6" s="632">
        <f ca="1">RANK(AN6,AN$4:AN$12,1)+INDEX($E$4:$E$12,MATCH(AL6,$F$4:$F$12,0))/100+ROW()/10000</f>
        <v>1.0606</v>
      </c>
      <c r="AP6" s="637">
        <f t="shared" ca="1" si="27"/>
        <v>3</v>
      </c>
      <c r="AR6" s="1">
        <f ca="1">IF(Einstellungen!$G$7,$I6,ROUND($I6,Einstellungen!$H$7))</f>
        <v>-34</v>
      </c>
      <c r="AS6" s="1">
        <f t="shared" ca="1" si="28"/>
        <v>5</v>
      </c>
    </row>
    <row r="7" spans="1:45" s="2" customFormat="1" x14ac:dyDescent="0.2">
      <c r="A7" s="251"/>
      <c r="B7" s="1">
        <v>4</v>
      </c>
      <c r="C7" s="22">
        <f t="shared" ca="1" si="4"/>
        <v>4</v>
      </c>
      <c r="D7" s="13">
        <f t="shared" ca="1" si="5"/>
        <v>4.0069999999999997</v>
      </c>
      <c r="E7" s="263">
        <f t="shared" ca="1" si="6"/>
        <v>4</v>
      </c>
      <c r="F7" s="1" t="str">
        <f t="shared" si="7"/>
        <v>RB Leipzig</v>
      </c>
      <c r="G7" s="1">
        <f t="shared" ca="1" si="8"/>
        <v>164</v>
      </c>
      <c r="H7" s="1">
        <f t="shared" ca="1" si="9"/>
        <v>174</v>
      </c>
      <c r="I7" s="736">
        <f ca="1">IF(Einstellungen!$G$7,G7-H7,IF(H7=0,IF(G7=0,0,Einstellungen!$F$7),G7/H7))</f>
        <v>-10</v>
      </c>
      <c r="J7" s="1">
        <f t="shared" ca="1" si="10"/>
        <v>4</v>
      </c>
      <c r="K7" s="1">
        <f t="shared" ca="1" si="11"/>
        <v>4</v>
      </c>
      <c r="L7" s="1">
        <f t="shared" ca="1" si="12"/>
        <v>1</v>
      </c>
      <c r="M7" s="1">
        <f t="shared" ca="1" si="13"/>
        <v>2</v>
      </c>
      <c r="N7" s="1">
        <f t="shared" ca="1" si="14"/>
        <v>1</v>
      </c>
      <c r="O7" s="24"/>
      <c r="P7" s="25"/>
      <c r="V7" s="1"/>
      <c r="W7" s="634" t="str">
        <f t="shared" ca="1" si="15"/>
        <v/>
      </c>
      <c r="X7" s="635" t="str">
        <f t="shared" ca="1" si="16"/>
        <v/>
      </c>
      <c r="Y7" s="632">
        <f t="shared" ca="1" si="17"/>
        <v>99999</v>
      </c>
      <c r="Z7" s="632">
        <f ca="1">RANK(Y7,Y$4:Y$12,1)+INDEX($E$4:$E$12,MATCH(W7,$F$4:$F$12,0))/100+ROW()/10000</f>
        <v>1.0607</v>
      </c>
      <c r="AA7" s="637">
        <f t="shared" ca="1" si="18"/>
        <v>4</v>
      </c>
      <c r="AB7" s="634" t="str">
        <f t="shared" ca="1" si="1"/>
        <v/>
      </c>
      <c r="AC7" s="635" t="str">
        <f t="shared" ca="1" si="19"/>
        <v/>
      </c>
      <c r="AD7" s="636">
        <f t="shared" ca="1" si="20"/>
        <v>99999</v>
      </c>
      <c r="AE7" s="632">
        <f ca="1">RANK(AD7,AD$4:AD$12,1)+INDEX($E$4:$E$12,MATCH(AB7,$F$4:$F$12,0))/100+ROW()/10000</f>
        <v>1.0607</v>
      </c>
      <c r="AF7" s="632">
        <f t="shared" ca="1" si="21"/>
        <v>4</v>
      </c>
      <c r="AG7" s="634" t="str">
        <f t="shared" ca="1" si="2"/>
        <v/>
      </c>
      <c r="AH7" s="635" t="str">
        <f t="shared" ca="1" si="22"/>
        <v/>
      </c>
      <c r="AI7" s="636">
        <f t="shared" ca="1" si="23"/>
        <v>99999</v>
      </c>
      <c r="AJ7" s="632">
        <f ca="1">RANK(AI7,AI$4:AI$12,1)+INDEX($E$4:$E$12,MATCH(AG7,$F$4:$F$12,0))/100+ROW()/10000</f>
        <v>1.0607</v>
      </c>
      <c r="AK7" s="637">
        <f t="shared" ca="1" si="24"/>
        <v>4</v>
      </c>
      <c r="AL7" s="635" t="str">
        <f t="shared" ca="1" si="3"/>
        <v/>
      </c>
      <c r="AM7" s="635" t="str">
        <f t="shared" ca="1" si="25"/>
        <v/>
      </c>
      <c r="AN7" s="636">
        <f t="shared" ca="1" si="26"/>
        <v>99999</v>
      </c>
      <c r="AO7" s="632">
        <f ca="1">RANK(AN7,AN$4:AN$12,1)+INDEX($E$4:$E$12,MATCH(AL7,$F$4:$F$12,0))/100+ROW()/10000</f>
        <v>1.0607</v>
      </c>
      <c r="AP7" s="637">
        <f t="shared" ca="1" si="27"/>
        <v>4</v>
      </c>
      <c r="AR7" s="1">
        <f ca="1">IF(Einstellungen!$G$7,$I7,ROUND($I7,Einstellungen!$H$7))</f>
        <v>-10</v>
      </c>
      <c r="AS7" s="1">
        <f t="shared" ca="1" si="28"/>
        <v>4</v>
      </c>
    </row>
    <row r="8" spans="1:45" s="2" customFormat="1" x14ac:dyDescent="0.2">
      <c r="A8" s="251"/>
      <c r="B8" s="1">
        <v>5</v>
      </c>
      <c r="C8" s="22">
        <f t="shared" ca="1" si="4"/>
        <v>3</v>
      </c>
      <c r="D8" s="13">
        <f t="shared" ca="1" si="5"/>
        <v>3.008</v>
      </c>
      <c r="E8" s="263">
        <f t="shared" ca="1" si="6"/>
        <v>3</v>
      </c>
      <c r="F8" s="1" t="str">
        <f t="shared" si="7"/>
        <v>SV Oberredenburg</v>
      </c>
      <c r="G8" s="1">
        <f t="shared" ca="1" si="8"/>
        <v>174</v>
      </c>
      <c r="H8" s="1">
        <f t="shared" ca="1" si="9"/>
        <v>177</v>
      </c>
      <c r="I8" s="736">
        <f ca="1">IF(Einstellungen!$G$7,G8-H8,IF(H8=0,IF(G8=0,0,Einstellungen!$F$7),G8/H8))</f>
        <v>-3</v>
      </c>
      <c r="J8" s="1">
        <f t="shared" ca="1" si="10"/>
        <v>4</v>
      </c>
      <c r="K8" s="1">
        <f t="shared" ca="1" si="11"/>
        <v>4</v>
      </c>
      <c r="L8" s="1">
        <f t="shared" ca="1" si="12"/>
        <v>1</v>
      </c>
      <c r="M8" s="1">
        <f t="shared" ca="1" si="13"/>
        <v>2</v>
      </c>
      <c r="N8" s="1">
        <f t="shared" ca="1" si="14"/>
        <v>1</v>
      </c>
      <c r="P8" s="25"/>
      <c r="W8" s="634" t="str">
        <f t="shared" ca="1" si="15"/>
        <v/>
      </c>
      <c r="X8" s="635" t="str">
        <f t="shared" ca="1" si="16"/>
        <v/>
      </c>
      <c r="Y8" s="632">
        <f t="shared" ca="1" si="17"/>
        <v>99999</v>
      </c>
      <c r="Z8" s="632">
        <f t="shared" ref="Z8:Z12" ca="1" si="29">RANK(Y8,Y$4:Y$12,1)+INDEX($E$4:$E$12,MATCH(W8,$F$4:$F$12,0))/100+ROW()/10000</f>
        <v>1.0608</v>
      </c>
      <c r="AA8" s="637">
        <f t="shared" ca="1" si="18"/>
        <v>5</v>
      </c>
      <c r="AB8" s="634" t="str">
        <f t="shared" ca="1" si="1"/>
        <v/>
      </c>
      <c r="AC8" s="635" t="str">
        <f t="shared" ca="1" si="19"/>
        <v/>
      </c>
      <c r="AD8" s="636">
        <f t="shared" ca="1" si="20"/>
        <v>99999</v>
      </c>
      <c r="AE8" s="632">
        <f t="shared" ref="AE8:AE12" ca="1" si="30">RANK(AD8,AD$4:AD$12,1)+INDEX($E$4:$E$12,MATCH(AB8,$F$4:$F$12,0))/100+ROW()/10000</f>
        <v>1.0608</v>
      </c>
      <c r="AF8" s="632">
        <f t="shared" ca="1" si="21"/>
        <v>5</v>
      </c>
      <c r="AG8" s="634" t="str">
        <f t="shared" ca="1" si="2"/>
        <v/>
      </c>
      <c r="AH8" s="635" t="str">
        <f t="shared" ca="1" si="22"/>
        <v/>
      </c>
      <c r="AI8" s="636">
        <f t="shared" ca="1" si="23"/>
        <v>99999</v>
      </c>
      <c r="AJ8" s="632">
        <f t="shared" ref="AJ8:AJ12" ca="1" si="31">RANK(AI8,AI$4:AI$12,1)+INDEX($E$4:$E$12,MATCH(AG8,$F$4:$F$12,0))/100+ROW()/10000</f>
        <v>1.0608</v>
      </c>
      <c r="AK8" s="637">
        <f t="shared" ca="1" si="24"/>
        <v>5</v>
      </c>
      <c r="AL8" s="635" t="str">
        <f t="shared" ca="1" si="3"/>
        <v/>
      </c>
      <c r="AM8" s="635" t="str">
        <f t="shared" ca="1" si="25"/>
        <v/>
      </c>
      <c r="AN8" s="636">
        <f t="shared" ca="1" si="26"/>
        <v>99999</v>
      </c>
      <c r="AO8" s="632">
        <f t="shared" ref="AO8:AO12" ca="1" si="32">RANK(AN8,AN$4:AN$12,1)+INDEX($E$4:$E$12,MATCH(AL8,$F$4:$F$12,0))/100+ROW()/10000</f>
        <v>1.0608</v>
      </c>
      <c r="AP8" s="637">
        <f t="shared" ca="1" si="27"/>
        <v>5</v>
      </c>
      <c r="AR8" s="1">
        <f ca="1">IF(Einstellungen!$G$7,$I8,ROUND($I8,Einstellungen!$H$7))</f>
        <v>-3</v>
      </c>
      <c r="AS8" s="1">
        <f t="shared" ca="1" si="28"/>
        <v>4</v>
      </c>
    </row>
    <row r="9" spans="1:45" s="2" customFormat="1" x14ac:dyDescent="0.2">
      <c r="A9" s="251"/>
      <c r="B9" s="1">
        <v>6</v>
      </c>
      <c r="C9" s="22">
        <f t="shared" ca="1" si="4"/>
        <v>6</v>
      </c>
      <c r="D9" s="13">
        <f t="shared" ca="1" si="5"/>
        <v>16.009</v>
      </c>
      <c r="E9" s="263">
        <f t="shared" ca="1" si="6"/>
        <v>6</v>
      </c>
      <c r="F9" s="1" t="str">
        <f t="shared" si="7"/>
        <v/>
      </c>
      <c r="G9" s="1">
        <f t="shared" ca="1" si="8"/>
        <v>0</v>
      </c>
      <c r="H9" s="1">
        <f t="shared" ca="1" si="9"/>
        <v>0</v>
      </c>
      <c r="I9" s="736">
        <f ca="1">IF(Einstellungen!$G$7,G9-H9,IF(H9=0,IF(G9=0,0,Einstellungen!$F$7),G9/H9))</f>
        <v>0</v>
      </c>
      <c r="J9" s="1">
        <f t="shared" ca="1" si="10"/>
        <v>0</v>
      </c>
      <c r="K9" s="1">
        <f t="shared" ca="1" si="11"/>
        <v>0</v>
      </c>
      <c r="L9" s="1">
        <f t="shared" ca="1" si="12"/>
        <v>0</v>
      </c>
      <c r="M9" s="1">
        <f t="shared" ca="1" si="13"/>
        <v>0</v>
      </c>
      <c r="N9" s="1">
        <f t="shared" ca="1" si="14"/>
        <v>0</v>
      </c>
      <c r="P9" s="25"/>
      <c r="W9" s="634" t="str">
        <f t="shared" ca="1" si="15"/>
        <v/>
      </c>
      <c r="X9" s="635" t="str">
        <f t="shared" ca="1" si="16"/>
        <v/>
      </c>
      <c r="Y9" s="632">
        <f t="shared" ca="1" si="17"/>
        <v>99999</v>
      </c>
      <c r="Z9" s="632">
        <f t="shared" ca="1" si="29"/>
        <v>1.0609</v>
      </c>
      <c r="AA9" s="637">
        <f t="shared" ca="1" si="18"/>
        <v>6</v>
      </c>
      <c r="AB9" s="634" t="str">
        <f t="shared" ca="1" si="1"/>
        <v/>
      </c>
      <c r="AC9" s="635" t="str">
        <f t="shared" ca="1" si="19"/>
        <v/>
      </c>
      <c r="AD9" s="636">
        <f t="shared" ca="1" si="20"/>
        <v>99999</v>
      </c>
      <c r="AE9" s="632">
        <f t="shared" ca="1" si="30"/>
        <v>1.0609</v>
      </c>
      <c r="AF9" s="632">
        <f t="shared" ca="1" si="21"/>
        <v>6</v>
      </c>
      <c r="AG9" s="634" t="str">
        <f t="shared" ca="1" si="2"/>
        <v/>
      </c>
      <c r="AH9" s="635" t="str">
        <f t="shared" ca="1" si="22"/>
        <v/>
      </c>
      <c r="AI9" s="636">
        <f t="shared" ca="1" si="23"/>
        <v>99999</v>
      </c>
      <c r="AJ9" s="632">
        <f t="shared" ca="1" si="31"/>
        <v>1.0609</v>
      </c>
      <c r="AK9" s="637">
        <f t="shared" ca="1" si="24"/>
        <v>6</v>
      </c>
      <c r="AL9" s="635" t="str">
        <f t="shared" ca="1" si="3"/>
        <v/>
      </c>
      <c r="AM9" s="635" t="str">
        <f t="shared" ca="1" si="25"/>
        <v/>
      </c>
      <c r="AN9" s="636">
        <f t="shared" ca="1" si="26"/>
        <v>99999</v>
      </c>
      <c r="AO9" s="632">
        <f t="shared" ca="1" si="32"/>
        <v>1.0609</v>
      </c>
      <c r="AP9" s="637">
        <f t="shared" ca="1" si="27"/>
        <v>6</v>
      </c>
      <c r="AR9" s="1">
        <f ca="1">IF(Einstellungen!$G$7,$I9,ROUND($I9,Einstellungen!$H$7))</f>
        <v>0</v>
      </c>
      <c r="AS9" s="1">
        <f t="shared" ca="1" si="28"/>
        <v>0</v>
      </c>
    </row>
    <row r="10" spans="1:45" s="2" customFormat="1" x14ac:dyDescent="0.2">
      <c r="A10" s="251"/>
      <c r="B10" s="1">
        <v>7</v>
      </c>
      <c r="C10" s="22">
        <f t="shared" ca="1" si="4"/>
        <v>7</v>
      </c>
      <c r="D10" s="13">
        <f t="shared" ca="1" si="5"/>
        <v>16.009999999999998</v>
      </c>
      <c r="E10" s="263">
        <f t="shared" ca="1" si="6"/>
        <v>6</v>
      </c>
      <c r="F10" s="1" t="str">
        <f t="shared" si="7"/>
        <v/>
      </c>
      <c r="G10" s="1">
        <f t="shared" ca="1" si="8"/>
        <v>0</v>
      </c>
      <c r="H10" s="1">
        <f t="shared" ca="1" si="9"/>
        <v>0</v>
      </c>
      <c r="I10" s="736">
        <f ca="1">IF(Einstellungen!$G$7,G10-H10,IF(H10=0,IF(G10=0,0,Einstellungen!$F$7),G10/H10))</f>
        <v>0</v>
      </c>
      <c r="J10" s="1">
        <f t="shared" ca="1" si="10"/>
        <v>0</v>
      </c>
      <c r="K10" s="1">
        <f t="shared" ca="1" si="11"/>
        <v>0</v>
      </c>
      <c r="L10" s="1">
        <f t="shared" ca="1" si="12"/>
        <v>0</v>
      </c>
      <c r="M10" s="1">
        <f t="shared" ca="1" si="13"/>
        <v>0</v>
      </c>
      <c r="N10" s="1">
        <f t="shared" ca="1" si="14"/>
        <v>0</v>
      </c>
      <c r="P10" s="25"/>
      <c r="W10" s="634" t="str">
        <f t="shared" ca="1" si="15"/>
        <v/>
      </c>
      <c r="X10" s="635" t="str">
        <f t="shared" ca="1" si="16"/>
        <v/>
      </c>
      <c r="Y10" s="632">
        <f t="shared" ca="1" si="17"/>
        <v>99999</v>
      </c>
      <c r="Z10" s="632">
        <f t="shared" ca="1" si="29"/>
        <v>1.0609999999999999</v>
      </c>
      <c r="AA10" s="637">
        <f t="shared" ca="1" si="18"/>
        <v>7</v>
      </c>
      <c r="AB10" s="634" t="str">
        <f t="shared" ca="1" si="1"/>
        <v/>
      </c>
      <c r="AC10" s="635" t="str">
        <f t="shared" ca="1" si="19"/>
        <v/>
      </c>
      <c r="AD10" s="636">
        <f t="shared" ca="1" si="20"/>
        <v>99999</v>
      </c>
      <c r="AE10" s="632">
        <f t="shared" ca="1" si="30"/>
        <v>1.0609999999999999</v>
      </c>
      <c r="AF10" s="632">
        <f t="shared" ca="1" si="21"/>
        <v>7</v>
      </c>
      <c r="AG10" s="634" t="str">
        <f t="shared" ca="1" si="2"/>
        <v/>
      </c>
      <c r="AH10" s="635" t="str">
        <f t="shared" ca="1" si="22"/>
        <v/>
      </c>
      <c r="AI10" s="636">
        <f t="shared" ca="1" si="23"/>
        <v>99999</v>
      </c>
      <c r="AJ10" s="632">
        <f t="shared" ca="1" si="31"/>
        <v>1.0609999999999999</v>
      </c>
      <c r="AK10" s="637">
        <f t="shared" ca="1" si="24"/>
        <v>7</v>
      </c>
      <c r="AL10" s="635" t="str">
        <f t="shared" ca="1" si="3"/>
        <v/>
      </c>
      <c r="AM10" s="635" t="str">
        <f t="shared" ca="1" si="25"/>
        <v/>
      </c>
      <c r="AN10" s="636">
        <f t="shared" ca="1" si="26"/>
        <v>99999</v>
      </c>
      <c r="AO10" s="632">
        <f t="shared" ca="1" si="32"/>
        <v>1.0609999999999999</v>
      </c>
      <c r="AP10" s="637">
        <f t="shared" ca="1" si="27"/>
        <v>7</v>
      </c>
      <c r="AR10" s="1">
        <f ca="1">IF(Einstellungen!$G$7,$I10,ROUND($I10,Einstellungen!$H$7))</f>
        <v>0</v>
      </c>
      <c r="AS10" s="1">
        <f t="shared" ca="1" si="28"/>
        <v>0</v>
      </c>
    </row>
    <row r="11" spans="1:45" s="2" customFormat="1" x14ac:dyDescent="0.2">
      <c r="A11" s="251"/>
      <c r="B11" s="1">
        <v>8</v>
      </c>
      <c r="C11" s="22">
        <f t="shared" ca="1" si="4"/>
        <v>8</v>
      </c>
      <c r="D11" s="13">
        <f t="shared" ca="1" si="5"/>
        <v>16.010999999999999</v>
      </c>
      <c r="E11" s="263">
        <f t="shared" ca="1" si="6"/>
        <v>6</v>
      </c>
      <c r="F11" s="1" t="str">
        <f t="shared" si="7"/>
        <v/>
      </c>
      <c r="G11" s="1">
        <f t="shared" ca="1" si="8"/>
        <v>0</v>
      </c>
      <c r="H11" s="1">
        <f t="shared" ca="1" si="9"/>
        <v>0</v>
      </c>
      <c r="I11" s="736">
        <f ca="1">IF(Einstellungen!$G$7,G11-H11,IF(H11=0,IF(G11=0,0,Einstellungen!$F$7),G11/H11))</f>
        <v>0</v>
      </c>
      <c r="J11" s="1">
        <f t="shared" ca="1" si="10"/>
        <v>0</v>
      </c>
      <c r="K11" s="1">
        <f t="shared" ca="1" si="11"/>
        <v>0</v>
      </c>
      <c r="L11" s="1">
        <f t="shared" ca="1" si="12"/>
        <v>0</v>
      </c>
      <c r="M11" s="1">
        <f t="shared" ca="1" si="13"/>
        <v>0</v>
      </c>
      <c r="N11" s="1">
        <f t="shared" ca="1" si="14"/>
        <v>0</v>
      </c>
      <c r="O11" s="13"/>
      <c r="P11" s="13"/>
      <c r="Q11" s="13"/>
      <c r="R11" s="13"/>
      <c r="S11" s="13"/>
      <c r="T11" s="13"/>
      <c r="U11" s="13"/>
      <c r="V11" s="13"/>
      <c r="W11" s="634" t="str">
        <f t="shared" ca="1" si="15"/>
        <v/>
      </c>
      <c r="X11" s="635" t="str">
        <f t="shared" ca="1" si="16"/>
        <v/>
      </c>
      <c r="Y11" s="632">
        <f t="shared" ca="1" si="17"/>
        <v>99999</v>
      </c>
      <c r="Z11" s="632">
        <f t="shared" ca="1" si="29"/>
        <v>1.0611000000000002</v>
      </c>
      <c r="AA11" s="637">
        <f t="shared" ca="1" si="18"/>
        <v>8</v>
      </c>
      <c r="AB11" s="634" t="str">
        <f t="shared" ca="1" si="1"/>
        <v/>
      </c>
      <c r="AC11" s="635" t="str">
        <f t="shared" ca="1" si="19"/>
        <v/>
      </c>
      <c r="AD11" s="636">
        <f t="shared" ca="1" si="20"/>
        <v>99999</v>
      </c>
      <c r="AE11" s="632">
        <f t="shared" ca="1" si="30"/>
        <v>1.0611000000000002</v>
      </c>
      <c r="AF11" s="632">
        <f t="shared" ca="1" si="21"/>
        <v>8</v>
      </c>
      <c r="AG11" s="634" t="str">
        <f t="shared" ca="1" si="2"/>
        <v/>
      </c>
      <c r="AH11" s="635" t="str">
        <f t="shared" ca="1" si="22"/>
        <v/>
      </c>
      <c r="AI11" s="636">
        <f t="shared" ca="1" si="23"/>
        <v>99999</v>
      </c>
      <c r="AJ11" s="632">
        <f t="shared" ca="1" si="31"/>
        <v>1.0611000000000002</v>
      </c>
      <c r="AK11" s="637">
        <f t="shared" ca="1" si="24"/>
        <v>8</v>
      </c>
      <c r="AL11" s="635" t="str">
        <f t="shared" ca="1" si="3"/>
        <v/>
      </c>
      <c r="AM11" s="635" t="str">
        <f t="shared" ca="1" si="25"/>
        <v/>
      </c>
      <c r="AN11" s="636">
        <f t="shared" ca="1" si="26"/>
        <v>99999</v>
      </c>
      <c r="AO11" s="632">
        <f t="shared" ca="1" si="32"/>
        <v>1.0611000000000002</v>
      </c>
      <c r="AP11" s="637">
        <f t="shared" ca="1" si="27"/>
        <v>8</v>
      </c>
      <c r="AR11" s="1">
        <f ca="1">IF(Einstellungen!$G$7,$I11,ROUND($I11,Einstellungen!$H$7))</f>
        <v>0</v>
      </c>
      <c r="AS11" s="1">
        <f t="shared" ca="1" si="28"/>
        <v>0</v>
      </c>
    </row>
    <row r="12" spans="1:45" s="2" customFormat="1" ht="12.75" thickBot="1" x14ac:dyDescent="0.25">
      <c r="A12" s="251"/>
      <c r="B12" s="1">
        <v>9</v>
      </c>
      <c r="C12" s="23">
        <f t="shared" ca="1" si="4"/>
        <v>9</v>
      </c>
      <c r="D12" s="13">
        <f t="shared" ca="1" si="5"/>
        <v>16.012</v>
      </c>
      <c r="E12" s="263">
        <f t="shared" ca="1" si="6"/>
        <v>6</v>
      </c>
      <c r="F12" s="1" t="str">
        <f t="shared" si="7"/>
        <v/>
      </c>
      <c r="G12" s="1">
        <f t="shared" ca="1" si="8"/>
        <v>0</v>
      </c>
      <c r="H12" s="1">
        <f t="shared" ca="1" si="9"/>
        <v>0</v>
      </c>
      <c r="I12" s="736">
        <f ca="1">IF(Einstellungen!$G$7,G12-H12,IF(H12=0,IF(G12=0,0,Einstellungen!$F$7),G12/H12))</f>
        <v>0</v>
      </c>
      <c r="J12" s="1">
        <f t="shared" ca="1" si="10"/>
        <v>0</v>
      </c>
      <c r="K12" s="28">
        <f t="shared" ca="1" si="11"/>
        <v>0</v>
      </c>
      <c r="L12" s="1">
        <f t="shared" ca="1" si="12"/>
        <v>0</v>
      </c>
      <c r="M12" s="1">
        <f t="shared" ca="1" si="13"/>
        <v>0</v>
      </c>
      <c r="N12" s="1">
        <f t="shared" ca="1" si="14"/>
        <v>0</v>
      </c>
      <c r="O12" s="1"/>
      <c r="P12" s="1"/>
      <c r="Q12" s="1"/>
      <c r="R12" s="1"/>
      <c r="S12" s="1"/>
      <c r="T12" s="1"/>
      <c r="U12" s="1"/>
      <c r="V12" s="1"/>
      <c r="W12" s="638" t="str">
        <f t="shared" ca="1" si="15"/>
        <v/>
      </c>
      <c r="X12" s="639" t="str">
        <f t="shared" ca="1" si="16"/>
        <v/>
      </c>
      <c r="Y12" s="640">
        <f t="shared" ca="1" si="17"/>
        <v>99999</v>
      </c>
      <c r="Z12" s="640">
        <f t="shared" ca="1" si="29"/>
        <v>1.0612000000000001</v>
      </c>
      <c r="AA12" s="641">
        <f t="shared" ca="1" si="18"/>
        <v>9</v>
      </c>
      <c r="AB12" s="638" t="str">
        <f t="shared" ca="1" si="1"/>
        <v/>
      </c>
      <c r="AC12" s="639" t="str">
        <f t="shared" ca="1" si="19"/>
        <v/>
      </c>
      <c r="AD12" s="642">
        <f t="shared" ca="1" si="20"/>
        <v>99999</v>
      </c>
      <c r="AE12" s="640">
        <f t="shared" ca="1" si="30"/>
        <v>1.0612000000000001</v>
      </c>
      <c r="AF12" s="640">
        <f t="shared" ca="1" si="21"/>
        <v>9</v>
      </c>
      <c r="AG12" s="638" t="str">
        <f t="shared" ca="1" si="2"/>
        <v/>
      </c>
      <c r="AH12" s="639" t="str">
        <f t="shared" ca="1" si="22"/>
        <v/>
      </c>
      <c r="AI12" s="642">
        <f t="shared" ca="1" si="23"/>
        <v>99999</v>
      </c>
      <c r="AJ12" s="640">
        <f t="shared" ca="1" si="31"/>
        <v>1.0612000000000001</v>
      </c>
      <c r="AK12" s="641">
        <f t="shared" ca="1" si="24"/>
        <v>9</v>
      </c>
      <c r="AL12" s="639" t="str">
        <f t="shared" ca="1" si="3"/>
        <v/>
      </c>
      <c r="AM12" s="639" t="str">
        <f t="shared" ca="1" si="25"/>
        <v/>
      </c>
      <c r="AN12" s="642">
        <f t="shared" ca="1" si="26"/>
        <v>99999</v>
      </c>
      <c r="AO12" s="640">
        <f t="shared" ca="1" si="32"/>
        <v>1.0612000000000001</v>
      </c>
      <c r="AP12" s="641">
        <f t="shared" ca="1" si="27"/>
        <v>9</v>
      </c>
      <c r="AR12" s="1">
        <f ca="1">IF(Einstellungen!$G$7,$I12,ROUND($I12,Einstellungen!$H$7))</f>
        <v>0</v>
      </c>
      <c r="AS12" s="1">
        <f t="shared" ca="1" si="28"/>
        <v>0</v>
      </c>
    </row>
    <row r="13" spans="1:45"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5" s="2" customFormat="1" x14ac:dyDescent="0.2">
      <c r="B14" s="13"/>
      <c r="C14" s="4"/>
      <c r="D14" s="13"/>
      <c r="E14" s="4"/>
      <c r="F14" s="13"/>
      <c r="O14" s="1"/>
      <c r="P14" s="1"/>
      <c r="Q14" s="1"/>
      <c r="R14" s="1"/>
      <c r="S14" s="1"/>
      <c r="T14" s="1"/>
      <c r="U14" s="1"/>
      <c r="V14" s="1"/>
      <c r="W14" s="1"/>
      <c r="Y14" s="1"/>
      <c r="Z14" s="1"/>
    </row>
    <row r="15" spans="1:45" s="2" customFormat="1" x14ac:dyDescent="0.2">
      <c r="O15" s="12"/>
      <c r="AD15" s="997" t="s">
        <v>179</v>
      </c>
      <c r="AE15" s="998"/>
      <c r="AF15" s="998"/>
      <c r="AG15" s="998"/>
      <c r="AH15" s="999"/>
      <c r="AI15" s="2" t="b">
        <v>0</v>
      </c>
      <c r="AK15" s="251"/>
    </row>
    <row r="16" spans="1:45" s="2" customFormat="1" ht="15.75" thickBot="1" x14ac:dyDescent="0.25">
      <c r="B16" s="13" t="s">
        <v>5</v>
      </c>
      <c r="C16" s="697" t="s">
        <v>97</v>
      </c>
      <c r="D16" s="697" t="s">
        <v>102</v>
      </c>
      <c r="E16" s="697" t="s">
        <v>103</v>
      </c>
      <c r="F16" s="697" t="s">
        <v>104</v>
      </c>
      <c r="G16" s="697" t="s">
        <v>105</v>
      </c>
      <c r="H16" s="697" t="s">
        <v>106</v>
      </c>
      <c r="I16" s="697" t="s">
        <v>107</v>
      </c>
      <c r="J16" s="697" t="s">
        <v>108</v>
      </c>
      <c r="K16" s="697"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$Q64</f>
        <v>TSG Saalberg eV</v>
      </c>
      <c r="D17" s="1">
        <f t="shared" ref="D17:G25" ca="1" si="33">K4</f>
        <v>4</v>
      </c>
      <c r="E17" s="1">
        <f t="shared" ca="1" si="33"/>
        <v>1</v>
      </c>
      <c r="F17" s="1">
        <f t="shared" ca="1" si="33"/>
        <v>3</v>
      </c>
      <c r="G17" s="1">
        <f t="shared" ca="1" si="33"/>
        <v>0</v>
      </c>
      <c r="H17" s="1">
        <f t="shared" ref="H17:K25" ca="1" si="34">G4</f>
        <v>184</v>
      </c>
      <c r="I17" s="1">
        <f t="shared" ca="1" si="34"/>
        <v>158</v>
      </c>
      <c r="J17" s="13">
        <f t="shared" ca="1" si="34"/>
        <v>26</v>
      </c>
      <c r="K17" s="1">
        <f t="shared" ca="1" si="34"/>
        <v>5</v>
      </c>
      <c r="L17" s="29">
        <f ca="1">K17*$F$64+(J17+$H$65)*$F$65</f>
        <v>5526000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Vorrunde!$AQ42</f>
        <v>0</v>
      </c>
      <c r="Z17" s="1">
        <f ca="1">RANK($W17,$W$17:$W$25)+(9-$Y17)/10</f>
        <v>1.9</v>
      </c>
      <c r="AA17" s="1">
        <f ca="1">SUM(E30:BP30)</f>
        <v>0</v>
      </c>
      <c r="AB17" s="1">
        <f ca="1">SUM(E41:BP41)</f>
        <v>0</v>
      </c>
      <c r="AC17" s="1"/>
      <c r="AD17" s="257">
        <f ca="1">RANK($K17,$K$17:$K$25)</f>
        <v>1</v>
      </c>
      <c r="AE17" s="29">
        <f ca="1">(J17+$H$65)*$F$65</f>
        <v>526000</v>
      </c>
      <c r="AF17" s="1">
        <f ca="1">RANK($AE17,$AE$17:$AE$25)</f>
        <v>1</v>
      </c>
      <c r="AG17" s="1">
        <f ca="1">RANK($W17,$W$17:$W$25)</f>
        <v>1</v>
      </c>
      <c r="AH17" s="259">
        <f ca="1">AD17+AG17/100+AF17/10000+(10-Y17)/1000000</f>
        <v>1.0101100000000001</v>
      </c>
      <c r="AI17" s="1"/>
    </row>
    <row r="18" spans="2:80" s="2" customFormat="1" x14ac:dyDescent="0.2">
      <c r="C18" s="2" t="str">
        <f t="shared" ref="C18:C25" si="43">$Q65</f>
        <v>Paris St. Germain</v>
      </c>
      <c r="D18" s="1">
        <f t="shared" ca="1" si="33"/>
        <v>4</v>
      </c>
      <c r="E18" s="1">
        <f t="shared" ca="1" si="33"/>
        <v>1</v>
      </c>
      <c r="F18" s="1">
        <f t="shared" ca="1" si="33"/>
        <v>2</v>
      </c>
      <c r="G18" s="1">
        <f t="shared" ca="1" si="33"/>
        <v>1</v>
      </c>
      <c r="H18" s="1">
        <f t="shared" ca="1" si="34"/>
        <v>182</v>
      </c>
      <c r="I18" s="1">
        <f t="shared" ca="1" si="34"/>
        <v>161</v>
      </c>
      <c r="J18" s="13">
        <f t="shared" ca="1" si="34"/>
        <v>21</v>
      </c>
      <c r="K18" s="1">
        <f t="shared" ca="1" si="34"/>
        <v>4</v>
      </c>
      <c r="L18" s="29">
        <f t="shared" ref="L18:L25" ca="1" si="44">K18*$F$64+(J18+$H$65)*$F$65</f>
        <v>4521000</v>
      </c>
      <c r="M18" s="14">
        <f t="shared" ref="M18:M25" ca="1" si="45">IF($AI$15,COUNTIF($K$17:$K$25,K18),COUNTIF($L$17:$L$25,L18))</f>
        <v>1</v>
      </c>
      <c r="N18" s="14">
        <f t="array" aca="1" ref="N18" ca="1">IF($AI$15,SUM(($K$17:$K$25&gt;=K18)/COUNTIF($K$17:$K$25,$K$17:$K$25)),SUM(($L$17:$L$25&gt;=L18)/COUNTIF($L$17:$L$25,$L$17:$L$25)))</f>
        <v>2</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2.0108999999999999</v>
      </c>
      <c r="Y18" s="13">
        <f>Vorrunde!$AQ43</f>
        <v>0</v>
      </c>
      <c r="Z18" s="1">
        <f t="shared" ref="Z18:Z25" ca="1" si="48">RANK($W18,$W$17:$W$25)+(9-$Y18)/10</f>
        <v>1.9</v>
      </c>
      <c r="AA18" s="1">
        <f t="shared" ref="AA18:AA25" ca="1" si="49">SUM(E31:BP31)</f>
        <v>0</v>
      </c>
      <c r="AB18" s="1">
        <f t="shared" ref="AB18:AB25" ca="1" si="50">SUM(E42:BP42)</f>
        <v>0</v>
      </c>
      <c r="AC18" s="1"/>
      <c r="AD18" s="257">
        <f t="shared" ref="AD18:AD25" ca="1" si="51">RANK($K18,$K$17:$K$25)</f>
        <v>2</v>
      </c>
      <c r="AE18" s="29">
        <f t="shared" ref="AE18:AE25" ca="1" si="52">(J18+$H$65)*$F$65</f>
        <v>521000</v>
      </c>
      <c r="AF18" s="1">
        <f t="shared" ref="AF18:AF25" ca="1" si="53">RANK($AE18,$AE$17:$AE$25)</f>
        <v>2</v>
      </c>
      <c r="AG18" s="1">
        <f t="shared" ref="AG18:AG25" ca="1" si="54">RANK($W18,$W$17:$W$25)</f>
        <v>1</v>
      </c>
      <c r="AH18" s="260">
        <f t="shared" ref="AH18:AH25" ca="1" si="55">AD18+AG18/100+AF18/10000+(10-Y18)/1000000</f>
        <v>2.0102099999999998</v>
      </c>
      <c r="AI18" s="1"/>
    </row>
    <row r="19" spans="2:80" s="2" customFormat="1" x14ac:dyDescent="0.2">
      <c r="C19" s="2" t="str">
        <f t="shared" si="43"/>
        <v>HSV</v>
      </c>
      <c r="D19" s="1">
        <f t="shared" ca="1" si="33"/>
        <v>4</v>
      </c>
      <c r="E19" s="1">
        <f t="shared" ca="1" si="33"/>
        <v>0</v>
      </c>
      <c r="F19" s="1">
        <f t="shared" ca="1" si="33"/>
        <v>3</v>
      </c>
      <c r="G19" s="1">
        <f t="shared" ca="1" si="33"/>
        <v>1</v>
      </c>
      <c r="H19" s="1">
        <f t="shared" ca="1" si="34"/>
        <v>147</v>
      </c>
      <c r="I19" s="1">
        <f t="shared" ca="1" si="34"/>
        <v>181</v>
      </c>
      <c r="J19" s="13">
        <f t="shared" ca="1" si="34"/>
        <v>-34</v>
      </c>
      <c r="K19" s="1">
        <f t="shared" ca="1" si="34"/>
        <v>3</v>
      </c>
      <c r="L19" s="29">
        <f t="shared" ca="1" si="44"/>
        <v>3466000</v>
      </c>
      <c r="M19" s="14">
        <f t="shared" ca="1" si="45"/>
        <v>1</v>
      </c>
      <c r="N19" s="14">
        <f t="array" aca="1" ref="N19" ca="1">IF($AI$15,SUM(($K$17:$K$25&gt;=K19)/COUNTIF($K$17:$K$25,$K$17:$K$25)),SUM(($L$17:$L$25&gt;=L19)/COUNTIF($L$17:$L$25,$L$17:$L$25)))</f>
        <v>5</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5.0108999999999995</v>
      </c>
      <c r="Y19" s="13">
        <f>Vorrunde!$AQ44</f>
        <v>0</v>
      </c>
      <c r="Z19" s="1">
        <f t="shared" ca="1" si="48"/>
        <v>1.9</v>
      </c>
      <c r="AA19" s="1">
        <f t="shared" ca="1" si="49"/>
        <v>0</v>
      </c>
      <c r="AB19" s="1">
        <f t="shared" ca="1" si="50"/>
        <v>0</v>
      </c>
      <c r="AC19" s="1"/>
      <c r="AD19" s="257">
        <f t="shared" ca="1" si="51"/>
        <v>5</v>
      </c>
      <c r="AE19" s="29">
        <f t="shared" ca="1" si="52"/>
        <v>466000</v>
      </c>
      <c r="AF19" s="1">
        <f t="shared" ca="1" si="53"/>
        <v>9</v>
      </c>
      <c r="AG19" s="1">
        <f t="shared" ca="1" si="54"/>
        <v>1</v>
      </c>
      <c r="AH19" s="260">
        <f t="shared" ca="1" si="55"/>
        <v>5.0109099999999991</v>
      </c>
      <c r="AI19" s="1"/>
    </row>
    <row r="20" spans="2:80" s="2" customFormat="1" x14ac:dyDescent="0.2">
      <c r="C20" s="2" t="str">
        <f t="shared" si="43"/>
        <v>RB Leipzig</v>
      </c>
      <c r="D20" s="1">
        <f t="shared" ca="1" si="33"/>
        <v>4</v>
      </c>
      <c r="E20" s="1">
        <f t="shared" ca="1" si="33"/>
        <v>1</v>
      </c>
      <c r="F20" s="1">
        <f t="shared" ca="1" si="33"/>
        <v>2</v>
      </c>
      <c r="G20" s="1">
        <f t="shared" ca="1" si="33"/>
        <v>1</v>
      </c>
      <c r="H20" s="1">
        <f t="shared" ca="1" si="34"/>
        <v>164</v>
      </c>
      <c r="I20" s="1">
        <f t="shared" ca="1" si="34"/>
        <v>174</v>
      </c>
      <c r="J20" s="13">
        <f t="shared" ca="1" si="34"/>
        <v>-10</v>
      </c>
      <c r="K20" s="1">
        <f t="shared" ca="1" si="34"/>
        <v>4</v>
      </c>
      <c r="L20" s="29">
        <f t="shared" ca="1" si="44"/>
        <v>4490000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Vorrunde!$AQ45</f>
        <v>0</v>
      </c>
      <c r="Z20" s="1">
        <f t="shared" ca="1" si="48"/>
        <v>1.9</v>
      </c>
      <c r="AA20" s="1">
        <f t="shared" ca="1" si="49"/>
        <v>0</v>
      </c>
      <c r="AB20" s="1">
        <f t="shared" ca="1" si="50"/>
        <v>0</v>
      </c>
      <c r="AC20" s="1"/>
      <c r="AD20" s="257">
        <f t="shared" ca="1" si="51"/>
        <v>2</v>
      </c>
      <c r="AE20" s="29">
        <f t="shared" ca="1" si="52"/>
        <v>490000</v>
      </c>
      <c r="AF20" s="1">
        <f t="shared" ca="1" si="53"/>
        <v>8</v>
      </c>
      <c r="AG20" s="1">
        <f t="shared" ca="1" si="54"/>
        <v>1</v>
      </c>
      <c r="AH20" s="260">
        <f t="shared" ca="1" si="55"/>
        <v>2.0108099999999998</v>
      </c>
      <c r="AI20" s="1"/>
    </row>
    <row r="21" spans="2:80" s="2" customFormat="1" x14ac:dyDescent="0.2">
      <c r="C21" s="2" t="str">
        <f t="shared" si="43"/>
        <v>SV Oberredenburg</v>
      </c>
      <c r="D21" s="1">
        <f t="shared" ca="1" si="33"/>
        <v>4</v>
      </c>
      <c r="E21" s="1">
        <f t="shared" ca="1" si="33"/>
        <v>1</v>
      </c>
      <c r="F21" s="1">
        <f t="shared" ca="1" si="33"/>
        <v>2</v>
      </c>
      <c r="G21" s="1">
        <f t="shared" ca="1" si="33"/>
        <v>1</v>
      </c>
      <c r="H21" s="1">
        <f t="shared" ca="1" si="34"/>
        <v>174</v>
      </c>
      <c r="I21" s="1">
        <f t="shared" ca="1" si="34"/>
        <v>177</v>
      </c>
      <c r="J21" s="13">
        <f t="shared" ca="1" si="34"/>
        <v>-3</v>
      </c>
      <c r="K21" s="1">
        <f t="shared" ca="1" si="34"/>
        <v>4</v>
      </c>
      <c r="L21" s="29">
        <f t="shared" ca="1" si="44"/>
        <v>4497000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Vorrunde!$AQ46</f>
        <v>0</v>
      </c>
      <c r="Z21" s="1">
        <f t="shared" ca="1" si="48"/>
        <v>1.9</v>
      </c>
      <c r="AA21" s="1">
        <f t="shared" ca="1" si="49"/>
        <v>0</v>
      </c>
      <c r="AB21" s="1">
        <f t="shared" ca="1" si="50"/>
        <v>0</v>
      </c>
      <c r="AC21" s="1"/>
      <c r="AD21" s="257">
        <f t="shared" ca="1" si="51"/>
        <v>2</v>
      </c>
      <c r="AE21" s="29">
        <f t="shared" ca="1" si="52"/>
        <v>497000</v>
      </c>
      <c r="AF21" s="1">
        <f t="shared" ca="1" si="53"/>
        <v>7</v>
      </c>
      <c r="AG21" s="1">
        <f t="shared" ca="1" si="54"/>
        <v>1</v>
      </c>
      <c r="AH21" s="260">
        <f t="shared" ca="1" si="55"/>
        <v>2.01071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Vorrunde!$AQ47</f>
        <v>0</v>
      </c>
      <c r="Z22" s="1">
        <f t="shared" ca="1" si="48"/>
        <v>1.9</v>
      </c>
      <c r="AA22" s="1">
        <f t="shared" ca="1" si="49"/>
        <v>0</v>
      </c>
      <c r="AB22" s="1">
        <f t="shared" ca="1" si="50"/>
        <v>0</v>
      </c>
      <c r="AC22" s="1"/>
      <c r="AD22" s="257">
        <f t="shared" ca="1" si="51"/>
        <v>6</v>
      </c>
      <c r="AE22" s="29">
        <f t="shared" ca="1" si="52"/>
        <v>500000</v>
      </c>
      <c r="AF22" s="1">
        <f t="shared" ca="1" si="53"/>
        <v>3</v>
      </c>
      <c r="AG22" s="1">
        <f t="shared" ca="1" si="54"/>
        <v>1</v>
      </c>
      <c r="AH22" s="260">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7">
        <f t="shared" ca="1" si="51"/>
        <v>6</v>
      </c>
      <c r="AE23" s="29">
        <f t="shared" ca="1" si="52"/>
        <v>500000</v>
      </c>
      <c r="AF23" s="1">
        <f t="shared" ca="1" si="53"/>
        <v>3</v>
      </c>
      <c r="AG23" s="1">
        <f t="shared" ca="1" si="54"/>
        <v>1</v>
      </c>
      <c r="AH23" s="260">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7">
        <f t="shared" ca="1" si="51"/>
        <v>6</v>
      </c>
      <c r="AE24" s="29">
        <f t="shared" ca="1" si="52"/>
        <v>500000</v>
      </c>
      <c r="AF24" s="1">
        <f t="shared" ca="1" si="53"/>
        <v>3</v>
      </c>
      <c r="AG24" s="1">
        <f t="shared" ca="1" si="54"/>
        <v>1</v>
      </c>
      <c r="AH24" s="260">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7">
        <f t="shared" ca="1" si="51"/>
        <v>6</v>
      </c>
      <c r="AE25" s="29">
        <f t="shared" ca="1" si="52"/>
        <v>500000</v>
      </c>
      <c r="AF25" s="1">
        <f t="shared" ca="1" si="53"/>
        <v>3</v>
      </c>
      <c r="AG25" s="1">
        <f t="shared" ca="1" si="54"/>
        <v>1</v>
      </c>
      <c r="AH25" s="261">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3">
        <v>1</v>
      </c>
      <c r="F29" s="990"/>
      <c r="G29" s="990"/>
      <c r="H29" s="990"/>
      <c r="I29" s="990"/>
      <c r="J29" s="990"/>
      <c r="K29" s="990"/>
      <c r="L29" s="992"/>
      <c r="M29" s="989">
        <v>2</v>
      </c>
      <c r="N29" s="990"/>
      <c r="O29" s="990"/>
      <c r="P29" s="990"/>
      <c r="Q29" s="990"/>
      <c r="R29" s="990"/>
      <c r="S29" s="990"/>
      <c r="T29" s="992"/>
      <c r="U29" s="989">
        <v>3</v>
      </c>
      <c r="V29" s="990"/>
      <c r="W29" s="990"/>
      <c r="X29" s="990"/>
      <c r="Y29" s="990"/>
      <c r="Z29" s="990"/>
      <c r="AA29" s="990"/>
      <c r="AB29" s="992"/>
      <c r="AC29" s="989">
        <v>4</v>
      </c>
      <c r="AD29" s="990"/>
      <c r="AE29" s="990"/>
      <c r="AF29" s="990"/>
      <c r="AG29" s="990"/>
      <c r="AH29" s="990"/>
      <c r="AI29" s="990"/>
      <c r="AJ29" s="992"/>
      <c r="AK29" s="989">
        <v>5</v>
      </c>
      <c r="AL29" s="990"/>
      <c r="AM29" s="990"/>
      <c r="AN29" s="990"/>
      <c r="AO29" s="990"/>
      <c r="AP29" s="990"/>
      <c r="AQ29" s="990"/>
      <c r="AR29" s="992"/>
      <c r="AS29" s="989">
        <v>6</v>
      </c>
      <c r="AT29" s="990"/>
      <c r="AU29" s="990"/>
      <c r="AV29" s="990"/>
      <c r="AW29" s="990"/>
      <c r="AX29" s="990"/>
      <c r="AY29" s="990"/>
      <c r="AZ29" s="992"/>
      <c r="BA29" s="989">
        <v>7</v>
      </c>
      <c r="BB29" s="990"/>
      <c r="BC29" s="990"/>
      <c r="BD29" s="990"/>
      <c r="BE29" s="990"/>
      <c r="BF29" s="990"/>
      <c r="BG29" s="990"/>
      <c r="BH29" s="992"/>
      <c r="BI29" s="989">
        <v>8</v>
      </c>
      <c r="BJ29" s="990"/>
      <c r="BK29" s="990"/>
      <c r="BL29" s="990"/>
      <c r="BM29" s="990"/>
      <c r="BN29" s="990"/>
      <c r="BO29" s="990"/>
      <c r="BP29" s="991"/>
      <c r="BQ29" s="13"/>
      <c r="BR29" s="5" t="s">
        <v>94</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1"/>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TSG Saalberg eV</v>
      </c>
      <c r="BS30" s="7"/>
      <c r="BT30" s="8">
        <f t="shared" ref="BT30:CA37" ca="1" si="57">SUMIFS($X$64:$X$135,$V$64:$V$135,$BR30,$W$64:$W$135,BT$29)+SUMIFS($Y$64:$Y$135,$W$64:$W$135,$BR30,$V$64:$V$135,BT$29)+SUMIFS($AG$64:$AG$135,$V$64:$V$135,$BR30,$W$64:$W$135,BT$29)+SUMIFS($AH$64:$AH$135,$W$64:$W$135,$BR30,$V$64:$V$135,BT$29)</f>
        <v>43</v>
      </c>
      <c r="BU30" s="8">
        <f t="shared" ca="1" si="57"/>
        <v>45</v>
      </c>
      <c r="BV30" s="8">
        <f t="shared" ca="1" si="57"/>
        <v>50</v>
      </c>
      <c r="BW30" s="8">
        <f t="shared" ca="1" si="57"/>
        <v>46</v>
      </c>
      <c r="BX30" s="8">
        <f t="shared" ca="1" si="57"/>
        <v>0</v>
      </c>
      <c r="BY30" s="8">
        <f t="shared" ca="1" si="57"/>
        <v>0</v>
      </c>
      <c r="BZ30" s="8">
        <f t="shared" ca="1" si="57"/>
        <v>0</v>
      </c>
      <c r="CA30" s="8">
        <f t="shared" ca="1" si="57"/>
        <v>0</v>
      </c>
      <c r="CB30" s="4"/>
    </row>
    <row r="31" spans="2:80" s="2" customFormat="1" x14ac:dyDescent="0.2">
      <c r="C31" s="2" t="str">
        <f t="shared" ref="C31:C38" si="58">$Q65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Paris St. Germain</v>
      </c>
      <c r="BS31" s="9">
        <f ca="1">SUMIFS($X$64:$X$135,$V$64:$V$135,$BR31,$W$64:$W$135,BS$29)+SUMIFS($Y$64:$Y$135,$W$64:$W$135,$BR31,$V$64:$V$135,BS$29)+SUMIFS($AG$64:$AG$135,$V$64:$V$135,$BR31,$W$64:$W$135,BS$29)+SUMIFS($AH$64:$AH$135,$W$64:$W$135,$BR31,$V$64:$V$135,BS$29)</f>
        <v>46</v>
      </c>
      <c r="BT31" s="7"/>
      <c r="BU31" s="8">
        <f ca="1">SUMIFS($X$64:$X$135,$V$64:$V$135,$BR31,$W$64:$W$135,BU$29)+SUMIFS($Y$64:$Y$135,$W$64:$W$135,$BR31,$V$64:$V$135,BU$29)+SUMIFS($AG$64:$AG$135,$V$64:$V$135,$BR31,$W$64:$W$135,BU$29)+SUMIFS($AH$64:$AH$135,$W$64:$W$135,$BR31,$V$64:$V$135,BU$29)</f>
        <v>50</v>
      </c>
      <c r="BV31" s="8">
        <f t="shared" ca="1" si="57"/>
        <v>44</v>
      </c>
      <c r="BW31" s="8">
        <f t="shared" ca="1" si="57"/>
        <v>42</v>
      </c>
      <c r="BX31" s="8">
        <f t="shared" ca="1" si="57"/>
        <v>0</v>
      </c>
      <c r="BY31" s="8">
        <f t="shared" ca="1" si="57"/>
        <v>0</v>
      </c>
      <c r="BZ31" s="8">
        <f t="shared" ca="1" si="57"/>
        <v>0</v>
      </c>
      <c r="CA31" s="8">
        <f t="shared" ca="1" si="57"/>
        <v>0</v>
      </c>
      <c r="CB31" s="4"/>
    </row>
    <row r="32" spans="2:80" s="2" customFormat="1" x14ac:dyDescent="0.2">
      <c r="C32" s="2" t="str">
        <f t="shared" si="58"/>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HSV</v>
      </c>
      <c r="BS32" s="9">
        <f t="shared" ref="BS32:BY38" ca="1" si="59">SUMIFS($X$64:$X$135,$V$64:$V$135,$BR32,$W$64:$W$135,BS$29)+SUMIFS($Y$64:$Y$135,$W$64:$W$135,$BR32,$V$64:$V$135,BS$29)+SUMIFS($AG$64:$AG$135,$V$64:$V$135,$BR32,$W$64:$W$135,BS$29)+SUMIFS($AH$64:$AH$135,$W$64:$W$135,$BR32,$V$64:$V$135,BS$29)</f>
        <v>44</v>
      </c>
      <c r="BT32" s="9">
        <f t="shared" ca="1" si="59"/>
        <v>20</v>
      </c>
      <c r="BU32" s="7"/>
      <c r="BV32" s="8">
        <f t="shared" ca="1" si="57"/>
        <v>44</v>
      </c>
      <c r="BW32" s="8">
        <f t="shared" ca="1" si="57"/>
        <v>39</v>
      </c>
      <c r="BX32" s="8">
        <f t="shared" ca="1" si="57"/>
        <v>0</v>
      </c>
      <c r="BY32" s="8">
        <f t="shared" ca="1" si="57"/>
        <v>0</v>
      </c>
      <c r="BZ32" s="8">
        <f t="shared" ca="1" si="57"/>
        <v>0</v>
      </c>
      <c r="CA32" s="8">
        <f t="shared" ca="1" si="57"/>
        <v>0</v>
      </c>
      <c r="CB32" s="4"/>
    </row>
    <row r="33" spans="2:80" s="2" customFormat="1" x14ac:dyDescent="0.2">
      <c r="C33" s="2" t="str">
        <f t="shared" si="58"/>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RB Leipzig</v>
      </c>
      <c r="BS33" s="9">
        <f t="shared" ca="1" si="59"/>
        <v>24</v>
      </c>
      <c r="BT33" s="9">
        <f t="shared" ca="1" si="59"/>
        <v>48</v>
      </c>
      <c r="BU33" s="9">
        <f t="shared" ca="1" si="59"/>
        <v>42</v>
      </c>
      <c r="BV33" s="7"/>
      <c r="BW33" s="8">
        <f t="shared" ca="1" si="57"/>
        <v>50</v>
      </c>
      <c r="BX33" s="8">
        <f t="shared" ca="1" si="57"/>
        <v>0</v>
      </c>
      <c r="BY33" s="8">
        <f t="shared" ca="1" si="57"/>
        <v>0</v>
      </c>
      <c r="BZ33" s="8">
        <f t="shared" ca="1" si="57"/>
        <v>0</v>
      </c>
      <c r="CA33" s="8">
        <f t="shared" ca="1" si="57"/>
        <v>0</v>
      </c>
      <c r="CB33" s="4"/>
    </row>
    <row r="34" spans="2:80" s="2" customFormat="1" x14ac:dyDescent="0.2">
      <c r="C34" s="2" t="str">
        <f t="shared" si="58"/>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SV Oberredenburg</v>
      </c>
      <c r="BS34" s="9">
        <f t="shared" ca="1" si="59"/>
        <v>44</v>
      </c>
      <c r="BT34" s="9">
        <f t="shared" ca="1" si="59"/>
        <v>50</v>
      </c>
      <c r="BU34" s="9">
        <f t="shared" ca="1" si="59"/>
        <v>44</v>
      </c>
      <c r="BV34" s="9">
        <f t="shared" ca="1" si="59"/>
        <v>36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TSG Saalberg eV</v>
      </c>
      <c r="BS41" s="7"/>
      <c r="BT41" s="8">
        <f ca="1">BT30-BS31</f>
        <v>-3</v>
      </c>
      <c r="BU41" s="8">
        <f ca="1">BU30-BS32</f>
        <v>1</v>
      </c>
      <c r="BV41" s="8">
        <f ca="1">BV30-BS33</f>
        <v>26</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Paris St. Germain</v>
      </c>
      <c r="BS42" s="9">
        <f ca="1">IF(BT41="","",-1*BT41)</f>
        <v>3</v>
      </c>
      <c r="BT42" s="7"/>
      <c r="BU42" s="8">
        <f ca="1">BU31-BT32</f>
        <v>30</v>
      </c>
      <c r="BV42" s="8">
        <f ca="1">BV31-BT33</f>
        <v>-4</v>
      </c>
      <c r="BW42" s="8">
        <f ca="1">BW31-BT34</f>
        <v>-8</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HSV</v>
      </c>
      <c r="BS43" s="9">
        <f ca="1">IF(BU41="","",-1*BU41)</f>
        <v>-1</v>
      </c>
      <c r="BT43" s="9">
        <f ca="1">IF(BU42="","",-1*BU42)</f>
        <v>-30</v>
      </c>
      <c r="BU43" s="7"/>
      <c r="BV43" s="8">
        <f ca="1">BV32-BU33</f>
        <v>2</v>
      </c>
      <c r="BW43" s="8">
        <f ca="1">BW32-BU34</f>
        <v>-5</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RB Leipzig</v>
      </c>
      <c r="BS44" s="9">
        <f ca="1">IF(BV41="","",-1*BV41)</f>
        <v>-26</v>
      </c>
      <c r="BT44" s="9">
        <f ca="1">IF(BV42="","",-1*BV42)</f>
        <v>4</v>
      </c>
      <c r="BU44" s="9">
        <f ca="1">IF(BV43="","",-1*BV43)</f>
        <v>-2</v>
      </c>
      <c r="BV44" s="7"/>
      <c r="BW44" s="8">
        <f ca="1">BW33-BV34</f>
        <v>14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SV Oberredenburg</v>
      </c>
      <c r="BS45" s="9">
        <f ca="1">IF(BW41="","",-1*BW41)</f>
        <v>-2</v>
      </c>
      <c r="BT45" s="9">
        <f ca="1">IF(BW42="","",-1*BW42)</f>
        <v>8</v>
      </c>
      <c r="BU45" s="9">
        <f ca="1">IF(BW43="","",-1*BW43)</f>
        <v>5</v>
      </c>
      <c r="BV45" s="9">
        <f ca="1">IF(BW44="","",-1*BW44)</f>
        <v>-14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TSG Saalberg eV</v>
      </c>
      <c r="BS52" s="7"/>
      <c r="BT52" s="8">
        <f t="shared" ref="BT52:CA58" ca="1" si="63">SUMIFS($AE$64:$AE$135,$V$64:$V$135,$BR52,$W$64:$W$135,BT$51)+SUMIFS($AF$64:$AF$135,$W$64:$W$135,$BR52,$V$64:$V$135,BT$51)</f>
        <v>1</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Paris St. Germain</v>
      </c>
      <c r="BS53" s="9">
        <f t="shared" ref="BS53:BU60" ca="1" si="64">SUMIFS($AE$64:$AE$135,$V$64:$V$135,$BR53,$W$64:$W$135,BS$51)+SUMIFS($AF$64:$AF$135,$W$64:$W$135,$BR53,$V$64:$V$135,BS$51)</f>
        <v>1</v>
      </c>
      <c r="BT53" s="7"/>
      <c r="BU53" s="8">
        <f ca="1">SUMIFS($AE$64:$AE$135,$V$64:$V$135,$BR53,$W$64:$W$135,BU$51)+SUMIFS($AF$64:$AF$135,$W$64:$W$135,$BR53,$V$64:$V$135,BU$51)</f>
        <v>2</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HSV</v>
      </c>
      <c r="BS54" s="9">
        <f t="shared" ca="1" si="64"/>
        <v>1</v>
      </c>
      <c r="BT54" s="9">
        <f t="shared" ca="1" si="64"/>
        <v>0</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RB Leipzig</v>
      </c>
      <c r="BS55" s="9">
        <f t="shared" ca="1" si="64"/>
        <v>0</v>
      </c>
      <c r="BT55" s="9">
        <f t="shared" ca="1" si="64"/>
        <v>1</v>
      </c>
      <c r="BU55" s="9">
        <f t="shared" ca="1" si="64"/>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SV Oberredenburg</v>
      </c>
      <c r="BS56" s="9">
        <f t="shared" ca="1" si="64"/>
        <v>1</v>
      </c>
      <c r="BT56" s="9">
        <f t="shared" ca="1" si="64"/>
        <v>2</v>
      </c>
      <c r="BU56" s="9">
        <f t="shared" ca="1" si="64"/>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1000" t="s">
        <v>374</v>
      </c>
      <c r="Y63" s="1000"/>
      <c r="Z63" s="161" t="s">
        <v>152</v>
      </c>
      <c r="AA63" s="161" t="s">
        <v>15</v>
      </c>
      <c r="AB63" s="161" t="s">
        <v>150</v>
      </c>
      <c r="AC63" s="650" t="s">
        <v>153</v>
      </c>
      <c r="AD63" s="161" t="s">
        <v>151</v>
      </c>
      <c r="AE63" s="994" t="s">
        <v>379</v>
      </c>
      <c r="AF63" s="994"/>
      <c r="AG63" s="1002" t="s">
        <v>375</v>
      </c>
      <c r="AH63" s="1002"/>
      <c r="AI63" s="652" t="s">
        <v>380</v>
      </c>
      <c r="AJ63" s="4"/>
      <c r="AK63" s="4"/>
      <c r="AL63" s="4"/>
      <c r="AM63" s="4"/>
      <c r="AN63" s="4"/>
      <c r="AO63" s="4"/>
      <c r="AP63" s="4"/>
      <c r="AQ63" s="4"/>
      <c r="AR63" s="4"/>
    </row>
    <row r="64" spans="5:80" s="2" customFormat="1" ht="14.25" thickTop="1" thickBot="1" x14ac:dyDescent="0.25">
      <c r="F64" s="189">
        <v>1000000</v>
      </c>
      <c r="G64" s="190" t="s">
        <v>109</v>
      </c>
      <c r="P64" s="44" t="s">
        <v>6</v>
      </c>
      <c r="Q64" s="59" t="str">
        <f>IF(Planung!$C$58="","",Planung!$C$58)</f>
        <v>TSG Saalberg eV</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39" t="str">
        <f ca="1">IF(AA64&gt;0,(X64+AG64)&amp;Sprache!$E$90&amp;(Y64+AH64),"")</f>
        <v>50:36</v>
      </c>
      <c r="AD64" s="140"/>
      <c r="AE64" s="145">
        <f ca="1">IF($AA64=0,0,IF($X64&gt;$Y64,1,0)+IF($AG64&gt;$AH64,1,0))</f>
        <v>2</v>
      </c>
      <c r="AF64" s="140">
        <f ca="1">IF($AA64=0,0,IF($X64&lt;$Y64,1,0)+IF($AG64&lt;$AH64,1,0))</f>
        <v>0</v>
      </c>
      <c r="AG64" s="145">
        <f ca="1">IF($AA64=1,Vorrunde!$L12,"")</f>
        <v>25</v>
      </c>
      <c r="AH64" s="140">
        <f ca="1">IF($AA64=1,Vorrunde!$N12,"")</f>
        <v>17</v>
      </c>
      <c r="AI64" s="140" t="str">
        <f ca="1">IF(AA64&gt;0,AE64&amp;Sprache!$E$90&amp;AF64,"")</f>
        <v>2:0</v>
      </c>
      <c r="AJ64" s="4"/>
      <c r="AK64" s="4"/>
      <c r="AL64" s="4"/>
      <c r="AM64" s="4"/>
      <c r="AN64" s="4"/>
      <c r="AO64" s="4"/>
      <c r="AP64" s="4"/>
      <c r="AQ64" s="4"/>
      <c r="AR64" s="4"/>
    </row>
    <row r="65" spans="2:43" s="2" customFormat="1" ht="13.5" thickBot="1" x14ac:dyDescent="0.25">
      <c r="F65" s="191">
        <v>1000</v>
      </c>
      <c r="G65" s="192" t="s">
        <v>108</v>
      </c>
      <c r="H65" s="196">
        <v>500</v>
      </c>
      <c r="I65" s="195" t="s">
        <v>367</v>
      </c>
      <c r="P65" s="45" t="s">
        <v>7</v>
      </c>
      <c r="Q65" s="60" t="str">
        <f>IF(Planung!$C$60="","",Planung!$C$60)</f>
        <v>Paris St. Germain</v>
      </c>
      <c r="U65" s="66" t="s">
        <v>7</v>
      </c>
      <c r="V65" s="40" t="str">
        <f ca="1">Planung!$L7</f>
        <v>FC Grönlingen</v>
      </c>
      <c r="W65" s="13" t="str">
        <f ca="1">Planung!$N7</f>
        <v>Inter Mailand</v>
      </c>
      <c r="X65" s="13">
        <f ca="1">IF($AA65=1,Vorrunde!$I13,"")</f>
        <v>25</v>
      </c>
      <c r="Y65" s="35">
        <f ca="1">IF($AA65=1,Vorrunde!$K13,"")</f>
        <v>20</v>
      </c>
      <c r="Z65" s="34" t="str">
        <f t="shared" ref="Z65:Z73" ca="1" si="65">V65&amp;W65</f>
        <v>FC GrönlingenInter Mailand</v>
      </c>
      <c r="AA65" s="739">
        <f ca="1">IF(AND(Vorrunde!$I13&lt;&gt;"",Vorrunde!$K13&lt;&gt;"",Vorrunde!$I13&lt;&gt;Vorrunde!$K13,OR(AND(Vorrunde!$L13="",Vorrunde!$N13=""),AND(Vorrunde!$L13&lt;&gt;"",Vorrunde!$N13&lt;&gt;"",Vorrunde!$L13&lt;&gt;Vorrunde!$N13)),Vorrunde!$F13&lt;&gt;"",Vorrunde!$H13&lt;&gt;"",Vorrunde!$F13&lt;&gt;Vorrunde!$H13),1,0)</f>
        <v>1</v>
      </c>
      <c r="AB65" s="739" t="str">
        <f ca="1">IF(AA65&gt;0,(X65+AG65)&amp;Sprache!$E$90&amp;(Y65+AH65),"")</f>
        <v>45:45</v>
      </c>
      <c r="AD65" s="141"/>
      <c r="AE65" s="146">
        <f t="shared" ref="AE65:AE123" ca="1" si="66">IF($AA65=0,0,IF($X65&gt;$Y65,1,0)+IF($AG65&gt;$AH65,1,0))</f>
        <v>1</v>
      </c>
      <c r="AF65" s="141">
        <f t="shared" ref="AF65:AF123" ca="1" si="67">IF($AA65=0,0,IF($X65&lt;$Y65,1,0)+IF($AG65&lt;$AH65,1,0))</f>
        <v>1</v>
      </c>
      <c r="AG65" s="146">
        <f ca="1">IF($AA65=1,Vorrunde!$L13,"")</f>
        <v>20</v>
      </c>
      <c r="AH65" s="141">
        <f ca="1">IF($AA65=1,Vorrunde!$N13,"")</f>
        <v>25</v>
      </c>
      <c r="AI65" s="141" t="str">
        <f ca="1">IF(AA65&gt;0,AE65&amp;Sprache!$E$90&amp;AF65,"")</f>
        <v>1:1</v>
      </c>
      <c r="AJ65" s="13"/>
      <c r="AK65" s="13"/>
      <c r="AL65" s="13"/>
      <c r="AM65" s="13"/>
      <c r="AN65" s="13"/>
      <c r="AO65" s="13"/>
      <c r="AP65" s="13"/>
      <c r="AQ65" s="13"/>
    </row>
    <row r="66" spans="2:43" s="2" customFormat="1" ht="13.5" thickBot="1" x14ac:dyDescent="0.25">
      <c r="F66" s="193">
        <v>0</v>
      </c>
      <c r="G66" s="194" t="s">
        <v>106</v>
      </c>
      <c r="P66" s="45" t="s">
        <v>8</v>
      </c>
      <c r="Q66" s="60" t="str">
        <f>IF(Planung!$C$62="","",Planung!$C$62)</f>
        <v>HSV</v>
      </c>
      <c r="U66" s="66" t="s">
        <v>8</v>
      </c>
      <c r="V66" s="40" t="str">
        <f ca="1">Planung!$L8</f>
        <v>1. FC Nürnberg</v>
      </c>
      <c r="W66" s="13" t="str">
        <f ca="1">Planung!$N8</f>
        <v>Real Madrid</v>
      </c>
      <c r="X66" s="13">
        <f ca="1">IF($AA66=1,Vorrunde!$I14,"")</f>
        <v>25</v>
      </c>
      <c r="Y66" s="35">
        <f ca="1">IF($AA66=1,Vorrunde!$K14,"")</f>
        <v>21</v>
      </c>
      <c r="Z66" s="34" t="str">
        <f t="shared" ca="1" si="65"/>
        <v>1. FC NürnbergReal Madrid</v>
      </c>
      <c r="AA66" s="739">
        <f ca="1">IF(AND(Vorrunde!$I14&lt;&gt;"",Vorrunde!$K14&lt;&gt;"",Vorrunde!$I14&lt;&gt;Vorrunde!$K14,OR(AND(Vorrunde!$L14="",Vorrunde!$N14=""),AND(Vorrunde!$L14&lt;&gt;"",Vorrunde!$N14&lt;&gt;"",Vorrunde!$L14&lt;&gt;Vorrunde!$N14)),Vorrunde!$F14&lt;&gt;"",Vorrunde!$H14&lt;&gt;"",Vorrunde!$F14&lt;&gt;Vorrunde!$H14),1,0)</f>
        <v>1</v>
      </c>
      <c r="AB66" s="739" t="str">
        <f ca="1">IF(AA66&gt;0,(X66+AG66)&amp;Sprache!$E$90&amp;(Y66+AH66),"")</f>
        <v>50:40</v>
      </c>
      <c r="AD66" s="141"/>
      <c r="AE66" s="146">
        <f t="shared" ca="1" si="66"/>
        <v>2</v>
      </c>
      <c r="AF66" s="141">
        <f t="shared" ca="1" si="67"/>
        <v>0</v>
      </c>
      <c r="AG66" s="146">
        <f ca="1">IF($AA66=1,Vorrunde!$L14,"")</f>
        <v>25</v>
      </c>
      <c r="AH66" s="141">
        <f ca="1">IF($AA66=1,Vorrunde!$N14,"")</f>
        <v>19</v>
      </c>
      <c r="AI66" s="141" t="str">
        <f ca="1">IF(AA66&gt;0,AE66&amp;Sprache!$E$90&amp;AF66,"")</f>
        <v>2:0</v>
      </c>
      <c r="AJ66" s="4"/>
      <c r="AK66" s="13"/>
      <c r="AL66" s="13"/>
      <c r="AM66" s="13"/>
      <c r="AN66" s="13"/>
      <c r="AO66" s="13"/>
      <c r="AP66" s="13"/>
      <c r="AQ66" s="13"/>
    </row>
    <row r="67" spans="2:43" s="2" customFormat="1" x14ac:dyDescent="0.2">
      <c r="P67" s="45" t="s">
        <v>9</v>
      </c>
      <c r="Q67" s="60" t="str">
        <f>IF(Planung!$C$64="","",Planung!$C$64)</f>
        <v>RB Leipzig</v>
      </c>
      <c r="U67" s="66" t="s">
        <v>9</v>
      </c>
      <c r="V67" s="40" t="str">
        <f ca="1">Planung!$L9</f>
        <v>SV Oberredenburg</v>
      </c>
      <c r="W67" s="13" t="str">
        <f ca="1">Planung!$N9</f>
        <v>Paris St. Germain</v>
      </c>
      <c r="X67" s="13">
        <f ca="1">IF($AA67=1,Vorrunde!$I15,"")</f>
        <v>25</v>
      </c>
      <c r="Y67" s="35">
        <f ca="1">IF($AA67=1,Vorrunde!$K15,"")</f>
        <v>22</v>
      </c>
      <c r="Z67" s="34" t="str">
        <f t="shared" ca="1" si="65"/>
        <v>SV OberredenburgParis St. Germain</v>
      </c>
      <c r="AA67" s="739">
        <f ca="1">IF(AND(Vorrunde!$I15&lt;&gt;"",Vorrunde!$K15&lt;&gt;"",Vorrunde!$I15&lt;&gt;Vorrunde!$K15,OR(AND(Vorrunde!$L15="",Vorrunde!$N15=""),AND(Vorrunde!$L15&lt;&gt;"",Vorrunde!$N15&lt;&gt;"",Vorrunde!$L15&lt;&gt;Vorrunde!$N15)),Vorrunde!$F15&lt;&gt;"",Vorrunde!$H15&lt;&gt;"",Vorrunde!$F15&lt;&gt;Vorrunde!$H15),1,0)</f>
        <v>1</v>
      </c>
      <c r="AB67" s="739" t="str">
        <f ca="1">IF(AA67&gt;0,(X67+AG67)&amp;Sprache!$E$90&amp;(Y67+AH67),"")</f>
        <v>50:42</v>
      </c>
      <c r="AD67" s="141"/>
      <c r="AE67" s="146">
        <f t="shared" ca="1" si="66"/>
        <v>2</v>
      </c>
      <c r="AF67" s="141">
        <f t="shared" ca="1" si="67"/>
        <v>0</v>
      </c>
      <c r="AG67" s="146">
        <f ca="1">IF($AA67=1,Vorrunde!$L15,"")</f>
        <v>25</v>
      </c>
      <c r="AH67" s="141">
        <f ca="1">IF($AA67=1,Vorrunde!$N15,"")</f>
        <v>20</v>
      </c>
      <c r="AI67" s="141" t="str">
        <f ca="1">IF(AA67&gt;0,AE67&amp;Sprache!$E$90&amp;AF67,"")</f>
        <v>2:0</v>
      </c>
      <c r="AJ67" s="13"/>
      <c r="AK67" s="4"/>
      <c r="AL67" s="13"/>
      <c r="AM67" s="13"/>
      <c r="AN67" s="13"/>
      <c r="AO67" s="13"/>
      <c r="AP67" s="13"/>
      <c r="AQ67" s="13"/>
    </row>
    <row r="68" spans="2:43" s="2" customFormat="1" x14ac:dyDescent="0.2">
      <c r="P68" s="45" t="s">
        <v>10</v>
      </c>
      <c r="Q68" s="60" t="str">
        <f>IF(Planung!$C$66="","",Planung!$C$66)</f>
        <v>SV Oberredenburg</v>
      </c>
      <c r="U68" s="66" t="s">
        <v>10</v>
      </c>
      <c r="V68" s="40" t="str">
        <f ca="1">Planung!$L10</f>
        <v>Eintracht Frankfurt</v>
      </c>
      <c r="W68" s="13" t="str">
        <f ca="1">Planung!$N10</f>
        <v>Maibach 1822 eV</v>
      </c>
      <c r="X68" s="13">
        <f ca="1">IF($AA68=1,Vorrunde!$I16,"")</f>
        <v>25</v>
      </c>
      <c r="Y68" s="35">
        <f ca="1">IF($AA68=1,Vorrunde!$K16,"")</f>
        <v>23</v>
      </c>
      <c r="Z68" s="34" t="str">
        <f t="shared" ca="1" si="65"/>
        <v>Eintracht FrankfurtMaibach 1822 eV</v>
      </c>
      <c r="AA68" s="739">
        <f ca="1">IF(AND(Vorrunde!$I16&lt;&gt;"",Vorrunde!$K16&lt;&gt;"",Vorrunde!$I16&lt;&gt;Vorrunde!$K16,OR(AND(Vorrunde!$L16="",Vorrunde!$N16=""),AND(Vorrunde!$L16&lt;&gt;"",Vorrunde!$N16&lt;&gt;"",Vorrunde!$L16&lt;&gt;Vorrunde!$N16)),Vorrunde!$F16&lt;&gt;"",Vorrunde!$H16&lt;&gt;"",Vorrunde!$F16&lt;&gt;Vorrunde!$H16),1,0)</f>
        <v>1</v>
      </c>
      <c r="AB68" s="739" t="str">
        <f ca="1">IF(AA68&gt;0,(X68+AG68)&amp;Sprache!$E$90&amp;(Y68+AH68),"")</f>
        <v>50:44</v>
      </c>
      <c r="AD68" s="141"/>
      <c r="AE68" s="146">
        <f t="shared" ca="1" si="66"/>
        <v>2</v>
      </c>
      <c r="AF68" s="141">
        <f t="shared" ca="1" si="67"/>
        <v>0</v>
      </c>
      <c r="AG68" s="146">
        <f ca="1">IF($AA68=1,Vorrunde!$L16,"")</f>
        <v>25</v>
      </c>
      <c r="AH68" s="141">
        <f ca="1">IF($AA68=1,Vorrunde!$N16,"")</f>
        <v>21</v>
      </c>
      <c r="AI68" s="141" t="str">
        <f ca="1">IF(AA68&gt;0,AE68&amp;Sprache!$E$90&amp;AF68,"")</f>
        <v>2:0</v>
      </c>
      <c r="AJ68" s="13"/>
      <c r="AK68" s="13"/>
      <c r="AL68" s="4"/>
      <c r="AM68" s="13"/>
      <c r="AN68" s="13"/>
      <c r="AO68" s="13"/>
      <c r="AP68" s="13"/>
      <c r="AQ68" s="13"/>
    </row>
    <row r="69" spans="2:43" s="2" customFormat="1" x14ac:dyDescent="0.2">
      <c r="P69" s="45" t="s">
        <v>11</v>
      </c>
      <c r="Q69" s="60" t="str">
        <f>IF(Planung!$C$68="","",Planung!$C$68)</f>
        <v/>
      </c>
      <c r="U69" s="66" t="s">
        <v>11</v>
      </c>
      <c r="V69" s="40" t="str">
        <f ca="1">Planung!$L11</f>
        <v>SSV Wildbach</v>
      </c>
      <c r="W69" s="13" t="str">
        <f ca="1">Planung!$N11</f>
        <v>Manchester City</v>
      </c>
      <c r="X69" s="13">
        <f ca="1">IF($AA69=1,Vorrunde!$I17,"")</f>
        <v>25</v>
      </c>
      <c r="Y69" s="35">
        <f ca="1">IF($AA69=1,Vorrunde!$K17,"")</f>
        <v>17</v>
      </c>
      <c r="Z69" s="34" t="str">
        <f t="shared" ca="1" si="65"/>
        <v>SSV WildbachManchester City</v>
      </c>
      <c r="AA69" s="739">
        <f ca="1">IF(AND(Vorrunde!$I17&lt;&gt;"",Vorrunde!$K17&lt;&gt;"",Vorrunde!$I17&lt;&gt;Vorrunde!$K17,OR(AND(Vorrunde!$L17="",Vorrunde!$N17=""),AND(Vorrunde!$L17&lt;&gt;"",Vorrunde!$N17&lt;&gt;"",Vorrunde!$L17&lt;&gt;Vorrunde!$N17)),Vorrunde!$F17&lt;&gt;"",Vorrunde!$H17&lt;&gt;"",Vorrunde!$F17&lt;&gt;Vorrunde!$H17),1,0)</f>
        <v>1</v>
      </c>
      <c r="AB69" s="739" t="str">
        <f ca="1">IF(AA69&gt;0,(X69+AG69)&amp;Sprache!$E$90&amp;(Y69+AH69),"")</f>
        <v>50:39</v>
      </c>
      <c r="AD69" s="141"/>
      <c r="AE69" s="146">
        <f t="shared" ca="1" si="66"/>
        <v>2</v>
      </c>
      <c r="AF69" s="141">
        <f t="shared" ca="1" si="67"/>
        <v>0</v>
      </c>
      <c r="AG69" s="146">
        <f ca="1">IF($AA69=1,Vorrunde!$L17,"")</f>
        <v>25</v>
      </c>
      <c r="AH69" s="141">
        <f ca="1">IF($AA69=1,Vorrunde!$N17,"")</f>
        <v>22</v>
      </c>
      <c r="AI69" s="141"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5"/>
        <v>Borussia DortmundFSV Rauen</v>
      </c>
      <c r="AA70" s="739">
        <f ca="1">IF(AND(Vorrunde!$I18&lt;&gt;"",Vorrunde!$K18&lt;&gt;"",Vorrunde!$I18&lt;&gt;Vorrunde!$K18,OR(AND(Vorrunde!$L18="",Vorrunde!$N18=""),AND(Vorrunde!$L18&lt;&gt;"",Vorrunde!$N18&lt;&gt;"",Vorrunde!$L18&lt;&gt;Vorrunde!$N18)),Vorrunde!$F18&lt;&gt;"",Vorrunde!$H18&lt;&gt;"",Vorrunde!$F18&lt;&gt;Vorrunde!$H18),1,0)</f>
        <v>1</v>
      </c>
      <c r="AB70" s="739" t="str">
        <f ca="1">IF(AA70&gt;0,(X70+AG70)&amp;Sprache!$E$90&amp;(Y70+AH70),"")</f>
        <v>45:48</v>
      </c>
      <c r="AD70" s="141"/>
      <c r="AE70" s="146">
        <f t="shared" ca="1" si="66"/>
        <v>1</v>
      </c>
      <c r="AF70" s="141">
        <f t="shared" ca="1" si="67"/>
        <v>1</v>
      </c>
      <c r="AG70" s="146">
        <f ca="1">IF($AA70=1,Vorrunde!$L18,"")</f>
        <v>25</v>
      </c>
      <c r="AH70" s="141">
        <f ca="1">IF($AA70=1,Vorrunde!$N18,"")</f>
        <v>23</v>
      </c>
      <c r="AI70" s="141"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5"/>
        <v>HSVRB Leipzig</v>
      </c>
      <c r="AA71" s="739">
        <f ca="1">IF(AND(Vorrunde!$I19&lt;&gt;"",Vorrunde!$K19&lt;&gt;"",Vorrunde!$I19&lt;&gt;Vorrunde!$K19,OR(AND(Vorrunde!$L19="",Vorrunde!$N19=""),AND(Vorrunde!$L19&lt;&gt;"",Vorrunde!$N19&lt;&gt;"",Vorrunde!$L19&lt;&gt;Vorrunde!$N19)),Vorrunde!$F19&lt;&gt;"",Vorrunde!$H19&lt;&gt;"",Vorrunde!$F19&lt;&gt;Vorrunde!$H19),1,0)</f>
        <v>1</v>
      </c>
      <c r="AB71" s="739" t="str">
        <f ca="1">IF(AA71&gt;0,(X71+AG71)&amp;Sprache!$E$90&amp;(Y71+AH71),"")</f>
        <v>44:42</v>
      </c>
      <c r="AD71" s="141"/>
      <c r="AE71" s="146">
        <f t="shared" ca="1" si="66"/>
        <v>1</v>
      </c>
      <c r="AF71" s="141">
        <f t="shared" ca="1" si="67"/>
        <v>1</v>
      </c>
      <c r="AG71" s="146">
        <f ca="1">IF($AA71=1,Vorrunde!$L19,"")</f>
        <v>25</v>
      </c>
      <c r="AH71" s="141">
        <f ca="1">IF($AA71=1,Vorrunde!$N19,"")</f>
        <v>17</v>
      </c>
      <c r="AI71" s="141"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5"/>
        <v>VFB Essenheim1. FC Riedwald</v>
      </c>
      <c r="AA72" s="739">
        <f ca="1">IF(AND(Vorrunde!$I20&lt;&gt;"",Vorrunde!$K20&lt;&gt;"",Vorrunde!$I20&lt;&gt;Vorrunde!$K20,OR(AND(Vorrunde!$L20="",Vorrunde!$N20=""),AND(Vorrunde!$L20&lt;&gt;"",Vorrunde!$N20&lt;&gt;"",Vorrunde!$L20&lt;&gt;Vorrunde!$N20)),Vorrunde!$F20&lt;&gt;"",Vorrunde!$H20&lt;&gt;"",Vorrunde!$F20&lt;&gt;Vorrunde!$H20),1,0)</f>
        <v>1</v>
      </c>
      <c r="AB72" s="739" t="str">
        <f ca="1">IF(AA72&gt;0,(X72+AG72)&amp;Sprache!$E$90&amp;(Y72+AH72),"")</f>
        <v>41:43</v>
      </c>
      <c r="AD72" s="141"/>
      <c r="AE72" s="146">
        <f t="shared" ca="1" si="66"/>
        <v>1</v>
      </c>
      <c r="AF72" s="141">
        <f t="shared" ca="1" si="67"/>
        <v>1</v>
      </c>
      <c r="AG72" s="146">
        <f ca="1">IF($AA72=1,Vorrunde!$L20,"")</f>
        <v>25</v>
      </c>
      <c r="AH72" s="141">
        <f ca="1">IF($AA72=1,Vorrunde!$N20,"")</f>
        <v>18</v>
      </c>
      <c r="AI72" s="141"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5"/>
        <v>FC GrönlingenMainz 05</v>
      </c>
      <c r="AA73" s="739">
        <f ca="1">IF(AND(Vorrunde!$I21&lt;&gt;"",Vorrunde!$K21&lt;&gt;"",Vorrunde!$I21&lt;&gt;Vorrunde!$K21,OR(AND(Vorrunde!$L21="",Vorrunde!$N21=""),AND(Vorrunde!$L21&lt;&gt;"",Vorrunde!$N21&lt;&gt;"",Vorrunde!$L21&lt;&gt;Vorrunde!$N21)),Vorrunde!$F21&lt;&gt;"",Vorrunde!$H21&lt;&gt;"",Vorrunde!$F21&lt;&gt;Vorrunde!$H21),1,0)</f>
        <v>1</v>
      </c>
      <c r="AB73" s="739" t="str">
        <f ca="1">IF(AA73&gt;0,(X73+AG73)&amp;Sprache!$E$90&amp;(Y73+AH73),"")</f>
        <v>39:44</v>
      </c>
      <c r="AD73" s="141"/>
      <c r="AE73" s="146">
        <f t="shared" ca="1" si="66"/>
        <v>1</v>
      </c>
      <c r="AF73" s="141">
        <f t="shared" ca="1" si="67"/>
        <v>1</v>
      </c>
      <c r="AG73" s="146">
        <f ca="1">IF($AA73=1,Vorrunde!$L21,"")</f>
        <v>25</v>
      </c>
      <c r="AH73" s="141">
        <f ca="1">IF($AA73=1,Vorrunde!$N21,"")</f>
        <v>19</v>
      </c>
      <c r="AI73" s="141"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739">
        <f ca="1">IF(AND(Vorrunde!$I22&lt;&gt;"",Vorrunde!$K22&lt;&gt;"",Vorrunde!$I22&lt;&gt;Vorrunde!$K22,OR(AND(Vorrunde!$L22="",Vorrunde!$N22=""),AND(Vorrunde!$L22&lt;&gt;"",Vorrunde!$N22&lt;&gt;"",Vorrunde!$L22&lt;&gt;Vorrunde!$N22)),Vorrunde!$F22&lt;&gt;"",Vorrunde!$H22&lt;&gt;"",Vorrunde!$F22&lt;&gt;Vorrunde!$H22),1,0)</f>
        <v>1</v>
      </c>
      <c r="AB74" s="739" t="str">
        <f ca="1">IF(AA74&gt;0,(X74+AG74)&amp;Sprache!$E$90&amp;(Y74+AH74),"")</f>
        <v>47:45</v>
      </c>
      <c r="AD74" s="141"/>
      <c r="AE74" s="146">
        <f t="shared" ca="1" si="66"/>
        <v>1</v>
      </c>
      <c r="AF74" s="141">
        <f t="shared" ca="1" si="67"/>
        <v>1</v>
      </c>
      <c r="AG74" s="146">
        <f ca="1">IF($AA74=1,Vorrunde!$L22,"")</f>
        <v>25</v>
      </c>
      <c r="AH74" s="141">
        <f ca="1">IF($AA74=1,Vorrunde!$N22,"")</f>
        <v>20</v>
      </c>
      <c r="AI74" s="141"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123" ca="1" si="68">V75&amp;W75</f>
        <v>SV OberredenburgTSG Saalberg eV</v>
      </c>
      <c r="AA75" s="739">
        <f ca="1">IF(AND(Vorrunde!$I23&lt;&gt;"",Vorrunde!$K23&lt;&gt;"",Vorrunde!$I23&lt;&gt;Vorrunde!$K23,OR(AND(Vorrunde!$L23="",Vorrunde!$N23=""),AND(Vorrunde!$L23&lt;&gt;"",Vorrunde!$N23&lt;&gt;"",Vorrunde!$L23&lt;&gt;Vorrunde!$N23)),Vorrunde!$F23&lt;&gt;"",Vorrunde!$H23&lt;&gt;"",Vorrunde!$F23&lt;&gt;Vorrunde!$H23),1,0)</f>
        <v>1</v>
      </c>
      <c r="AB75" s="739" t="str">
        <f ca="1">IF(AA75&gt;0,(X75+AG75)&amp;Sprache!$E$90&amp;(Y75+AH75),"")</f>
        <v>44:46</v>
      </c>
      <c r="AD75" s="141"/>
      <c r="AE75" s="146">
        <f t="shared" ca="1" si="66"/>
        <v>1</v>
      </c>
      <c r="AF75" s="141">
        <f t="shared" ca="1" si="67"/>
        <v>1</v>
      </c>
      <c r="AG75" s="146">
        <f ca="1">IF($AA75=1,Vorrunde!$L23,"")</f>
        <v>25</v>
      </c>
      <c r="AH75" s="141">
        <f ca="1">IF($AA75=1,Vorrunde!$N23,"")</f>
        <v>21</v>
      </c>
      <c r="AI75" s="141"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8"/>
        <v>FC BarcelonaEintracht Frankfurt</v>
      </c>
      <c r="AA76" s="739">
        <f ca="1">IF(AND(Vorrunde!$I24&lt;&gt;"",Vorrunde!$K24&lt;&gt;"",Vorrunde!$I24&lt;&gt;Vorrunde!$K24,OR(AND(Vorrunde!$L24="",Vorrunde!$N24=""),AND(Vorrunde!$L24&lt;&gt;"",Vorrunde!$N24&lt;&gt;"",Vorrunde!$L24&lt;&gt;Vorrunde!$N24)),Vorrunde!$F24&lt;&gt;"",Vorrunde!$H24&lt;&gt;"",Vorrunde!$F24&lt;&gt;Vorrunde!$H24),1,0)</f>
        <v>1</v>
      </c>
      <c r="AB76" s="739" t="str">
        <f ca="1">IF(AA76&gt;0,(X76+AG76)&amp;Sprache!$E$90&amp;(Y76+AH76),"")</f>
        <v>29:50</v>
      </c>
      <c r="AD76" s="141"/>
      <c r="AE76" s="146">
        <f t="shared" ca="1" si="66"/>
        <v>0</v>
      </c>
      <c r="AF76" s="141">
        <f t="shared" ca="1" si="67"/>
        <v>2</v>
      </c>
      <c r="AG76" s="146">
        <f ca="1">IF($AA76=1,Vorrunde!$L24,"")</f>
        <v>12</v>
      </c>
      <c r="AH76" s="141">
        <f ca="1">IF($AA76=1,Vorrunde!$N24,"")</f>
        <v>25</v>
      </c>
      <c r="AI76" s="141"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8"/>
        <v>Inter MailandSSV Wildbach</v>
      </c>
      <c r="AA77" s="739">
        <f ca="1">IF(AND(Vorrunde!$I25&lt;&gt;"",Vorrunde!$K25&lt;&gt;"",Vorrunde!$I25&lt;&gt;Vorrunde!$K25,OR(AND(Vorrunde!$L25="",Vorrunde!$N25=""),AND(Vorrunde!$L25&lt;&gt;"",Vorrunde!$N25&lt;&gt;"",Vorrunde!$L25&lt;&gt;Vorrunde!$N25)),Vorrunde!$F25&lt;&gt;"",Vorrunde!$H25&lt;&gt;"",Vorrunde!$F25&lt;&gt;Vorrunde!$H25),1,0)</f>
        <v>1</v>
      </c>
      <c r="AB77" s="739" t="str">
        <f ca="1">IF(AA77&gt;0,(X77+AG77)&amp;Sprache!$E$90&amp;(Y77+AH77),"")</f>
        <v>39:48</v>
      </c>
      <c r="AD77" s="141"/>
      <c r="AE77" s="146">
        <f t="shared" ca="1" si="66"/>
        <v>1</v>
      </c>
      <c r="AF77" s="141">
        <f t="shared" ca="1" si="67"/>
        <v>1</v>
      </c>
      <c r="AG77" s="146">
        <f ca="1">IF($AA77=1,Vorrunde!$L25,"")</f>
        <v>25</v>
      </c>
      <c r="AH77" s="141">
        <f ca="1">IF($AA77=1,Vorrunde!$N25,"")</f>
        <v>23</v>
      </c>
      <c r="AI77" s="141"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8"/>
        <v>Real MadridBorussia Dortmund</v>
      </c>
      <c r="AA78" s="739">
        <f ca="1">IF(AND(Vorrunde!$I26&lt;&gt;"",Vorrunde!$K26&lt;&gt;"",Vorrunde!$I26&lt;&gt;Vorrunde!$K26,OR(AND(Vorrunde!$L26="",Vorrunde!$N26=""),AND(Vorrunde!$L26&lt;&gt;"",Vorrunde!$N26&lt;&gt;"",Vorrunde!$L26&lt;&gt;Vorrunde!$N26)),Vorrunde!$F26&lt;&gt;"",Vorrunde!$H26&lt;&gt;"",Vorrunde!$F26&lt;&gt;Vorrunde!$H26),1,0)</f>
        <v>1</v>
      </c>
      <c r="AB78" s="739" t="str">
        <f ca="1">IF(AA78&gt;0,(X78+AG78)&amp;Sprache!$E$90&amp;(Y78+AH78),"")</f>
        <v>46:42</v>
      </c>
      <c r="AD78" s="141"/>
      <c r="AE78" s="146">
        <f t="shared" ca="1" si="66"/>
        <v>1</v>
      </c>
      <c r="AF78" s="141">
        <f t="shared" ca="1" si="67"/>
        <v>1</v>
      </c>
      <c r="AG78" s="146">
        <f ca="1">IF($AA78=1,Vorrunde!$L26,"")</f>
        <v>25</v>
      </c>
      <c r="AH78" s="141">
        <f ca="1">IF($AA78=1,Vorrunde!$N26,"")</f>
        <v>17</v>
      </c>
      <c r="AI78" s="141"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8"/>
        <v>Paris St. GermainHSV</v>
      </c>
      <c r="AA79" s="739">
        <f ca="1">IF(AND(Vorrunde!$I27&lt;&gt;"",Vorrunde!$K27&lt;&gt;"",Vorrunde!$I27&lt;&gt;Vorrunde!$K27,OR(AND(Vorrunde!$L27="",Vorrunde!$N27=""),AND(Vorrunde!$L27&lt;&gt;"",Vorrunde!$N27&lt;&gt;"",Vorrunde!$L27&lt;&gt;Vorrunde!$N27)),Vorrunde!$F27&lt;&gt;"",Vorrunde!$H27&lt;&gt;"",Vorrunde!$F27&lt;&gt;Vorrunde!$H27),1,0)</f>
        <v>1</v>
      </c>
      <c r="AB79" s="739" t="str">
        <f ca="1">IF(AA79&gt;0,(X79+AG79)&amp;Sprache!$E$90&amp;(Y79+AH79),"")</f>
        <v>50:20</v>
      </c>
      <c r="AD79" s="141"/>
      <c r="AE79" s="146">
        <f t="shared" ca="1" si="66"/>
        <v>2</v>
      </c>
      <c r="AF79" s="141">
        <f t="shared" ca="1" si="67"/>
        <v>0</v>
      </c>
      <c r="AG79" s="146">
        <f ca="1">IF($AA79=1,Vorrunde!$L27,"")</f>
        <v>25</v>
      </c>
      <c r="AH79" s="141">
        <f ca="1">IF($AA79=1,Vorrunde!$N27,"")</f>
        <v>18</v>
      </c>
      <c r="AI79" s="141"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8"/>
        <v>1. FC RiedwaldMaibach 1822 eV</v>
      </c>
      <c r="AA80" s="739">
        <f ca="1">IF(AND(Vorrunde!$I28&lt;&gt;"",Vorrunde!$K28&lt;&gt;"",Vorrunde!$I28&lt;&gt;Vorrunde!$K28,OR(AND(Vorrunde!$L28="",Vorrunde!$N28=""),AND(Vorrunde!$L28&lt;&gt;"",Vorrunde!$N28&lt;&gt;"",Vorrunde!$L28&lt;&gt;Vorrunde!$N28)),Vorrunde!$F28&lt;&gt;"",Vorrunde!$H28&lt;&gt;"",Vorrunde!$F28&lt;&gt;Vorrunde!$H28),1,0)</f>
        <v>1</v>
      </c>
      <c r="AB80" s="739" t="str">
        <f ca="1">IF(AA80&gt;0,(X80+AG80)&amp;Sprache!$E$90&amp;(Y80+AH80),"")</f>
        <v>50:39</v>
      </c>
      <c r="AD80" s="141"/>
      <c r="AE80" s="146">
        <f t="shared" ca="1" si="66"/>
        <v>2</v>
      </c>
      <c r="AF80" s="141">
        <f t="shared" ca="1" si="67"/>
        <v>0</v>
      </c>
      <c r="AG80" s="146">
        <f ca="1">IF($AA80=1,Vorrunde!$L28,"")</f>
        <v>25</v>
      </c>
      <c r="AH80" s="141">
        <f ca="1">IF($AA80=1,Vorrunde!$N28,"")</f>
        <v>19</v>
      </c>
      <c r="AI80" s="141"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8"/>
        <v>Mainz 05Manchester City</v>
      </c>
      <c r="AA81" s="739">
        <f ca="1">IF(AND(Vorrunde!$I29&lt;&gt;"",Vorrunde!$K29&lt;&gt;"",Vorrunde!$I29&lt;&gt;Vorrunde!$K29,OR(AND(Vorrunde!$L29="",Vorrunde!$N29=""),AND(Vorrunde!$L29&lt;&gt;"",Vorrunde!$N29&lt;&gt;"",Vorrunde!$L29&lt;&gt;Vorrunde!$N29)),Vorrunde!$F29&lt;&gt;"",Vorrunde!$H29&lt;&gt;"",Vorrunde!$F29&lt;&gt;Vorrunde!$H29),1,0)</f>
        <v>1</v>
      </c>
      <c r="AB81" s="739" t="str">
        <f ca="1">IF(AA81&gt;0,(X81+AG81)&amp;Sprache!$E$90&amp;(Y81+AH81),"")</f>
        <v>50:22</v>
      </c>
      <c r="AD81" s="141"/>
      <c r="AE81" s="146">
        <f t="shared" ca="1" si="66"/>
        <v>2</v>
      </c>
      <c r="AF81" s="141">
        <f t="shared" ca="1" si="67"/>
        <v>0</v>
      </c>
      <c r="AG81" s="146">
        <f ca="1">IF($AA81=1,Vorrunde!$L29,"")</f>
        <v>25</v>
      </c>
      <c r="AH81" s="141">
        <f ca="1">IF($AA81=1,Vorrunde!$N29,"")</f>
        <v>20</v>
      </c>
      <c r="AI81" s="141"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8"/>
        <v>Kickers RodendorfFSV Rauen</v>
      </c>
      <c r="AA82" s="739">
        <f ca="1">IF(AND(Vorrunde!$I30&lt;&gt;"",Vorrunde!$K30&lt;&gt;"",Vorrunde!$I30&lt;&gt;Vorrunde!$K30,OR(AND(Vorrunde!$L30="",Vorrunde!$N30=""),AND(Vorrunde!$L30&lt;&gt;"",Vorrunde!$N30&lt;&gt;"",Vorrunde!$L30&lt;&gt;Vorrunde!$N30)),Vorrunde!$F30&lt;&gt;"",Vorrunde!$H30&lt;&gt;"",Vorrunde!$F30&lt;&gt;Vorrunde!$H30),1,0)</f>
        <v>1</v>
      </c>
      <c r="AB82" s="739" t="str">
        <f ca="1">IF(AA82&gt;0,(X82+AG82)&amp;Sprache!$E$90&amp;(Y82+AH82),"")</f>
        <v>50:23</v>
      </c>
      <c r="AD82" s="141"/>
      <c r="AE82" s="146">
        <f t="shared" ca="1" si="66"/>
        <v>2</v>
      </c>
      <c r="AF82" s="141">
        <f t="shared" ca="1" si="67"/>
        <v>0</v>
      </c>
      <c r="AG82" s="146">
        <f ca="1">IF($AA82=1,Vorrunde!$L30,"")</f>
        <v>25</v>
      </c>
      <c r="AH82" s="141">
        <f ca="1">IF($AA82=1,Vorrunde!$N30,"")</f>
        <v>21</v>
      </c>
      <c r="AI82" s="141"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8"/>
        <v>TSG Saalberg eVRB Leipzig</v>
      </c>
      <c r="AA83" s="739">
        <f ca="1">IF(AND(Vorrunde!$I31&lt;&gt;"",Vorrunde!$K31&lt;&gt;"",Vorrunde!$I31&lt;&gt;Vorrunde!$K31,OR(AND(Vorrunde!$L31="",Vorrunde!$N31=""),AND(Vorrunde!$L31&lt;&gt;"",Vorrunde!$N31&lt;&gt;"",Vorrunde!$L31&lt;&gt;Vorrunde!$N31)),Vorrunde!$F31&lt;&gt;"",Vorrunde!$H31&lt;&gt;"",Vorrunde!$F31&lt;&gt;Vorrunde!$H31),1,0)</f>
        <v>1</v>
      </c>
      <c r="AB83" s="739" t="str">
        <f ca="1">IF(AA83&gt;0,(X83+AG83)&amp;Sprache!$E$90&amp;(Y83+AH83),"")</f>
        <v>50:24</v>
      </c>
      <c r="AD83" s="141"/>
      <c r="AE83" s="146">
        <f t="shared" ca="1" si="66"/>
        <v>2</v>
      </c>
      <c r="AF83" s="141">
        <f t="shared" ca="1" si="67"/>
        <v>0</v>
      </c>
      <c r="AG83" s="146">
        <f ca="1">IF($AA83=1,Vorrunde!$L31,"")</f>
        <v>25</v>
      </c>
      <c r="AH83" s="141">
        <f ca="1">IF($AA83=1,Vorrunde!$N31,"")</f>
        <v>22</v>
      </c>
      <c r="AI83" s="141"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8"/>
        <v>Eintracht FrankfurtVFB Essenheim</v>
      </c>
      <c r="AA84" s="739">
        <f ca="1">IF(AND(Vorrunde!$I32&lt;&gt;"",Vorrunde!$K32&lt;&gt;"",Vorrunde!$I32&lt;&gt;Vorrunde!$K32,OR(AND(Vorrunde!$L32="",Vorrunde!$N32=""),AND(Vorrunde!$L32&lt;&gt;"",Vorrunde!$N32&lt;&gt;"",Vorrunde!$L32&lt;&gt;Vorrunde!$N32)),Vorrunde!$F32&lt;&gt;"",Vorrunde!$H32&lt;&gt;"",Vorrunde!$F32&lt;&gt;Vorrunde!$H32),1,0)</f>
        <v>1</v>
      </c>
      <c r="AB84" s="739" t="str">
        <f ca="1">IF(AA84&gt;0,(X84+AG84)&amp;Sprache!$E$90&amp;(Y84+AH84),"")</f>
        <v>38:36</v>
      </c>
      <c r="AD84" s="141"/>
      <c r="AE84" s="146">
        <f t="shared" ca="1" si="66"/>
        <v>1</v>
      </c>
      <c r="AF84" s="141">
        <f t="shared" ca="1" si="67"/>
        <v>1</v>
      </c>
      <c r="AG84" s="146">
        <f ca="1">IF($AA84=1,Vorrunde!$L32,"")</f>
        <v>25</v>
      </c>
      <c r="AH84" s="141">
        <f ca="1">IF($AA84=1,Vorrunde!$N32,"")</f>
        <v>11</v>
      </c>
      <c r="AI84" s="141"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8"/>
        <v>SSV WildbachFC Grönlingen</v>
      </c>
      <c r="AA85" s="739">
        <f ca="1">IF(AND(Vorrunde!$I33&lt;&gt;"",Vorrunde!$K33&lt;&gt;"",Vorrunde!$I33&lt;&gt;Vorrunde!$K33,OR(AND(Vorrunde!$L33="",Vorrunde!$N33=""),AND(Vorrunde!$L33&lt;&gt;"",Vorrunde!$N33&lt;&gt;"",Vorrunde!$L33&lt;&gt;Vorrunde!$N33)),Vorrunde!$F33&lt;&gt;"",Vorrunde!$H33&lt;&gt;"",Vorrunde!$F33&lt;&gt;Vorrunde!$H33),1,0)</f>
        <v>1</v>
      </c>
      <c r="AB85" s="739" t="str">
        <f ca="1">IF(AA85&gt;0,(X85+AG85)&amp;Sprache!$E$90&amp;(Y85+AH85),"")</f>
        <v>44:42</v>
      </c>
      <c r="AD85" s="141"/>
      <c r="AE85" s="146">
        <f t="shared" ca="1" si="66"/>
        <v>1</v>
      </c>
      <c r="AF85" s="141">
        <f t="shared" ca="1" si="67"/>
        <v>1</v>
      </c>
      <c r="AG85" s="146">
        <f ca="1">IF($AA85=1,Vorrunde!$L33,"")</f>
        <v>25</v>
      </c>
      <c r="AH85" s="141">
        <f ca="1">IF($AA85=1,Vorrunde!$N33,"")</f>
        <v>17</v>
      </c>
      <c r="AI85" s="141"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8"/>
        <v>Borussia Dortmund1. FC Nürnberg</v>
      </c>
      <c r="AA86" s="739">
        <f ca="1">IF(AND(Vorrunde!$I34&lt;&gt;"",Vorrunde!$K34&lt;&gt;"",Vorrunde!$I34&lt;&gt;Vorrunde!$K34,OR(AND(Vorrunde!$L34="",Vorrunde!$N34=""),AND(Vorrunde!$L34&lt;&gt;"",Vorrunde!$N34&lt;&gt;"",Vorrunde!$L34&lt;&gt;Vorrunde!$N34)),Vorrunde!$F34&lt;&gt;"",Vorrunde!$H34&lt;&gt;"",Vorrunde!$F34&lt;&gt;Vorrunde!$H34),1,0)</f>
        <v>1</v>
      </c>
      <c r="AB86" s="739" t="str">
        <f ca="1">IF(AA86&gt;0,(X86+AG86)&amp;Sprache!$E$90&amp;(Y86+AH86),"")</f>
        <v>42:41</v>
      </c>
      <c r="AD86" s="141"/>
      <c r="AE86" s="146">
        <f t="shared" ca="1" si="66"/>
        <v>1</v>
      </c>
      <c r="AF86" s="141">
        <f t="shared" ca="1" si="67"/>
        <v>1</v>
      </c>
      <c r="AG86" s="146">
        <f ca="1">IF($AA86=1,Vorrunde!$L34,"")</f>
        <v>25</v>
      </c>
      <c r="AH86" s="141">
        <f ca="1">IF($AA86=1,Vorrunde!$N34,"")</f>
        <v>16</v>
      </c>
      <c r="AI86" s="141"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8"/>
        <v>HSVSV Oberredenburg</v>
      </c>
      <c r="AA87" s="739">
        <f ca="1">IF(AND(Vorrunde!$I35&lt;&gt;"",Vorrunde!$K35&lt;&gt;"",Vorrunde!$I35&lt;&gt;Vorrunde!$K35,OR(AND(Vorrunde!$L35="",Vorrunde!$N35=""),AND(Vorrunde!$L35&lt;&gt;"",Vorrunde!$N35&lt;&gt;"",Vorrunde!$L35&lt;&gt;Vorrunde!$N35)),Vorrunde!$F35&lt;&gt;"",Vorrunde!$H35&lt;&gt;"",Vorrunde!$F35&lt;&gt;Vorrunde!$H35),1,0)</f>
        <v>1</v>
      </c>
      <c r="AB87" s="739" t="str">
        <f ca="1">IF(AA87&gt;0,(X87+AG87)&amp;Sprache!$E$90&amp;(Y87+AH87),"")</f>
        <v>39:44</v>
      </c>
      <c r="AD87" s="141"/>
      <c r="AE87" s="146">
        <f t="shared" ca="1" si="66"/>
        <v>1</v>
      </c>
      <c r="AF87" s="141">
        <f t="shared" ca="1" si="67"/>
        <v>1</v>
      </c>
      <c r="AG87" s="146">
        <f ca="1">IF($AA87=1,Vorrunde!$L35,"")</f>
        <v>25</v>
      </c>
      <c r="AH87" s="141">
        <f ca="1">IF($AA87=1,Vorrunde!$N35,"")</f>
        <v>19</v>
      </c>
      <c r="AI87" s="141"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8"/>
        <v>FC BarcelonaMaibach 1822 eV</v>
      </c>
      <c r="AA88" s="739">
        <f ca="1">IF(AND(Vorrunde!$I36&lt;&gt;"",Vorrunde!$K36&lt;&gt;"",Vorrunde!$I36&lt;&gt;Vorrunde!$K36,OR(AND(Vorrunde!$L36="",Vorrunde!$N36=""),AND(Vorrunde!$L36&lt;&gt;"",Vorrunde!$N36&lt;&gt;"",Vorrunde!$L36&lt;&gt;Vorrunde!$N36)),Vorrunde!$F36&lt;&gt;"",Vorrunde!$H36&lt;&gt;"",Vorrunde!$F36&lt;&gt;Vorrunde!$H36),1,0)</f>
        <v>1</v>
      </c>
      <c r="AB88" s="739" t="str">
        <f ca="1">IF(AA88&gt;0,(X88+AG88)&amp;Sprache!$E$90&amp;(Y88+AH88),"")</f>
        <v>45:45</v>
      </c>
      <c r="AD88" s="141"/>
      <c r="AE88" s="146">
        <f t="shared" ca="1" si="66"/>
        <v>1</v>
      </c>
      <c r="AF88" s="141">
        <f t="shared" ca="1" si="67"/>
        <v>1</v>
      </c>
      <c r="AG88" s="146">
        <f ca="1">IF($AA88=1,Vorrunde!$L36,"")</f>
        <v>25</v>
      </c>
      <c r="AH88" s="141">
        <f ca="1">IF($AA88=1,Vorrunde!$N36,"")</f>
        <v>20</v>
      </c>
      <c r="AI88" s="141"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8"/>
        <v>Inter MailandManchester City</v>
      </c>
      <c r="AA89" s="739">
        <f ca="1">IF(AND(Vorrunde!$I37&lt;&gt;"",Vorrunde!$K37&lt;&gt;"",Vorrunde!$I37&lt;&gt;Vorrunde!$K37,OR(AND(Vorrunde!$L37="",Vorrunde!$N37=""),AND(Vorrunde!$L37&lt;&gt;"",Vorrunde!$N37&lt;&gt;"",Vorrunde!$L37&lt;&gt;Vorrunde!$N37)),Vorrunde!$F37&lt;&gt;"",Vorrunde!$H37&lt;&gt;"",Vorrunde!$F37&lt;&gt;Vorrunde!$H37),1,0)</f>
        <v>1</v>
      </c>
      <c r="AB89" s="739" t="str">
        <f ca="1">IF(AA89&gt;0,(X89+AG89)&amp;Sprache!$E$90&amp;(Y89+AH89),"")</f>
        <v>44:46</v>
      </c>
      <c r="AD89" s="141"/>
      <c r="AE89" s="146">
        <f t="shared" ca="1" si="66"/>
        <v>1</v>
      </c>
      <c r="AF89" s="141">
        <f t="shared" ca="1" si="67"/>
        <v>1</v>
      </c>
      <c r="AG89" s="146">
        <f ca="1">IF($AA89=1,Vorrunde!$L37,"")</f>
        <v>25</v>
      </c>
      <c r="AH89" s="141">
        <f ca="1">IF($AA89=1,Vorrunde!$N37,"")</f>
        <v>21</v>
      </c>
      <c r="AI89" s="141"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8"/>
        <v>Real MadridFSV Rauen</v>
      </c>
      <c r="AA90" s="739">
        <f ca="1">IF(AND(Vorrunde!$I38&lt;&gt;"",Vorrunde!$K38&lt;&gt;"",Vorrunde!$I38&lt;&gt;Vorrunde!$K38,OR(AND(Vorrunde!$L38="",Vorrunde!$N38=""),AND(Vorrunde!$L38&lt;&gt;"",Vorrunde!$N38&lt;&gt;"",Vorrunde!$L38&lt;&gt;Vorrunde!$N38)),Vorrunde!$F38&lt;&gt;"",Vorrunde!$H38&lt;&gt;"",Vorrunde!$F38&lt;&gt;Vorrunde!$H38),1,0)</f>
        <v>1</v>
      </c>
      <c r="AB90" s="739" t="str">
        <f ca="1">IF(AA90&gt;0,(X90+AG90)&amp;Sprache!$E$90&amp;(Y90+AH90),"")</f>
        <v>42:47</v>
      </c>
      <c r="AD90" s="141"/>
      <c r="AE90" s="146">
        <f t="shared" ca="1" si="66"/>
        <v>1</v>
      </c>
      <c r="AF90" s="141">
        <f t="shared" ca="1" si="67"/>
        <v>1</v>
      </c>
      <c r="AG90" s="146">
        <f ca="1">IF($AA90=1,Vorrunde!$L38,"")</f>
        <v>25</v>
      </c>
      <c r="AH90" s="141">
        <f ca="1">IF($AA90=1,Vorrunde!$N38,"")</f>
        <v>22</v>
      </c>
      <c r="AI90" s="141"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8"/>
        <v>Paris St. GermainRB Leipzig</v>
      </c>
      <c r="AA91" s="739">
        <f ca="1">IF(AND(Vorrunde!$I39&lt;&gt;"",Vorrunde!$K39&lt;&gt;"",Vorrunde!$I39&lt;&gt;Vorrunde!$K39,OR(AND(Vorrunde!$L39="",Vorrunde!$N39=""),AND(Vorrunde!$L39&lt;&gt;"",Vorrunde!$N39&lt;&gt;"",Vorrunde!$L39&lt;&gt;Vorrunde!$N39)),Vorrunde!$F39&lt;&gt;"",Vorrunde!$H39&lt;&gt;"",Vorrunde!$F39&lt;&gt;Vorrunde!$H39),1,0)</f>
        <v>1</v>
      </c>
      <c r="AB91" s="739" t="str">
        <f ca="1">IF(AA91&gt;0,(X91+AG91)&amp;Sprache!$E$90&amp;(Y91+AH91),"")</f>
        <v>44:48</v>
      </c>
      <c r="AD91" s="141"/>
      <c r="AE91" s="146">
        <f t="shared" ca="1" si="66"/>
        <v>1</v>
      </c>
      <c r="AF91" s="141">
        <f t="shared" ca="1" si="67"/>
        <v>1</v>
      </c>
      <c r="AG91" s="146">
        <f ca="1">IF($AA91=1,Vorrunde!$L39,"")</f>
        <v>25</v>
      </c>
      <c r="AH91" s="141">
        <f ca="1">IF($AA91=1,Vorrunde!$N39,"")</f>
        <v>23</v>
      </c>
      <c r="AI91" s="141"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8"/>
        <v>Eintracht Frankfurt1. FC Riedwald</v>
      </c>
      <c r="AA92" s="739">
        <f ca="1">IF(AND(Vorrunde!$I40&lt;&gt;"",Vorrunde!$K40&lt;&gt;"",Vorrunde!$I40&lt;&gt;Vorrunde!$K40,OR(AND(Vorrunde!$L40="",Vorrunde!$N40=""),AND(Vorrunde!$L40&lt;&gt;"",Vorrunde!$N40&lt;&gt;"",Vorrunde!$L40&lt;&gt;Vorrunde!$N40)),Vorrunde!$F40&lt;&gt;"",Vorrunde!$H40&lt;&gt;"",Vorrunde!$F40&lt;&gt;Vorrunde!$H40),1,0)</f>
        <v>1</v>
      </c>
      <c r="AB92" s="739" t="str">
        <f ca="1">IF(AA92&gt;0,(X92+AG92)&amp;Sprache!$E$90&amp;(Y92+AH92),"")</f>
        <v>34:50</v>
      </c>
      <c r="AD92" s="141"/>
      <c r="AE92" s="146">
        <f t="shared" ca="1" si="66"/>
        <v>0</v>
      </c>
      <c r="AF92" s="141">
        <f t="shared" ca="1" si="67"/>
        <v>2</v>
      </c>
      <c r="AG92" s="146">
        <f ca="1">IF($AA92=1,Vorrunde!$L40,"")</f>
        <v>17</v>
      </c>
      <c r="AH92" s="141">
        <f ca="1">IF($AA92=1,Vorrunde!$N40,"")</f>
        <v>25</v>
      </c>
      <c r="AI92" s="141"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8"/>
        <v>SSV WildbachMainz 05</v>
      </c>
      <c r="AA93" s="739">
        <f ca="1">IF(AND(Vorrunde!$I41&lt;&gt;"",Vorrunde!$K41&lt;&gt;"",Vorrunde!$I41&lt;&gt;Vorrunde!$K41,OR(AND(Vorrunde!$L41="",Vorrunde!$N41=""),AND(Vorrunde!$L41&lt;&gt;"",Vorrunde!$N41&lt;&gt;"",Vorrunde!$L41&lt;&gt;Vorrunde!$N41)),Vorrunde!$F41&lt;&gt;"",Vorrunde!$H41&lt;&gt;"",Vorrunde!$F41&lt;&gt;Vorrunde!$H41),1,0)</f>
        <v>1</v>
      </c>
      <c r="AB93" s="739" t="str">
        <f ca="1">IF(AA93&gt;0,(X93+AG93)&amp;Sprache!$E$90&amp;(Y93+AH93),"")</f>
        <v>39:43</v>
      </c>
      <c r="AD93" s="141"/>
      <c r="AE93" s="146">
        <f t="shared" ca="1" si="66"/>
        <v>1</v>
      </c>
      <c r="AF93" s="141">
        <f t="shared" ca="1" si="67"/>
        <v>1</v>
      </c>
      <c r="AG93" s="146">
        <f ca="1">IF($AA93=1,Vorrunde!$L41,"")</f>
        <v>25</v>
      </c>
      <c r="AH93" s="141">
        <f ca="1">IF($AA93=1,Vorrunde!$N41,"")</f>
        <v>18</v>
      </c>
      <c r="AI93" s="141"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ca="1" si="68"/>
        <v>Borussia DortmundKickers Rodendorf</v>
      </c>
      <c r="AA94" s="739">
        <f ca="1">IF(AND(Vorrunde!$I42&lt;&gt;"",Vorrunde!$K42&lt;&gt;"",Vorrunde!$I42&lt;&gt;Vorrunde!$K42,OR(AND(Vorrunde!$L42="",Vorrunde!$N42=""),AND(Vorrunde!$L42&lt;&gt;"",Vorrunde!$N42&lt;&gt;"",Vorrunde!$L42&lt;&gt;Vorrunde!$N42)),Vorrunde!$F42&lt;&gt;"",Vorrunde!$H42&lt;&gt;"",Vorrunde!$F42&lt;&gt;Vorrunde!$H42),1,0)</f>
        <v>1</v>
      </c>
      <c r="AB94" s="739" t="str">
        <f ca="1">IF(AA94&gt;0,(X94+AG94)&amp;Sprache!$E$90&amp;(Y94+AH94),"")</f>
        <v>45:44</v>
      </c>
      <c r="AD94" s="141"/>
      <c r="AE94" s="146">
        <f t="shared" ca="1" si="66"/>
        <v>1</v>
      </c>
      <c r="AF94" s="141">
        <f t="shared" ca="1" si="67"/>
        <v>1</v>
      </c>
      <c r="AG94" s="146">
        <f ca="1">IF($AA94=1,Vorrunde!$L42,"")</f>
        <v>25</v>
      </c>
      <c r="AH94" s="141">
        <f ca="1">IF($AA94=1,Vorrunde!$N42,"")</f>
        <v>19</v>
      </c>
      <c r="AI94" s="141"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8"/>
        <v>HSVTSG Saalberg eV</v>
      </c>
      <c r="AA95" s="739">
        <f ca="1">IF(AND(Vorrunde!$I43&lt;&gt;"",Vorrunde!$K43&lt;&gt;"",Vorrunde!$I43&lt;&gt;Vorrunde!$K43,OR(AND(Vorrunde!$L43="",Vorrunde!$N43=""),AND(Vorrunde!$L43&lt;&gt;"",Vorrunde!$N43&lt;&gt;"",Vorrunde!$L43&lt;&gt;Vorrunde!$N43)),Vorrunde!$F43&lt;&gt;"",Vorrunde!$H43&lt;&gt;"",Vorrunde!$F43&lt;&gt;Vorrunde!$H43),1,0)</f>
        <v>1</v>
      </c>
      <c r="AB95" s="739" t="str">
        <f ca="1">IF(AA95&gt;0,(X95+AG95)&amp;Sprache!$E$90&amp;(Y95+AH95),"")</f>
        <v>44:45</v>
      </c>
      <c r="AD95" s="141"/>
      <c r="AE95" s="146">
        <f t="shared" ca="1" si="66"/>
        <v>1</v>
      </c>
      <c r="AF95" s="141">
        <f t="shared" ca="1" si="67"/>
        <v>1</v>
      </c>
      <c r="AG95" s="146">
        <f ca="1">IF($AA95=1,Vorrunde!$L43,"")</f>
        <v>25</v>
      </c>
      <c r="AH95" s="141">
        <f ca="1">IF($AA95=1,Vorrunde!$N43,"")</f>
        <v>20</v>
      </c>
      <c r="AI95" s="141"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8"/>
        <v>Maibach 1822 eVVFB Essenheim</v>
      </c>
      <c r="AA96" s="739">
        <f ca="1">IF(AND(Vorrunde!$I44&lt;&gt;"",Vorrunde!$K44&lt;&gt;"",Vorrunde!$I44&lt;&gt;Vorrunde!$K44,OR(AND(Vorrunde!$L44="",Vorrunde!$N44=""),AND(Vorrunde!$L44&lt;&gt;"",Vorrunde!$N44&lt;&gt;"",Vorrunde!$L44&lt;&gt;Vorrunde!$N44)),Vorrunde!$F44&lt;&gt;"",Vorrunde!$H44&lt;&gt;"",Vorrunde!$F44&lt;&gt;Vorrunde!$H44),1,0)</f>
        <v>1</v>
      </c>
      <c r="AB96" s="739" t="str">
        <f ca="1">IF(AA96&gt;0,(X96+AG96)&amp;Sprache!$E$90&amp;(Y96+AH96),"")</f>
        <v>42:46</v>
      </c>
      <c r="AD96" s="141"/>
      <c r="AE96" s="146">
        <f t="shared" ca="1" si="66"/>
        <v>1</v>
      </c>
      <c r="AF96" s="141">
        <f t="shared" ca="1" si="67"/>
        <v>1</v>
      </c>
      <c r="AG96" s="146">
        <f ca="1">IF($AA96=1,Vorrunde!$L44,"")</f>
        <v>25</v>
      </c>
      <c r="AH96" s="141">
        <f ca="1">IF($AA96=1,Vorrunde!$N44,"")</f>
        <v>21</v>
      </c>
      <c r="AI96" s="141"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8"/>
        <v>Manchester CityFC Grönlingen</v>
      </c>
      <c r="AA97" s="739">
        <f ca="1">IF(AND(Vorrunde!$I45&lt;&gt;"",Vorrunde!$K45&lt;&gt;"",Vorrunde!$I45&lt;&gt;Vorrunde!$K45,OR(AND(Vorrunde!$L45="",Vorrunde!$N45=""),AND(Vorrunde!$L45&lt;&gt;"",Vorrunde!$N45&lt;&gt;"",Vorrunde!$L45&lt;&gt;Vorrunde!$N45)),Vorrunde!$F45&lt;&gt;"",Vorrunde!$H45&lt;&gt;"",Vorrunde!$F45&lt;&gt;Vorrunde!$H45),1,0)</f>
        <v>1</v>
      </c>
      <c r="AB97" s="739" t="str">
        <f ca="1">IF(AA97&gt;0,(X97+AG97)&amp;Sprache!$E$90&amp;(Y97+AH97),"")</f>
        <v>39:47</v>
      </c>
      <c r="AD97" s="141"/>
      <c r="AE97" s="146">
        <f t="shared" ca="1" si="66"/>
        <v>1</v>
      </c>
      <c r="AF97" s="141">
        <f t="shared" ca="1" si="67"/>
        <v>1</v>
      </c>
      <c r="AG97" s="146">
        <f ca="1">IF($AA97=1,Vorrunde!$L45,"")</f>
        <v>25</v>
      </c>
      <c r="AH97" s="141">
        <f ca="1">IF($AA97=1,Vorrunde!$N45,"")</f>
        <v>22</v>
      </c>
      <c r="AI97" s="141"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8"/>
        <v>FSV Rauen1. FC Nürnberg</v>
      </c>
      <c r="AA98" s="739">
        <f ca="1">IF(AND(Vorrunde!$I46&lt;&gt;"",Vorrunde!$K46&lt;&gt;"",Vorrunde!$I46&lt;&gt;Vorrunde!$K46,OR(AND(Vorrunde!$L46="",Vorrunde!$N46=""),AND(Vorrunde!$L46&lt;&gt;"",Vorrunde!$N46&lt;&gt;"",Vorrunde!$L46&lt;&gt;Vorrunde!$N46)),Vorrunde!$F46&lt;&gt;"",Vorrunde!$H46&lt;&gt;"",Vorrunde!$F46&lt;&gt;Vorrunde!$H46),1,0)</f>
        <v>1</v>
      </c>
      <c r="AB98" s="739" t="str">
        <f ca="1">IF(AA98&gt;0,(X98+AG98)&amp;Sprache!$E$90&amp;(Y98+AH98),"")</f>
        <v>50:34</v>
      </c>
      <c r="AD98" s="141"/>
      <c r="AE98" s="146">
        <f t="shared" ca="1" si="66"/>
        <v>2</v>
      </c>
      <c r="AF98" s="141">
        <f t="shared" ca="1" si="67"/>
        <v>0</v>
      </c>
      <c r="AG98" s="146">
        <f ca="1">IF($AA98=1,Vorrunde!$L46,"")</f>
        <v>25</v>
      </c>
      <c r="AH98" s="141">
        <f ca="1">IF($AA98=1,Vorrunde!$N46,"")</f>
        <v>13</v>
      </c>
      <c r="AI98" s="141"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8"/>
        <v>RB LeipzigSV Oberredenburg</v>
      </c>
      <c r="AA99" s="739">
        <f ca="1">IF(AND(Vorrunde!$I47&lt;&gt;"",Vorrunde!$K47&lt;&gt;"",Vorrunde!$I47&lt;&gt;Vorrunde!$K47,OR(AND(Vorrunde!$L47="",Vorrunde!$N47=""),AND(Vorrunde!$L47&lt;&gt;"",Vorrunde!$N47&lt;&gt;"",Vorrunde!$L47&lt;&gt;Vorrunde!$N47)),Vorrunde!$F47&lt;&gt;"",Vorrunde!$H47&lt;&gt;"",Vorrunde!$F47&lt;&gt;Vorrunde!$H47),1,0)</f>
        <v>1</v>
      </c>
      <c r="AB99" s="739" t="str">
        <f ca="1">IF(AA99&gt;0,(X99+AG99)&amp;Sprache!$E$90&amp;(Y99+AH99),"")</f>
        <v>50:36</v>
      </c>
      <c r="AD99" s="141"/>
      <c r="AE99" s="146">
        <f t="shared" ca="1" si="66"/>
        <v>2</v>
      </c>
      <c r="AF99" s="141">
        <f t="shared" ca="1" si="67"/>
        <v>0</v>
      </c>
      <c r="AG99" s="146">
        <f ca="1">IF($AA99=1,Vorrunde!$L47,"")</f>
        <v>25</v>
      </c>
      <c r="AH99" s="141">
        <f ca="1">IF($AA99=1,Vorrunde!$N47,"")</f>
        <v>17</v>
      </c>
      <c r="AI99" s="141"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8"/>
        <v>1. FC RiedwaldFC Barcelona</v>
      </c>
      <c r="AA100" s="739">
        <f ca="1">IF(AND(Vorrunde!$I48&lt;&gt;"",Vorrunde!$K48&lt;&gt;"",Vorrunde!$I48&lt;&gt;Vorrunde!$K48,OR(AND(Vorrunde!$L48="",Vorrunde!$N48=""),AND(Vorrunde!$L48&lt;&gt;"",Vorrunde!$N48&lt;&gt;"",Vorrunde!$L48&lt;&gt;Vorrunde!$N48)),Vorrunde!$F48&lt;&gt;"",Vorrunde!$H48&lt;&gt;"",Vorrunde!$F48&lt;&gt;Vorrunde!$H48),1,0)</f>
        <v>1</v>
      </c>
      <c r="AB100" s="739" t="str">
        <f ca="1">IF(AA100&gt;0,(X100+AG100)&amp;Sprache!$E$90&amp;(Y100+AH100),"")</f>
        <v>50:35</v>
      </c>
      <c r="AD100" s="141"/>
      <c r="AE100" s="146">
        <f t="shared" ca="1" si="66"/>
        <v>2</v>
      </c>
      <c r="AF100" s="141">
        <f t="shared" ca="1" si="67"/>
        <v>0</v>
      </c>
      <c r="AG100" s="146">
        <f ca="1">IF($AA100=1,Vorrunde!$L48,"")</f>
        <v>25</v>
      </c>
      <c r="AH100" s="141">
        <f ca="1">IF($AA100=1,Vorrunde!$N48,"")</f>
        <v>18</v>
      </c>
      <c r="AI100" s="141"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8"/>
        <v>Mainz 05Inter Mailand</v>
      </c>
      <c r="AA101" s="739">
        <f ca="1">IF(AND(Vorrunde!$I49&lt;&gt;"",Vorrunde!$K49&lt;&gt;"",Vorrunde!$I49&lt;&gt;Vorrunde!$K49,OR(AND(Vorrunde!$L49="",Vorrunde!$N49=""),AND(Vorrunde!$L49&lt;&gt;"",Vorrunde!$N49&lt;&gt;"",Vorrunde!$L49&lt;&gt;Vorrunde!$N49)),Vorrunde!$F49&lt;&gt;"",Vorrunde!$H49&lt;&gt;"",Vorrunde!$F49&lt;&gt;Vorrunde!$H49),1,0)</f>
        <v>1</v>
      </c>
      <c r="AB101" s="739" t="str">
        <f ca="1">IF(AA101&gt;0,(X101+AG101)&amp;Sprache!$E$90&amp;(Y101+AH101),"")</f>
        <v>50:33</v>
      </c>
      <c r="AD101" s="141"/>
      <c r="AE101" s="146">
        <f t="shared" ca="1" si="66"/>
        <v>2</v>
      </c>
      <c r="AF101" s="141">
        <f t="shared" ca="1" si="67"/>
        <v>0</v>
      </c>
      <c r="AG101" s="146">
        <f ca="1">IF($AA101=1,Vorrunde!$L49,"")</f>
        <v>25</v>
      </c>
      <c r="AH101" s="141">
        <f ca="1">IF($AA101=1,Vorrunde!$N49,"")</f>
        <v>19</v>
      </c>
      <c r="AI101" s="141"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8"/>
        <v>Kickers RodendorfReal Madrid</v>
      </c>
      <c r="AA102" s="739">
        <f ca="1">IF(AND(Vorrunde!$I50&lt;&gt;"",Vorrunde!$K50&lt;&gt;"",Vorrunde!$I50&lt;&gt;Vorrunde!$K50,OR(AND(Vorrunde!$L50="",Vorrunde!$N50=""),AND(Vorrunde!$L50&lt;&gt;"",Vorrunde!$N50&lt;&gt;"",Vorrunde!$L50&lt;&gt;Vorrunde!$N50)),Vorrunde!$F50&lt;&gt;"",Vorrunde!$H50&lt;&gt;"",Vorrunde!$F50&lt;&gt;Vorrunde!$H50),1,0)</f>
        <v>1</v>
      </c>
      <c r="AB102" s="739" t="str">
        <f ca="1">IF(AA102&gt;0,(X102+AG102)&amp;Sprache!$E$90&amp;(Y102+AH102),"")</f>
        <v>38:45</v>
      </c>
      <c r="AD102" s="141"/>
      <c r="AE102" s="146">
        <f t="shared" ca="1" si="66"/>
        <v>1</v>
      </c>
      <c r="AF102" s="141">
        <f t="shared" ca="1" si="67"/>
        <v>1</v>
      </c>
      <c r="AG102" s="146">
        <f ca="1">IF($AA102=1,Vorrunde!$L50,"")</f>
        <v>25</v>
      </c>
      <c r="AH102" s="141">
        <f ca="1">IF($AA102=1,Vorrunde!$N50,"")</f>
        <v>20</v>
      </c>
      <c r="AI102" s="141"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8"/>
        <v>TSG Saalberg eVParis St. Germain</v>
      </c>
      <c r="AA103" s="739">
        <f ca="1">IF(AND(Vorrunde!$I51&lt;&gt;"",Vorrunde!$K51&lt;&gt;"",Vorrunde!$I51&lt;&gt;Vorrunde!$K51,OR(AND(Vorrunde!$L51="",Vorrunde!$N51=""),AND(Vorrunde!$L51&lt;&gt;"",Vorrunde!$N51&lt;&gt;"",Vorrunde!$L51&lt;&gt;Vorrunde!$N51)),Vorrunde!$F51&lt;&gt;"",Vorrunde!$H51&lt;&gt;"",Vorrunde!$F51&lt;&gt;Vorrunde!$H51),1,0)</f>
        <v>1</v>
      </c>
      <c r="AB103" s="739" t="str">
        <f ca="1">IF(AA103&gt;0,(X103+AG103)&amp;Sprache!$E$90&amp;(Y103+AH103),"")</f>
        <v>43:46</v>
      </c>
      <c r="AD103" s="141"/>
      <c r="AE103" s="146">
        <f t="shared" ca="1" si="66"/>
        <v>1</v>
      </c>
      <c r="AF103" s="141">
        <f t="shared" ca="1" si="67"/>
        <v>1</v>
      </c>
      <c r="AG103" s="146">
        <f ca="1">IF($AA103=1,Vorrunde!$L51,"")</f>
        <v>25</v>
      </c>
      <c r="AH103" s="141">
        <f ca="1">IF($AA103=1,Vorrunde!$N51,"")</f>
        <v>21</v>
      </c>
      <c r="AI103" s="141"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8"/>
        <v/>
      </c>
      <c r="AA104" s="739">
        <f ca="1">IF(AND(Vorrunde!$I52&lt;&gt;"",Vorrunde!$K52&lt;&gt;"",Vorrunde!$I52&lt;&gt;Vorrunde!$K52,OR(AND(Vorrunde!$L52="",Vorrunde!$N52=""),AND(Vorrunde!$L52&lt;&gt;"",Vorrunde!$N52&lt;&gt;"",Vorrunde!$L52&lt;&gt;Vorrunde!$N52)),Vorrunde!$F52&lt;&gt;"",Vorrunde!$H52&lt;&gt;"",Vorrunde!$F52&lt;&gt;Vorrunde!$H52),1,0)</f>
        <v>0</v>
      </c>
      <c r="AB104" s="739" t="str">
        <f ca="1">IF(AA104&gt;0,(X104+AG104)&amp;Sprache!$E$90&amp;(Y104+AH104),"")</f>
        <v/>
      </c>
      <c r="AD104" s="141"/>
      <c r="AE104" s="146">
        <f t="shared" ca="1" si="66"/>
        <v>0</v>
      </c>
      <c r="AF104" s="141">
        <f t="shared" ca="1" si="67"/>
        <v>0</v>
      </c>
      <c r="AG104" s="146" t="str">
        <f ca="1">IF($AA104=1,Vorrunde!$L52,"")</f>
        <v/>
      </c>
      <c r="AH104" s="141" t="str">
        <f ca="1">IF($AA104=1,Vorrunde!$N52,"")</f>
        <v/>
      </c>
      <c r="AI104" s="141"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8"/>
        <v/>
      </c>
      <c r="AA105" s="739">
        <f ca="1">IF(AND(Vorrunde!$I53&lt;&gt;"",Vorrunde!$K53&lt;&gt;"",Vorrunde!$I53&lt;&gt;Vorrunde!$K53,OR(AND(Vorrunde!$L53="",Vorrunde!$N53=""),AND(Vorrunde!$L53&lt;&gt;"",Vorrunde!$N53&lt;&gt;"",Vorrunde!$L53&lt;&gt;Vorrunde!$N53)),Vorrunde!$F53&lt;&gt;"",Vorrunde!$H53&lt;&gt;"",Vorrunde!$F53&lt;&gt;Vorrunde!$H53),1,0)</f>
        <v>0</v>
      </c>
      <c r="AB105" s="739" t="str">
        <f ca="1">IF(AA105&gt;0,(X105+AG105)&amp;Sprache!$E$90&amp;(Y105+AH105),"")</f>
        <v/>
      </c>
      <c r="AD105" s="141"/>
      <c r="AE105" s="146">
        <f t="shared" ca="1" si="66"/>
        <v>0</v>
      </c>
      <c r="AF105" s="141">
        <f t="shared" ca="1" si="67"/>
        <v>0</v>
      </c>
      <c r="AG105" s="146" t="str">
        <f ca="1">IF($AA105=1,Vorrunde!$L53,"")</f>
        <v/>
      </c>
      <c r="AH105" s="141" t="str">
        <f ca="1">IF($AA105=1,Vorrunde!$N53,"")</f>
        <v/>
      </c>
      <c r="AI105" s="141"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8"/>
        <v/>
      </c>
      <c r="AA106" s="739">
        <f ca="1">IF(AND(Vorrunde!$I54&lt;&gt;"",Vorrunde!$K54&lt;&gt;"",Vorrunde!$I54&lt;&gt;Vorrunde!$K54,OR(AND(Vorrunde!$L54="",Vorrunde!$N54=""),AND(Vorrunde!$L54&lt;&gt;"",Vorrunde!$N54&lt;&gt;"",Vorrunde!$L54&lt;&gt;Vorrunde!$N54)),Vorrunde!$F54&lt;&gt;"",Vorrunde!$H54&lt;&gt;"",Vorrunde!$F54&lt;&gt;Vorrunde!$H54),1,0)</f>
        <v>0</v>
      </c>
      <c r="AB106" s="739" t="str">
        <f ca="1">IF(AA106&gt;0,(X106+AG106)&amp;Sprache!$E$90&amp;(Y106+AH106),"")</f>
        <v/>
      </c>
      <c r="AD106" s="141"/>
      <c r="AE106" s="146">
        <f t="shared" ca="1" si="66"/>
        <v>0</v>
      </c>
      <c r="AF106" s="141">
        <f t="shared" ca="1" si="67"/>
        <v>0</v>
      </c>
      <c r="AG106" s="146" t="str">
        <f ca="1">IF($AA106=1,Vorrunde!$L54,"")</f>
        <v/>
      </c>
      <c r="AH106" s="141" t="str">
        <f ca="1">IF($AA106=1,Vorrunde!$N54,"")</f>
        <v/>
      </c>
      <c r="AI106" s="141"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8"/>
        <v/>
      </c>
      <c r="AA107" s="739">
        <f ca="1">IF(AND(Vorrunde!$I55&lt;&gt;"",Vorrunde!$K55&lt;&gt;"",Vorrunde!$I55&lt;&gt;Vorrunde!$K55,OR(AND(Vorrunde!$L55="",Vorrunde!$N55=""),AND(Vorrunde!$L55&lt;&gt;"",Vorrunde!$N55&lt;&gt;"",Vorrunde!$L55&lt;&gt;Vorrunde!$N55)),Vorrunde!$F55&lt;&gt;"",Vorrunde!$H55&lt;&gt;"",Vorrunde!$F55&lt;&gt;Vorrunde!$H55),1,0)</f>
        <v>0</v>
      </c>
      <c r="AB107" s="739" t="str">
        <f ca="1">IF(AA107&gt;0,(X107+AG107)&amp;Sprache!$E$90&amp;(Y107+AH107),"")</f>
        <v/>
      </c>
      <c r="AD107" s="141"/>
      <c r="AE107" s="146">
        <f t="shared" ca="1" si="66"/>
        <v>0</v>
      </c>
      <c r="AF107" s="141">
        <f t="shared" ca="1" si="67"/>
        <v>0</v>
      </c>
      <c r="AG107" s="146" t="str">
        <f ca="1">IF($AA107=1,Vorrunde!$L55,"")</f>
        <v/>
      </c>
      <c r="AH107" s="141" t="str">
        <f ca="1">IF($AA107=1,Vorrunde!$N55,"")</f>
        <v/>
      </c>
      <c r="AI107" s="141"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8"/>
        <v/>
      </c>
      <c r="AA108" s="739">
        <f ca="1">IF(AND(Vorrunde!$I56&lt;&gt;"",Vorrunde!$K56&lt;&gt;"",Vorrunde!$I56&lt;&gt;Vorrunde!$K56,OR(AND(Vorrunde!$L56="",Vorrunde!$N56=""),AND(Vorrunde!$L56&lt;&gt;"",Vorrunde!$N56&lt;&gt;"",Vorrunde!$L56&lt;&gt;Vorrunde!$N56)),Vorrunde!$F56&lt;&gt;"",Vorrunde!$H56&lt;&gt;"",Vorrunde!$F56&lt;&gt;Vorrunde!$H56),1,0)</f>
        <v>0</v>
      </c>
      <c r="AB108" s="739" t="str">
        <f ca="1">IF(AA108&gt;0,(X108+AG108)&amp;Sprache!$E$90&amp;(Y108+AH108),"")</f>
        <v/>
      </c>
      <c r="AD108" s="141"/>
      <c r="AE108" s="146">
        <f t="shared" ca="1" si="66"/>
        <v>0</v>
      </c>
      <c r="AF108" s="141">
        <f t="shared" ca="1" si="67"/>
        <v>0</v>
      </c>
      <c r="AG108" s="146" t="str">
        <f ca="1">IF($AA108=1,Vorrunde!$L56,"")</f>
        <v/>
      </c>
      <c r="AH108" s="141" t="str">
        <f ca="1">IF($AA108=1,Vorrunde!$N56,"")</f>
        <v/>
      </c>
      <c r="AI108" s="141"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8"/>
        <v/>
      </c>
      <c r="AA109" s="739">
        <f ca="1">IF(AND(Vorrunde!$I57&lt;&gt;"",Vorrunde!$K57&lt;&gt;"",Vorrunde!$I57&lt;&gt;Vorrunde!$K57,OR(AND(Vorrunde!$L57="",Vorrunde!$N57=""),AND(Vorrunde!$L57&lt;&gt;"",Vorrunde!$N57&lt;&gt;"",Vorrunde!$L57&lt;&gt;Vorrunde!$N57)),Vorrunde!$F57&lt;&gt;"",Vorrunde!$H57&lt;&gt;"",Vorrunde!$F57&lt;&gt;Vorrunde!$H57),1,0)</f>
        <v>0</v>
      </c>
      <c r="AB109" s="739" t="str">
        <f ca="1">IF(AA109&gt;0,(X109+AG109)&amp;Sprache!$E$90&amp;(Y109+AH109),"")</f>
        <v/>
      </c>
      <c r="AD109" s="141"/>
      <c r="AE109" s="146">
        <f t="shared" ca="1" si="66"/>
        <v>0</v>
      </c>
      <c r="AF109" s="141">
        <f t="shared" ca="1" si="67"/>
        <v>0</v>
      </c>
      <c r="AG109" s="146" t="str">
        <f ca="1">IF($AA109=1,Vorrunde!$L57,"")</f>
        <v/>
      </c>
      <c r="AH109" s="141" t="str">
        <f ca="1">IF($AA109=1,Vorrunde!$N57,"")</f>
        <v/>
      </c>
      <c r="AI109" s="141"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8"/>
        <v/>
      </c>
      <c r="AA110" s="739">
        <f ca="1">IF(AND(Vorrunde!$I58&lt;&gt;"",Vorrunde!$K58&lt;&gt;"",Vorrunde!$I58&lt;&gt;Vorrunde!$K58,OR(AND(Vorrunde!$L58="",Vorrunde!$N58=""),AND(Vorrunde!$L58&lt;&gt;"",Vorrunde!$N58&lt;&gt;"",Vorrunde!$L58&lt;&gt;Vorrunde!$N58)),Vorrunde!$F58&lt;&gt;"",Vorrunde!$H58&lt;&gt;"",Vorrunde!$F58&lt;&gt;Vorrunde!$H58),1,0)</f>
        <v>0</v>
      </c>
      <c r="AB110" s="739" t="str">
        <f ca="1">IF(AA110&gt;0,(X110+AG110)&amp;Sprache!$E$90&amp;(Y110+AH110),"")</f>
        <v/>
      </c>
      <c r="AD110" s="141"/>
      <c r="AE110" s="146">
        <f t="shared" ca="1" si="66"/>
        <v>0</v>
      </c>
      <c r="AF110" s="141">
        <f t="shared" ca="1" si="67"/>
        <v>0</v>
      </c>
      <c r="AG110" s="146" t="str">
        <f ca="1">IF($AA110=1,Vorrunde!$L58,"")</f>
        <v/>
      </c>
      <c r="AH110" s="141" t="str">
        <f ca="1">IF($AA110=1,Vorrunde!$N58,"")</f>
        <v/>
      </c>
      <c r="AI110" s="141"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8"/>
        <v/>
      </c>
      <c r="AA111" s="739">
        <f ca="1">IF(AND(Vorrunde!$I59&lt;&gt;"",Vorrunde!$K59&lt;&gt;"",Vorrunde!$I59&lt;&gt;Vorrunde!$K59,OR(AND(Vorrunde!$L59="",Vorrunde!$N59=""),AND(Vorrunde!$L59&lt;&gt;"",Vorrunde!$N59&lt;&gt;"",Vorrunde!$L59&lt;&gt;Vorrunde!$N59)),Vorrunde!$F59&lt;&gt;"",Vorrunde!$H59&lt;&gt;"",Vorrunde!$F59&lt;&gt;Vorrunde!$H59),1,0)</f>
        <v>0</v>
      </c>
      <c r="AB111" s="739" t="str">
        <f ca="1">IF(AA111&gt;0,(X111+AG111)&amp;Sprache!$E$90&amp;(Y111+AH111),"")</f>
        <v/>
      </c>
      <c r="AD111" s="141"/>
      <c r="AE111" s="146">
        <f t="shared" ca="1" si="66"/>
        <v>0</v>
      </c>
      <c r="AF111" s="141">
        <f t="shared" ca="1" si="67"/>
        <v>0</v>
      </c>
      <c r="AG111" s="146" t="str">
        <f ca="1">IF($AA111=1,Vorrunde!$L59,"")</f>
        <v/>
      </c>
      <c r="AH111" s="141" t="str">
        <f ca="1">IF($AA111=1,Vorrunde!$N59,"")</f>
        <v/>
      </c>
      <c r="AI111" s="141"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8"/>
        <v/>
      </c>
      <c r="AA112" s="739">
        <f ca="1">IF(AND(Vorrunde!$I60&lt;&gt;"",Vorrunde!$K60&lt;&gt;"",Vorrunde!$I60&lt;&gt;Vorrunde!$K60,OR(AND(Vorrunde!$L60="",Vorrunde!$N60=""),AND(Vorrunde!$L60&lt;&gt;"",Vorrunde!$N60&lt;&gt;"",Vorrunde!$L60&lt;&gt;Vorrunde!$N60)),Vorrunde!$F60&lt;&gt;"",Vorrunde!$H60&lt;&gt;"",Vorrunde!$F60&lt;&gt;Vorrunde!$H60),1,0)</f>
        <v>0</v>
      </c>
      <c r="AB112" s="739" t="str">
        <f ca="1">IF(AA112&gt;0,(X112+AG112)&amp;Sprache!$E$90&amp;(Y112+AH112),"")</f>
        <v/>
      </c>
      <c r="AD112" s="141"/>
      <c r="AE112" s="146">
        <f t="shared" ca="1" si="66"/>
        <v>0</v>
      </c>
      <c r="AF112" s="141">
        <f t="shared" ca="1" si="67"/>
        <v>0</v>
      </c>
      <c r="AG112" s="146" t="str">
        <f ca="1">IF($AA112=1,Vorrunde!$L60,"")</f>
        <v/>
      </c>
      <c r="AH112" s="141" t="str">
        <f ca="1">IF($AA112=1,Vorrunde!$N60,"")</f>
        <v/>
      </c>
      <c r="AI112" s="141"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8"/>
        <v/>
      </c>
      <c r="AA113" s="739">
        <f ca="1">IF(AND(Vorrunde!$I61&lt;&gt;"",Vorrunde!$K61&lt;&gt;"",Vorrunde!$I61&lt;&gt;Vorrunde!$K61,OR(AND(Vorrunde!$L61="",Vorrunde!$N61=""),AND(Vorrunde!$L61&lt;&gt;"",Vorrunde!$N61&lt;&gt;"",Vorrunde!$L61&lt;&gt;Vorrunde!$N61)),Vorrunde!$F61&lt;&gt;"",Vorrunde!$H61&lt;&gt;"",Vorrunde!$F61&lt;&gt;Vorrunde!$H61),1,0)</f>
        <v>0</v>
      </c>
      <c r="AB113" s="739" t="str">
        <f ca="1">IF(AA113&gt;0,(X113+AG113)&amp;Sprache!$E$90&amp;(Y113+AH113),"")</f>
        <v/>
      </c>
      <c r="AD113" s="141"/>
      <c r="AE113" s="146">
        <f t="shared" ca="1" si="66"/>
        <v>0</v>
      </c>
      <c r="AF113" s="141">
        <f t="shared" ca="1" si="67"/>
        <v>0</v>
      </c>
      <c r="AG113" s="146" t="str">
        <f ca="1">IF($AA113=1,Vorrunde!$L61,"")</f>
        <v/>
      </c>
      <c r="AH113" s="141" t="str">
        <f ca="1">IF($AA113=1,Vorrunde!$N61,"")</f>
        <v/>
      </c>
      <c r="AI113" s="141"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8"/>
        <v/>
      </c>
      <c r="AA114" s="739">
        <f ca="1">IF(AND(Vorrunde!$I62&lt;&gt;"",Vorrunde!$K62&lt;&gt;"",Vorrunde!$I62&lt;&gt;Vorrunde!$K62,OR(AND(Vorrunde!$L62="",Vorrunde!$N62=""),AND(Vorrunde!$L62&lt;&gt;"",Vorrunde!$N62&lt;&gt;"",Vorrunde!$L62&lt;&gt;Vorrunde!$N62)),Vorrunde!$F62&lt;&gt;"",Vorrunde!$H62&lt;&gt;"",Vorrunde!$F62&lt;&gt;Vorrunde!$H62),1,0)</f>
        <v>0</v>
      </c>
      <c r="AB114" s="739" t="str">
        <f ca="1">IF(AA114&gt;0,(X114+AG114)&amp;Sprache!$E$90&amp;(Y114+AH114),"")</f>
        <v/>
      </c>
      <c r="AD114" s="141"/>
      <c r="AE114" s="146">
        <f t="shared" ca="1" si="66"/>
        <v>0</v>
      </c>
      <c r="AF114" s="141">
        <f t="shared" ca="1" si="67"/>
        <v>0</v>
      </c>
      <c r="AG114" s="146" t="str">
        <f ca="1">IF($AA114=1,Vorrunde!$L62,"")</f>
        <v/>
      </c>
      <c r="AH114" s="141" t="str">
        <f ca="1">IF($AA114=1,Vorrunde!$N62,"")</f>
        <v/>
      </c>
      <c r="AI114" s="141"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8"/>
        <v/>
      </c>
      <c r="AA115" s="739">
        <f ca="1">IF(AND(Vorrunde!$I63&lt;&gt;"",Vorrunde!$K63&lt;&gt;"",Vorrunde!$I63&lt;&gt;Vorrunde!$K63,OR(AND(Vorrunde!$L63="",Vorrunde!$N63=""),AND(Vorrunde!$L63&lt;&gt;"",Vorrunde!$N63&lt;&gt;"",Vorrunde!$L63&lt;&gt;Vorrunde!$N63)),Vorrunde!$F63&lt;&gt;"",Vorrunde!$H63&lt;&gt;"",Vorrunde!$F63&lt;&gt;Vorrunde!$H63),1,0)</f>
        <v>0</v>
      </c>
      <c r="AB115" s="739" t="str">
        <f ca="1">IF(AA115&gt;0,(X115+AG115)&amp;Sprache!$E$90&amp;(Y115+AH115),"")</f>
        <v/>
      </c>
      <c r="AD115" s="141"/>
      <c r="AE115" s="146">
        <f t="shared" ca="1" si="66"/>
        <v>0</v>
      </c>
      <c r="AF115" s="141">
        <f t="shared" ca="1" si="67"/>
        <v>0</v>
      </c>
      <c r="AG115" s="146" t="str">
        <f ca="1">IF($AA115=1,Vorrunde!$L63,"")</f>
        <v/>
      </c>
      <c r="AH115" s="141" t="str">
        <f ca="1">IF($AA115=1,Vorrunde!$N63,"")</f>
        <v/>
      </c>
      <c r="AI115" s="141"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8"/>
        <v/>
      </c>
      <c r="AA116" s="739">
        <f ca="1">IF(AND(Vorrunde!$I64&lt;&gt;"",Vorrunde!$K64&lt;&gt;"",Vorrunde!$I64&lt;&gt;Vorrunde!$K64,OR(AND(Vorrunde!$L64="",Vorrunde!$N64=""),AND(Vorrunde!$L64&lt;&gt;"",Vorrunde!$N64&lt;&gt;"",Vorrunde!$L64&lt;&gt;Vorrunde!$N64)),Vorrunde!$F64&lt;&gt;"",Vorrunde!$H64&lt;&gt;"",Vorrunde!$F64&lt;&gt;Vorrunde!$H64),1,0)</f>
        <v>0</v>
      </c>
      <c r="AB116" s="739" t="str">
        <f ca="1">IF(AA116&gt;0,(X116+AG116)&amp;Sprache!$E$90&amp;(Y116+AH116),"")</f>
        <v/>
      </c>
      <c r="AD116" s="141"/>
      <c r="AE116" s="146">
        <f t="shared" ca="1" si="66"/>
        <v>0</v>
      </c>
      <c r="AF116" s="141">
        <f t="shared" ca="1" si="67"/>
        <v>0</v>
      </c>
      <c r="AG116" s="146" t="str">
        <f ca="1">IF($AA116=1,Vorrunde!$L64,"")</f>
        <v/>
      </c>
      <c r="AH116" s="141" t="str">
        <f ca="1">IF($AA116=1,Vorrunde!$N64,"")</f>
        <v/>
      </c>
      <c r="AI116" s="141"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8"/>
        <v/>
      </c>
      <c r="AA117" s="739">
        <f ca="1">IF(AND(Vorrunde!$I65&lt;&gt;"",Vorrunde!$K65&lt;&gt;"",Vorrunde!$I65&lt;&gt;Vorrunde!$K65,OR(AND(Vorrunde!$L65="",Vorrunde!$N65=""),AND(Vorrunde!$L65&lt;&gt;"",Vorrunde!$N65&lt;&gt;"",Vorrunde!$L65&lt;&gt;Vorrunde!$N65)),Vorrunde!$F65&lt;&gt;"",Vorrunde!$H65&lt;&gt;"",Vorrunde!$F65&lt;&gt;Vorrunde!$H65),1,0)</f>
        <v>0</v>
      </c>
      <c r="AB117" s="739" t="str">
        <f ca="1">IF(AA117&gt;0,(X117+AG117)&amp;Sprache!$E$90&amp;(Y117+AH117),"")</f>
        <v/>
      </c>
      <c r="AD117" s="141"/>
      <c r="AE117" s="146">
        <f t="shared" ca="1" si="66"/>
        <v>0</v>
      </c>
      <c r="AF117" s="141">
        <f t="shared" ca="1" si="67"/>
        <v>0</v>
      </c>
      <c r="AG117" s="146" t="str">
        <f ca="1">IF($AA117=1,Vorrunde!$L65,"")</f>
        <v/>
      </c>
      <c r="AH117" s="141" t="str">
        <f ca="1">IF($AA117=1,Vorrunde!$N65,"")</f>
        <v/>
      </c>
      <c r="AI117" s="141"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8"/>
        <v/>
      </c>
      <c r="AA118" s="739">
        <f ca="1">IF(AND(Vorrunde!$I66&lt;&gt;"",Vorrunde!$K66&lt;&gt;"",Vorrunde!$I66&lt;&gt;Vorrunde!$K66,OR(AND(Vorrunde!$L66="",Vorrunde!$N66=""),AND(Vorrunde!$L66&lt;&gt;"",Vorrunde!$N66&lt;&gt;"",Vorrunde!$L66&lt;&gt;Vorrunde!$N66)),Vorrunde!$F66&lt;&gt;"",Vorrunde!$H66&lt;&gt;"",Vorrunde!$F66&lt;&gt;Vorrunde!$H66),1,0)</f>
        <v>0</v>
      </c>
      <c r="AB118" s="739" t="str">
        <f ca="1">IF(AA118&gt;0,(X118+AG118)&amp;Sprache!$E$90&amp;(Y118+AH118),"")</f>
        <v/>
      </c>
      <c r="AD118" s="141"/>
      <c r="AE118" s="146">
        <f t="shared" ca="1" si="66"/>
        <v>0</v>
      </c>
      <c r="AF118" s="141">
        <f t="shared" ca="1" si="67"/>
        <v>0</v>
      </c>
      <c r="AG118" s="146" t="str">
        <f ca="1">IF($AA118=1,Vorrunde!$L66,"")</f>
        <v/>
      </c>
      <c r="AH118" s="141" t="str">
        <f ca="1">IF($AA118=1,Vorrunde!$N66,"")</f>
        <v/>
      </c>
      <c r="AI118" s="141"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8"/>
        <v/>
      </c>
      <c r="AA119" s="739">
        <f ca="1">IF(AND(Vorrunde!$I67&lt;&gt;"",Vorrunde!$K67&lt;&gt;"",Vorrunde!$I67&lt;&gt;Vorrunde!$K67,OR(AND(Vorrunde!$L67="",Vorrunde!$N67=""),AND(Vorrunde!$L67&lt;&gt;"",Vorrunde!$N67&lt;&gt;"",Vorrunde!$L67&lt;&gt;Vorrunde!$N67)),Vorrunde!$F67&lt;&gt;"",Vorrunde!$H67&lt;&gt;"",Vorrunde!$F67&lt;&gt;Vorrunde!$H67),1,0)</f>
        <v>0</v>
      </c>
      <c r="AB119" s="739" t="str">
        <f ca="1">IF(AA119&gt;0,(X119+AG119)&amp;Sprache!$E$90&amp;(Y119+AH119),"")</f>
        <v/>
      </c>
      <c r="AD119" s="141"/>
      <c r="AE119" s="146">
        <f t="shared" ca="1" si="66"/>
        <v>0</v>
      </c>
      <c r="AF119" s="141">
        <f t="shared" ca="1" si="67"/>
        <v>0</v>
      </c>
      <c r="AG119" s="146" t="str">
        <f ca="1">IF($AA119=1,Vorrunde!$L67,"")</f>
        <v/>
      </c>
      <c r="AH119" s="141" t="str">
        <f ca="1">IF($AA119=1,Vorrunde!$N67,"")</f>
        <v/>
      </c>
      <c r="AI119" s="141"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8"/>
        <v/>
      </c>
      <c r="AA120" s="739">
        <f ca="1">IF(AND(Vorrunde!$I68&lt;&gt;"",Vorrunde!$K68&lt;&gt;"",Vorrunde!$I68&lt;&gt;Vorrunde!$K68,OR(AND(Vorrunde!$L68="",Vorrunde!$N68=""),AND(Vorrunde!$L68&lt;&gt;"",Vorrunde!$N68&lt;&gt;"",Vorrunde!$L68&lt;&gt;Vorrunde!$N68)),Vorrunde!$F68&lt;&gt;"",Vorrunde!$H68&lt;&gt;"",Vorrunde!$F68&lt;&gt;Vorrunde!$H68),1,0)</f>
        <v>0</v>
      </c>
      <c r="AB120" s="739" t="str">
        <f ca="1">IF(AA120&gt;0,(X120+AG120)&amp;Sprache!$E$90&amp;(Y120+AH120),"")</f>
        <v/>
      </c>
      <c r="AD120" s="141"/>
      <c r="AE120" s="146">
        <f t="shared" ca="1" si="66"/>
        <v>0</v>
      </c>
      <c r="AF120" s="141">
        <f t="shared" ca="1" si="67"/>
        <v>0</v>
      </c>
      <c r="AG120" s="146" t="str">
        <f ca="1">IF($AA120=1,Vorrunde!$L68,"")</f>
        <v/>
      </c>
      <c r="AH120" s="141" t="str">
        <f ca="1">IF($AA120=1,Vorrunde!$N68,"")</f>
        <v/>
      </c>
      <c r="AI120" s="141"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8"/>
        <v/>
      </c>
      <c r="AA121" s="739">
        <f ca="1">IF(AND(Vorrunde!$I69&lt;&gt;"",Vorrunde!$K69&lt;&gt;"",Vorrunde!$I69&lt;&gt;Vorrunde!$K69,OR(AND(Vorrunde!$L69="",Vorrunde!$N69=""),AND(Vorrunde!$L69&lt;&gt;"",Vorrunde!$N69&lt;&gt;"",Vorrunde!$L69&lt;&gt;Vorrunde!$N69)),Vorrunde!$F69&lt;&gt;"",Vorrunde!$H69&lt;&gt;"",Vorrunde!$F69&lt;&gt;Vorrunde!$H69),1,0)</f>
        <v>0</v>
      </c>
      <c r="AB121" s="739" t="str">
        <f ca="1">IF(AA121&gt;0,(X121+AG121)&amp;Sprache!$E$90&amp;(Y121+AH121),"")</f>
        <v/>
      </c>
      <c r="AD121" s="141"/>
      <c r="AE121" s="146">
        <f t="shared" ca="1" si="66"/>
        <v>0</v>
      </c>
      <c r="AF121" s="141">
        <f t="shared" ca="1" si="67"/>
        <v>0</v>
      </c>
      <c r="AG121" s="146" t="str">
        <f ca="1">IF($AA121=1,Vorrunde!$L69,"")</f>
        <v/>
      </c>
      <c r="AH121" s="141" t="str">
        <f ca="1">IF($AA121=1,Vorrunde!$N69,"")</f>
        <v/>
      </c>
      <c r="AI121" s="141"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8"/>
        <v/>
      </c>
      <c r="AA122" s="739">
        <f ca="1">IF(AND(Vorrunde!$I70&lt;&gt;"",Vorrunde!$K70&lt;&gt;"",Vorrunde!$I70&lt;&gt;Vorrunde!$K70,OR(AND(Vorrunde!$L70="",Vorrunde!$N70=""),AND(Vorrunde!$L70&lt;&gt;"",Vorrunde!$N70&lt;&gt;"",Vorrunde!$L70&lt;&gt;Vorrunde!$N70)),Vorrunde!$F70&lt;&gt;"",Vorrunde!$H70&lt;&gt;"",Vorrunde!$F70&lt;&gt;Vorrunde!$H70),1,0)</f>
        <v>0</v>
      </c>
      <c r="AB122" s="739" t="str">
        <f ca="1">IF(AA122&gt;0,(X122+AG122)&amp;Sprache!$E$90&amp;(Y122+AH122),"")</f>
        <v/>
      </c>
      <c r="AD122" s="141"/>
      <c r="AE122" s="146">
        <f t="shared" ca="1" si="66"/>
        <v>0</v>
      </c>
      <c r="AF122" s="141">
        <f t="shared" ca="1" si="67"/>
        <v>0</v>
      </c>
      <c r="AG122" s="146" t="str">
        <f ca="1">IF($AA122=1,Vorrunde!$L70,"")</f>
        <v/>
      </c>
      <c r="AH122" s="141" t="str">
        <f ca="1">IF($AA122=1,Vorrunde!$N70,"")</f>
        <v/>
      </c>
      <c r="AI122" s="141"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8"/>
        <v/>
      </c>
      <c r="AA123" s="739">
        <f ca="1">IF(AND(Vorrunde!$I71&lt;&gt;"",Vorrunde!$K71&lt;&gt;"",Vorrunde!$I71&lt;&gt;Vorrunde!$K71,OR(AND(Vorrunde!$L71="",Vorrunde!$N71=""),AND(Vorrunde!$L71&lt;&gt;"",Vorrunde!$N71&lt;&gt;"",Vorrunde!$L71&lt;&gt;Vorrunde!$N71)),Vorrunde!$F71&lt;&gt;"",Vorrunde!$H71&lt;&gt;"",Vorrunde!$F71&lt;&gt;Vorrunde!$H71),1,0)</f>
        <v>0</v>
      </c>
      <c r="AB123" s="739" t="str">
        <f ca="1">IF(AA123&gt;0,(X123+AG123)&amp;Sprache!$E$90&amp;(Y123+AH123),"")</f>
        <v/>
      </c>
      <c r="AD123" s="141"/>
      <c r="AE123" s="146">
        <f t="shared" ca="1" si="66"/>
        <v>0</v>
      </c>
      <c r="AF123" s="141">
        <f t="shared" ca="1" si="67"/>
        <v>0</v>
      </c>
      <c r="AG123" s="146" t="str">
        <f ca="1">IF($AA123=1,Vorrunde!$L71,"")</f>
        <v/>
      </c>
      <c r="AH123" s="141" t="str">
        <f ca="1">IF($AA123=1,Vorrunde!$N71,"")</f>
        <v/>
      </c>
      <c r="AI123" s="141" t="str">
        <f ca="1">IF(AA123&gt;0,AE123&amp;Sprache!$E$90&amp;AF123,"")</f>
        <v/>
      </c>
    </row>
    <row r="124" spans="2:35" s="2" customFormat="1" ht="12.75" thickTop="1" x14ac:dyDescent="0.2">
      <c r="B124" s="4"/>
      <c r="C124" s="4"/>
      <c r="D124" s="4"/>
      <c r="E124" s="4"/>
      <c r="F124" s="13"/>
      <c r="G124" s="13"/>
      <c r="H124" s="13"/>
      <c r="I124" s="13"/>
      <c r="J124" s="13"/>
      <c r="K124" s="13"/>
      <c r="L124" s="13"/>
      <c r="M124" s="13"/>
      <c r="U124" s="301" t="s">
        <v>82</v>
      </c>
      <c r="V124" s="302" t="str">
        <f>""</f>
        <v/>
      </c>
      <c r="W124" s="303" t="str">
        <f>""</f>
        <v/>
      </c>
      <c r="X124" s="303" t="str">
        <f>""</f>
        <v/>
      </c>
      <c r="Y124" s="304" t="str">
        <f>""</f>
        <v/>
      </c>
      <c r="Z124" s="305" t="str">
        <f>""</f>
        <v/>
      </c>
      <c r="AA124" s="303">
        <v>0</v>
      </c>
      <c r="AB124" s="303" t="str">
        <f>""</f>
        <v/>
      </c>
      <c r="AC124" s="306"/>
      <c r="AD124" s="307"/>
      <c r="AE124" s="308"/>
      <c r="AF124" s="307"/>
      <c r="AG124" s="308" t="str">
        <f>""</f>
        <v/>
      </c>
      <c r="AH124" s="307" t="str">
        <f>""</f>
        <v/>
      </c>
      <c r="AI124" s="307"/>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739">
        <v>0</v>
      </c>
      <c r="AB125" s="739" t="str">
        <f>""</f>
        <v/>
      </c>
      <c r="AD125" s="141"/>
      <c r="AE125" s="146"/>
      <c r="AF125" s="141"/>
      <c r="AG125" s="646" t="str">
        <f>""</f>
        <v/>
      </c>
      <c r="AH125" s="647" t="str">
        <f>""</f>
        <v/>
      </c>
      <c r="AI125" s="647"/>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739">
        <v>0</v>
      </c>
      <c r="AB126" s="739" t="str">
        <f>""</f>
        <v/>
      </c>
      <c r="AD126" s="141"/>
      <c r="AE126" s="146"/>
      <c r="AF126" s="141"/>
      <c r="AG126" s="646" t="str">
        <f>""</f>
        <v/>
      </c>
      <c r="AH126" s="647" t="str">
        <f>""</f>
        <v/>
      </c>
      <c r="AI126" s="647"/>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739">
        <v>0</v>
      </c>
      <c r="AB127" s="739" t="str">
        <f>""</f>
        <v/>
      </c>
      <c r="AD127" s="141"/>
      <c r="AE127" s="146"/>
      <c r="AF127" s="141"/>
      <c r="AG127" s="646" t="str">
        <f>""</f>
        <v/>
      </c>
      <c r="AH127" s="647" t="str">
        <f>""</f>
        <v/>
      </c>
      <c r="AI127" s="647"/>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739">
        <v>0</v>
      </c>
      <c r="AB128" s="739" t="str">
        <f>""</f>
        <v/>
      </c>
      <c r="AD128" s="141"/>
      <c r="AE128" s="146"/>
      <c r="AF128" s="141"/>
      <c r="AG128" s="646" t="str">
        <f>""</f>
        <v/>
      </c>
      <c r="AH128" s="647" t="str">
        <f>""</f>
        <v/>
      </c>
      <c r="AI128" s="647"/>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739">
        <v>0</v>
      </c>
      <c r="AB129" s="739" t="str">
        <f>""</f>
        <v/>
      </c>
      <c r="AD129" s="141"/>
      <c r="AE129" s="146"/>
      <c r="AF129" s="141"/>
      <c r="AG129" s="646" t="str">
        <f>""</f>
        <v/>
      </c>
      <c r="AH129" s="647" t="str">
        <f>""</f>
        <v/>
      </c>
      <c r="AI129" s="647"/>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739">
        <v>0</v>
      </c>
      <c r="AB130" s="739" t="str">
        <f>""</f>
        <v/>
      </c>
      <c r="AD130" s="141"/>
      <c r="AE130" s="146"/>
      <c r="AF130" s="141"/>
      <c r="AG130" s="646" t="str">
        <f>""</f>
        <v/>
      </c>
      <c r="AH130" s="647" t="str">
        <f>""</f>
        <v/>
      </c>
      <c r="AI130" s="647"/>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739">
        <v>0</v>
      </c>
      <c r="AB131" s="739" t="str">
        <f>""</f>
        <v/>
      </c>
      <c r="AD131" s="141"/>
      <c r="AE131" s="146"/>
      <c r="AF131" s="141"/>
      <c r="AG131" s="646" t="str">
        <f>""</f>
        <v/>
      </c>
      <c r="AH131" s="647" t="str">
        <f>""</f>
        <v/>
      </c>
      <c r="AI131" s="647"/>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739">
        <v>0</v>
      </c>
      <c r="AB132" s="739" t="str">
        <f>""</f>
        <v/>
      </c>
      <c r="AD132" s="141"/>
      <c r="AE132" s="146"/>
      <c r="AF132" s="141"/>
      <c r="AG132" s="646" t="str">
        <f>""</f>
        <v/>
      </c>
      <c r="AH132" s="647" t="str">
        <f>""</f>
        <v/>
      </c>
      <c r="AI132" s="647"/>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739">
        <v>0</v>
      </c>
      <c r="AB133" s="739" t="str">
        <f>""</f>
        <v/>
      </c>
      <c r="AD133" s="141"/>
      <c r="AE133" s="146"/>
      <c r="AF133" s="141"/>
      <c r="AG133" s="646" t="str">
        <f>""</f>
        <v/>
      </c>
      <c r="AH133" s="647" t="str">
        <f>""</f>
        <v/>
      </c>
      <c r="AI133" s="647"/>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739">
        <v>0</v>
      </c>
      <c r="AB134" s="739" t="str">
        <f>""</f>
        <v/>
      </c>
      <c r="AD134" s="141"/>
      <c r="AE134" s="146"/>
      <c r="AF134" s="141"/>
      <c r="AG134" s="646" t="str">
        <f>""</f>
        <v/>
      </c>
      <c r="AH134" s="647" t="str">
        <f>""</f>
        <v/>
      </c>
      <c r="AI134" s="647"/>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144"/>
      <c r="AD135" s="143"/>
      <c r="AE135" s="147"/>
      <c r="AF135" s="143"/>
      <c r="AG135" s="648" t="str">
        <f>""</f>
        <v/>
      </c>
      <c r="AH135" s="649" t="str">
        <f>""</f>
        <v/>
      </c>
      <c r="AI135" s="649"/>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23" t="str">
        <f ca="1">IF(AA136&gt;0,(Y64+AH64)&amp;Sprache!$E$90&amp;(X64+AG64),"")</f>
        <v>36:50</v>
      </c>
      <c r="AD136" s="141"/>
      <c r="AI136" s="654" t="str">
        <f ca="1">IF(AA64&gt;0,AF64&amp;Sprache!$E$90&amp;AE64,"")</f>
        <v>0:2</v>
      </c>
    </row>
    <row r="137" spans="2:35" x14ac:dyDescent="0.2">
      <c r="Y137" s="66" t="s">
        <v>7</v>
      </c>
      <c r="Z137" s="34" t="str">
        <f ca="1">W65&amp;V65</f>
        <v>Inter MailandFC Grönlingen</v>
      </c>
      <c r="AA137" s="13">
        <f t="shared" ref="AA137:AA195" ca="1" si="69">AA65</f>
        <v>1</v>
      </c>
      <c r="AB137" s="723" t="str">
        <f ca="1">IF(AA137&gt;0,(Y65+AH65)&amp;Sprache!$E$90&amp;(X65+AG65),"")</f>
        <v>45:45</v>
      </c>
      <c r="AC137" s="2"/>
      <c r="AD137" s="141"/>
      <c r="AI137" s="655" t="str">
        <f ca="1">IF(AA65&gt;0,AF65&amp;Sprache!$E$90&amp;AE65,"")</f>
        <v>1:1</v>
      </c>
    </row>
    <row r="138" spans="2:35" x14ac:dyDescent="0.2">
      <c r="Y138" s="66" t="s">
        <v>8</v>
      </c>
      <c r="Z138" s="34" t="str">
        <f t="shared" ref="Z138:Z195" ca="1" si="70">W66&amp;V66</f>
        <v>Real Madrid1. FC Nürnberg</v>
      </c>
      <c r="AA138" s="13">
        <f t="shared" ca="1" si="69"/>
        <v>1</v>
      </c>
      <c r="AB138" s="723" t="str">
        <f ca="1">IF(AA138&gt;0,(Y66+AH66)&amp;Sprache!$E$90&amp;(X66+AG66),"")</f>
        <v>40:50</v>
      </c>
      <c r="AC138" s="2"/>
      <c r="AD138" s="141"/>
      <c r="AI138" s="655" t="str">
        <f ca="1">IF(AA66&gt;0,AF66&amp;Sprache!$E$90&amp;AE66,"")</f>
        <v>0:2</v>
      </c>
    </row>
    <row r="139" spans="2:35" x14ac:dyDescent="0.2">
      <c r="Y139" s="66" t="s">
        <v>9</v>
      </c>
      <c r="Z139" s="34" t="str">
        <f t="shared" ca="1" si="70"/>
        <v>Paris St. GermainSV Oberredenburg</v>
      </c>
      <c r="AA139" s="13">
        <f t="shared" ca="1" si="69"/>
        <v>1</v>
      </c>
      <c r="AB139" s="723" t="str">
        <f ca="1">IF(AA139&gt;0,(Y67+AH67)&amp;Sprache!$E$90&amp;(X67+AG67),"")</f>
        <v>42:50</v>
      </c>
      <c r="AC139" s="2"/>
      <c r="AD139" s="141"/>
      <c r="AI139" s="655" t="str">
        <f ca="1">IF(AA67&gt;0,AF67&amp;Sprache!$E$90&amp;AE67,"")</f>
        <v>0:2</v>
      </c>
    </row>
    <row r="140" spans="2:35" x14ac:dyDescent="0.2">
      <c r="Y140" s="66" t="s">
        <v>10</v>
      </c>
      <c r="Z140" s="34" t="str">
        <f t="shared" ca="1" si="70"/>
        <v>Maibach 1822 eVEintracht Frankfurt</v>
      </c>
      <c r="AA140" s="13">
        <f t="shared" ca="1" si="69"/>
        <v>1</v>
      </c>
      <c r="AB140" s="723" t="str">
        <f ca="1">IF(AA140&gt;0,(Y68+AH68)&amp;Sprache!$E$90&amp;(X68+AG68),"")</f>
        <v>44:50</v>
      </c>
      <c r="AC140" s="2"/>
      <c r="AD140" s="141"/>
      <c r="AI140" s="655" t="str">
        <f ca="1">IF(AA68&gt;0,AF68&amp;Sprache!$E$90&amp;AE68,"")</f>
        <v>0:2</v>
      </c>
    </row>
    <row r="141" spans="2:35" x14ac:dyDescent="0.2">
      <c r="Y141" s="66" t="s">
        <v>11</v>
      </c>
      <c r="Z141" s="34" t="str">
        <f t="shared" ca="1" si="70"/>
        <v>Manchester CitySSV Wildbach</v>
      </c>
      <c r="AA141" s="13">
        <f t="shared" ca="1" si="69"/>
        <v>1</v>
      </c>
      <c r="AB141" s="723" t="str">
        <f ca="1">IF(AA141&gt;0,(Y69+AH69)&amp;Sprache!$E$90&amp;(X69+AG69),"")</f>
        <v>39:50</v>
      </c>
      <c r="AC141" s="2"/>
      <c r="AD141" s="141"/>
      <c r="AI141" s="655" t="str">
        <f ca="1">IF(AA69&gt;0,AF69&amp;Sprache!$E$90&amp;AE69,"")</f>
        <v>0:2</v>
      </c>
    </row>
    <row r="142" spans="2:35" x14ac:dyDescent="0.2">
      <c r="Y142" s="66" t="s">
        <v>16</v>
      </c>
      <c r="Z142" s="34" t="str">
        <f t="shared" ca="1" si="70"/>
        <v>FSV RauenBorussia Dortmund</v>
      </c>
      <c r="AA142" s="13">
        <f t="shared" ca="1" si="69"/>
        <v>1</v>
      </c>
      <c r="AB142" s="723" t="str">
        <f ca="1">IF(AA142&gt;0,(Y70+AH70)&amp;Sprache!$E$90&amp;(X70+AG70),"")</f>
        <v>48:45</v>
      </c>
      <c r="AC142" s="2"/>
      <c r="AD142" s="141"/>
      <c r="AI142" s="655" t="str">
        <f ca="1">IF(AA70&gt;0,AF70&amp;Sprache!$E$90&amp;AE70,"")</f>
        <v>1:1</v>
      </c>
    </row>
    <row r="143" spans="2:35" x14ac:dyDescent="0.2">
      <c r="Y143" s="66" t="s">
        <v>17</v>
      </c>
      <c r="Z143" s="34" t="str">
        <f t="shared" ca="1" si="70"/>
        <v>RB LeipzigHSV</v>
      </c>
      <c r="AA143" s="13">
        <f t="shared" ca="1" si="69"/>
        <v>1</v>
      </c>
      <c r="AB143" s="723" t="str">
        <f ca="1">IF(AA143&gt;0,(Y71+AH71)&amp;Sprache!$E$90&amp;(X71+AG71),"")</f>
        <v>42:44</v>
      </c>
      <c r="AC143" s="2"/>
      <c r="AD143" s="141"/>
      <c r="AI143" s="655" t="str">
        <f ca="1">IF(AA71&gt;0,AF71&amp;Sprache!$E$90&amp;AE71,"")</f>
        <v>1:1</v>
      </c>
    </row>
    <row r="144" spans="2:35" x14ac:dyDescent="0.2">
      <c r="Y144" s="66" t="s">
        <v>18</v>
      </c>
      <c r="Z144" s="34" t="str">
        <f t="shared" ca="1" si="70"/>
        <v>1. FC RiedwaldVFB Essenheim</v>
      </c>
      <c r="AA144" s="13">
        <f t="shared" ca="1" si="69"/>
        <v>1</v>
      </c>
      <c r="AB144" s="723" t="str">
        <f ca="1">IF(AA144&gt;0,(Y72+AH72)&amp;Sprache!$E$90&amp;(X72+AG72),"")</f>
        <v>43:41</v>
      </c>
      <c r="AC144" s="2"/>
      <c r="AD144" s="141"/>
      <c r="AI144" s="655" t="str">
        <f ca="1">IF(AA72&gt;0,AF72&amp;Sprache!$E$90&amp;AE72,"")</f>
        <v>1:1</v>
      </c>
    </row>
    <row r="145" spans="25:35" x14ac:dyDescent="0.2">
      <c r="Y145" s="66" t="s">
        <v>24</v>
      </c>
      <c r="Z145" s="34" t="str">
        <f t="shared" ca="1" si="70"/>
        <v>Mainz 05FC Grönlingen</v>
      </c>
      <c r="AA145" s="13">
        <f t="shared" ca="1" si="69"/>
        <v>1</v>
      </c>
      <c r="AB145" s="723" t="str">
        <f ca="1">IF(AA145&gt;0,(Y73+AH73)&amp;Sprache!$E$90&amp;(X73+AG73),"")</f>
        <v>44:39</v>
      </c>
      <c r="AC145" s="2"/>
      <c r="AD145" s="141"/>
      <c r="AI145" s="655" t="str">
        <f ca="1">IF(AA73&gt;0,AF73&amp;Sprache!$E$90&amp;AE73,"")</f>
        <v>1:1</v>
      </c>
    </row>
    <row r="146" spans="25:35" x14ac:dyDescent="0.2">
      <c r="Y146" s="66" t="s">
        <v>25</v>
      </c>
      <c r="Z146" s="34" t="str">
        <f t="shared" ca="1" si="70"/>
        <v>Kickers Rodendorf1. FC Nürnberg</v>
      </c>
      <c r="AA146" s="13">
        <f t="shared" ca="1" si="69"/>
        <v>1</v>
      </c>
      <c r="AB146" s="723" t="str">
        <f ca="1">IF(AA146&gt;0,(Y74+AH74)&amp;Sprache!$E$90&amp;(X74+AG74),"")</f>
        <v>45:47</v>
      </c>
      <c r="AC146" s="2"/>
      <c r="AD146" s="141"/>
      <c r="AI146" s="655" t="str">
        <f ca="1">IF(AA74&gt;0,AF74&amp;Sprache!$E$90&amp;AE74,"")</f>
        <v>1:1</v>
      </c>
    </row>
    <row r="147" spans="25:35" x14ac:dyDescent="0.2">
      <c r="Y147" s="66" t="s">
        <v>26</v>
      </c>
      <c r="Z147" s="34" t="str">
        <f t="shared" ca="1" si="70"/>
        <v>TSG Saalberg eVSV Oberredenburg</v>
      </c>
      <c r="AA147" s="13">
        <f t="shared" ca="1" si="69"/>
        <v>1</v>
      </c>
      <c r="AB147" s="723" t="str">
        <f ca="1">IF(AA147&gt;0,(Y75+AH75)&amp;Sprache!$E$90&amp;(X75+AG75),"")</f>
        <v>46:44</v>
      </c>
      <c r="AC147" s="2"/>
      <c r="AD147" s="141"/>
      <c r="AI147" s="655" t="str">
        <f ca="1">IF(AA75&gt;0,AF75&amp;Sprache!$E$90&amp;AE75,"")</f>
        <v>1:1</v>
      </c>
    </row>
    <row r="148" spans="25:35" x14ac:dyDescent="0.2">
      <c r="Y148" s="66" t="s">
        <v>27</v>
      </c>
      <c r="Z148" s="34" t="str">
        <f t="shared" ca="1" si="70"/>
        <v>Eintracht FrankfurtFC Barcelona</v>
      </c>
      <c r="AA148" s="13">
        <f t="shared" ca="1" si="69"/>
        <v>1</v>
      </c>
      <c r="AB148" s="723" t="str">
        <f ca="1">IF(AA148&gt;0,(Y76+AH76)&amp;Sprache!$E$90&amp;(X76+AG76),"")</f>
        <v>50:29</v>
      </c>
      <c r="AC148" s="2"/>
      <c r="AD148" s="141"/>
      <c r="AI148" s="655" t="str">
        <f ca="1">IF(AA76&gt;0,AF76&amp;Sprache!$E$90&amp;AE76,"")</f>
        <v>2:0</v>
      </c>
    </row>
    <row r="149" spans="25:35" x14ac:dyDescent="0.2">
      <c r="Y149" s="66" t="s">
        <v>28</v>
      </c>
      <c r="Z149" s="34" t="str">
        <f t="shared" ca="1" si="70"/>
        <v>SSV WildbachInter Mailand</v>
      </c>
      <c r="AA149" s="13">
        <f t="shared" ca="1" si="69"/>
        <v>1</v>
      </c>
      <c r="AB149" s="723" t="str">
        <f ca="1">IF(AA149&gt;0,(Y77+AH77)&amp;Sprache!$E$90&amp;(X77+AG77),"")</f>
        <v>48:39</v>
      </c>
      <c r="AC149" s="2"/>
      <c r="AD149" s="141"/>
      <c r="AI149" s="655" t="str">
        <f ca="1">IF(AA77&gt;0,AF77&amp;Sprache!$E$90&amp;AE77,"")</f>
        <v>1:1</v>
      </c>
    </row>
    <row r="150" spans="25:35" x14ac:dyDescent="0.2">
      <c r="Y150" s="66" t="s">
        <v>29</v>
      </c>
      <c r="Z150" s="34" t="str">
        <f t="shared" ca="1" si="70"/>
        <v>Borussia DortmundReal Madrid</v>
      </c>
      <c r="AA150" s="13">
        <f t="shared" ca="1" si="69"/>
        <v>1</v>
      </c>
      <c r="AB150" s="723" t="str">
        <f ca="1">IF(AA150&gt;0,(Y78+AH78)&amp;Sprache!$E$90&amp;(X78+AG78),"")</f>
        <v>42:46</v>
      </c>
      <c r="AC150" s="2"/>
      <c r="AD150" s="141"/>
      <c r="AI150" s="655" t="str">
        <f ca="1">IF(AA78&gt;0,AF78&amp;Sprache!$E$90&amp;AE78,"")</f>
        <v>1:1</v>
      </c>
    </row>
    <row r="151" spans="25:35" x14ac:dyDescent="0.2">
      <c r="Y151" s="66" t="s">
        <v>30</v>
      </c>
      <c r="Z151" s="34" t="str">
        <f t="shared" ca="1" si="70"/>
        <v>HSVParis St. Germain</v>
      </c>
      <c r="AA151" s="13">
        <f t="shared" ca="1" si="69"/>
        <v>1</v>
      </c>
      <c r="AB151" s="723" t="str">
        <f ca="1">IF(AA151&gt;0,(Y79+AH79)&amp;Sprache!$E$90&amp;(X79+AG79),"")</f>
        <v>20:50</v>
      </c>
      <c r="AC151" s="2"/>
      <c r="AD151" s="141"/>
      <c r="AI151" s="655" t="str">
        <f ca="1">IF(AA79&gt;0,AF79&amp;Sprache!$E$90&amp;AE79,"")</f>
        <v>0:2</v>
      </c>
    </row>
    <row r="152" spans="25:35" x14ac:dyDescent="0.2">
      <c r="Y152" s="66" t="s">
        <v>31</v>
      </c>
      <c r="Z152" s="34" t="str">
        <f t="shared" ca="1" si="70"/>
        <v>Maibach 1822 eV1. FC Riedwald</v>
      </c>
      <c r="AA152" s="13">
        <f t="shared" ca="1" si="69"/>
        <v>1</v>
      </c>
      <c r="AB152" s="723" t="str">
        <f ca="1">IF(AA152&gt;0,(Y80+AH80)&amp;Sprache!$E$90&amp;(X80+AG80),"")</f>
        <v>39:50</v>
      </c>
      <c r="AC152" s="2"/>
      <c r="AD152" s="141"/>
      <c r="AI152" s="655" t="str">
        <f ca="1">IF(AA80&gt;0,AF80&amp;Sprache!$E$90&amp;AE80,"")</f>
        <v>0:2</v>
      </c>
    </row>
    <row r="153" spans="25:35" x14ac:dyDescent="0.2">
      <c r="Y153" s="66" t="s">
        <v>32</v>
      </c>
      <c r="Z153" s="34" t="str">
        <f t="shared" ca="1" si="70"/>
        <v>Manchester CityMainz 05</v>
      </c>
      <c r="AA153" s="13">
        <f t="shared" ca="1" si="69"/>
        <v>1</v>
      </c>
      <c r="AB153" s="723" t="str">
        <f ca="1">IF(AA153&gt;0,(Y81+AH81)&amp;Sprache!$E$90&amp;(X81+AG81),"")</f>
        <v>22:50</v>
      </c>
      <c r="AC153" s="2"/>
      <c r="AD153" s="141"/>
      <c r="AI153" s="655" t="str">
        <f ca="1">IF(AA81&gt;0,AF81&amp;Sprache!$E$90&amp;AE81,"")</f>
        <v>0:2</v>
      </c>
    </row>
    <row r="154" spans="25:35" x14ac:dyDescent="0.2">
      <c r="Y154" s="66" t="s">
        <v>33</v>
      </c>
      <c r="Z154" s="34" t="str">
        <f t="shared" ca="1" si="70"/>
        <v>FSV RauenKickers Rodendorf</v>
      </c>
      <c r="AA154" s="13">
        <f t="shared" ca="1" si="69"/>
        <v>1</v>
      </c>
      <c r="AB154" s="723" t="str">
        <f ca="1">IF(AA154&gt;0,(Y82+AH82)&amp;Sprache!$E$90&amp;(X82+AG82),"")</f>
        <v>23:50</v>
      </c>
      <c r="AC154" s="2"/>
      <c r="AD154" s="141"/>
      <c r="AI154" s="655" t="str">
        <f ca="1">IF(AA82&gt;0,AF82&amp;Sprache!$E$90&amp;AE82,"")</f>
        <v>0:2</v>
      </c>
    </row>
    <row r="155" spans="25:35" x14ac:dyDescent="0.2">
      <c r="Y155" s="66" t="s">
        <v>34</v>
      </c>
      <c r="Z155" s="34" t="str">
        <f t="shared" ca="1" si="70"/>
        <v>RB LeipzigTSG Saalberg eV</v>
      </c>
      <c r="AA155" s="13">
        <f t="shared" ca="1" si="69"/>
        <v>1</v>
      </c>
      <c r="AB155" s="723" t="str">
        <f ca="1">IF(AA155&gt;0,(Y83+AH83)&amp;Sprache!$E$90&amp;(X83+AG83),"")</f>
        <v>24:50</v>
      </c>
      <c r="AC155" s="2"/>
      <c r="AD155" s="141"/>
      <c r="AI155" s="655" t="str">
        <f ca="1">IF(AA83&gt;0,AF83&amp;Sprache!$E$90&amp;AE83,"")</f>
        <v>0:2</v>
      </c>
    </row>
    <row r="156" spans="25:35" x14ac:dyDescent="0.2">
      <c r="Y156" s="66" t="s">
        <v>35</v>
      </c>
      <c r="Z156" s="34" t="str">
        <f t="shared" ca="1" si="70"/>
        <v>VFB EssenheimEintracht Frankfurt</v>
      </c>
      <c r="AA156" s="13">
        <f t="shared" ca="1" si="69"/>
        <v>1</v>
      </c>
      <c r="AB156" s="723" t="str">
        <f ca="1">IF(AA156&gt;0,(Y84+AH84)&amp;Sprache!$E$90&amp;(X84+AG84),"")</f>
        <v>36:38</v>
      </c>
      <c r="AC156" s="2"/>
      <c r="AD156" s="141"/>
      <c r="AI156" s="655" t="str">
        <f ca="1">IF(AA84&gt;0,AF84&amp;Sprache!$E$90&amp;AE84,"")</f>
        <v>1:1</v>
      </c>
    </row>
    <row r="157" spans="25:35" x14ac:dyDescent="0.2">
      <c r="Y157" s="66" t="s">
        <v>36</v>
      </c>
      <c r="Z157" s="34" t="str">
        <f t="shared" ca="1" si="70"/>
        <v>FC GrönlingenSSV Wildbach</v>
      </c>
      <c r="AA157" s="13">
        <f t="shared" ca="1" si="69"/>
        <v>1</v>
      </c>
      <c r="AB157" s="723" t="str">
        <f ca="1">IF(AA157&gt;0,(Y85+AH85)&amp;Sprache!$E$90&amp;(X85+AG85),"")</f>
        <v>42:44</v>
      </c>
      <c r="AC157" s="2"/>
      <c r="AD157" s="141"/>
      <c r="AI157" s="655" t="str">
        <f ca="1">IF(AA85&gt;0,AF85&amp;Sprache!$E$90&amp;AE85,"")</f>
        <v>1:1</v>
      </c>
    </row>
    <row r="158" spans="25:35" x14ac:dyDescent="0.2">
      <c r="Y158" s="66" t="s">
        <v>37</v>
      </c>
      <c r="Z158" s="34" t="str">
        <f t="shared" ca="1" si="70"/>
        <v>1. FC NürnbergBorussia Dortmund</v>
      </c>
      <c r="AA158" s="13">
        <f t="shared" ca="1" si="69"/>
        <v>1</v>
      </c>
      <c r="AB158" s="723" t="str">
        <f ca="1">IF(AA158&gt;0,(Y86+AH86)&amp;Sprache!$E$90&amp;(X86+AG86),"")</f>
        <v>41:42</v>
      </c>
      <c r="AC158" s="2"/>
      <c r="AD158" s="141"/>
      <c r="AI158" s="655" t="str">
        <f ca="1">IF(AA86&gt;0,AF86&amp;Sprache!$E$90&amp;AE86,"")</f>
        <v>1:1</v>
      </c>
    </row>
    <row r="159" spans="25:35" x14ac:dyDescent="0.2">
      <c r="Y159" s="66" t="s">
        <v>38</v>
      </c>
      <c r="Z159" s="34" t="str">
        <f t="shared" ca="1" si="70"/>
        <v>SV OberredenburgHSV</v>
      </c>
      <c r="AA159" s="13">
        <f t="shared" ca="1" si="69"/>
        <v>1</v>
      </c>
      <c r="AB159" s="723" t="str">
        <f ca="1">IF(AA159&gt;0,(Y87+AH87)&amp;Sprache!$E$90&amp;(X87+AG87),"")</f>
        <v>44:39</v>
      </c>
      <c r="AC159" s="2"/>
      <c r="AD159" s="141"/>
      <c r="AI159" s="655" t="str">
        <f ca="1">IF(AA87&gt;0,AF87&amp;Sprache!$E$90&amp;AE87,"")</f>
        <v>1:1</v>
      </c>
    </row>
    <row r="160" spans="25:35" x14ac:dyDescent="0.2">
      <c r="Y160" s="66" t="s">
        <v>39</v>
      </c>
      <c r="Z160" s="34" t="str">
        <f t="shared" ca="1" si="70"/>
        <v>Maibach 1822 eVFC Barcelona</v>
      </c>
      <c r="AA160" s="13">
        <f t="shared" ca="1" si="69"/>
        <v>1</v>
      </c>
      <c r="AB160" s="723" t="str">
        <f ca="1">IF(AA160&gt;0,(Y88+AH88)&amp;Sprache!$E$90&amp;(X88+AG88),"")</f>
        <v>45:45</v>
      </c>
      <c r="AC160" s="2"/>
      <c r="AD160" s="141"/>
      <c r="AI160" s="655" t="str">
        <f ca="1">IF(AA88&gt;0,AF88&amp;Sprache!$E$90&amp;AE88,"")</f>
        <v>1:1</v>
      </c>
    </row>
    <row r="161" spans="25:35" x14ac:dyDescent="0.2">
      <c r="Y161" s="66" t="s">
        <v>40</v>
      </c>
      <c r="Z161" s="34" t="str">
        <f t="shared" ca="1" si="70"/>
        <v>Manchester CityInter Mailand</v>
      </c>
      <c r="AA161" s="13">
        <f t="shared" ca="1" si="69"/>
        <v>1</v>
      </c>
      <c r="AB161" s="723" t="str">
        <f ca="1">IF(AA161&gt;0,(Y89+AH89)&amp;Sprache!$E$90&amp;(X89+AG89),"")</f>
        <v>46:44</v>
      </c>
      <c r="AC161" s="2"/>
      <c r="AD161" s="141"/>
      <c r="AI161" s="655" t="str">
        <f ca="1">IF(AA89&gt;0,AF89&amp;Sprache!$E$90&amp;AE89,"")</f>
        <v>1:1</v>
      </c>
    </row>
    <row r="162" spans="25:35" x14ac:dyDescent="0.2">
      <c r="Y162" s="66" t="s">
        <v>41</v>
      </c>
      <c r="Z162" s="34" t="str">
        <f t="shared" ca="1" si="70"/>
        <v>FSV RauenReal Madrid</v>
      </c>
      <c r="AA162" s="13">
        <f t="shared" ca="1" si="69"/>
        <v>1</v>
      </c>
      <c r="AB162" s="723" t="str">
        <f ca="1">IF(AA162&gt;0,(Y90+AH90)&amp;Sprache!$E$90&amp;(X90+AG90),"")</f>
        <v>47:42</v>
      </c>
      <c r="AC162" s="2"/>
      <c r="AD162" s="141"/>
      <c r="AI162" s="655" t="str">
        <f ca="1">IF(AA90&gt;0,AF90&amp;Sprache!$E$90&amp;AE90,"")</f>
        <v>1:1</v>
      </c>
    </row>
    <row r="163" spans="25:35" x14ac:dyDescent="0.2">
      <c r="Y163" s="66" t="s">
        <v>42</v>
      </c>
      <c r="Z163" s="34" t="str">
        <f t="shared" ca="1" si="70"/>
        <v>RB LeipzigParis St. Germain</v>
      </c>
      <c r="AA163" s="13">
        <f t="shared" ca="1" si="69"/>
        <v>1</v>
      </c>
      <c r="AB163" s="723" t="str">
        <f ca="1">IF(AA163&gt;0,(Y91+AH91)&amp;Sprache!$E$90&amp;(X91+AG91),"")</f>
        <v>48:44</v>
      </c>
      <c r="AC163" s="2"/>
      <c r="AD163" s="141"/>
      <c r="AI163" s="655" t="str">
        <f ca="1">IF(AA91&gt;0,AF91&amp;Sprache!$E$90&amp;AE91,"")</f>
        <v>1:1</v>
      </c>
    </row>
    <row r="164" spans="25:35" x14ac:dyDescent="0.2">
      <c r="Y164" s="66" t="s">
        <v>43</v>
      </c>
      <c r="Z164" s="34" t="str">
        <f t="shared" ca="1" si="70"/>
        <v>1. FC RiedwaldEintracht Frankfurt</v>
      </c>
      <c r="AA164" s="13">
        <f t="shared" ca="1" si="69"/>
        <v>1</v>
      </c>
      <c r="AB164" s="723" t="str">
        <f ca="1">IF(AA164&gt;0,(Y92+AH92)&amp;Sprache!$E$90&amp;(X92+AG92),"")</f>
        <v>50:34</v>
      </c>
      <c r="AC164" s="2"/>
      <c r="AD164" s="141"/>
      <c r="AI164" s="655" t="str">
        <f ca="1">IF(AA92&gt;0,AF92&amp;Sprache!$E$90&amp;AE92,"")</f>
        <v>2:0</v>
      </c>
    </row>
    <row r="165" spans="25:35" x14ac:dyDescent="0.2">
      <c r="Y165" s="66" t="s">
        <v>44</v>
      </c>
      <c r="Z165" s="34" t="str">
        <f t="shared" ca="1" si="70"/>
        <v>Mainz 05SSV Wildbach</v>
      </c>
      <c r="AA165" s="13">
        <f t="shared" ca="1" si="69"/>
        <v>1</v>
      </c>
      <c r="AB165" s="723" t="str">
        <f ca="1">IF(AA165&gt;0,(Y93+AH93)&amp;Sprache!$E$90&amp;(X93+AG93),"")</f>
        <v>43:39</v>
      </c>
      <c r="AC165" s="2"/>
      <c r="AD165" s="141"/>
      <c r="AI165" s="655" t="str">
        <f ca="1">IF(AA93&gt;0,AF93&amp;Sprache!$E$90&amp;AE93,"")</f>
        <v>1:1</v>
      </c>
    </row>
    <row r="166" spans="25:35" x14ac:dyDescent="0.2">
      <c r="Y166" s="66" t="s">
        <v>45</v>
      </c>
      <c r="Z166" s="34" t="str">
        <f t="shared" ca="1" si="70"/>
        <v>Kickers RodendorfBorussia Dortmund</v>
      </c>
      <c r="AA166" s="13">
        <f t="shared" ca="1" si="69"/>
        <v>1</v>
      </c>
      <c r="AB166" s="723" t="str">
        <f ca="1">IF(AA166&gt;0,(Y94+AH94)&amp;Sprache!$E$90&amp;(X94+AG94),"")</f>
        <v>44:45</v>
      </c>
      <c r="AC166" s="2"/>
      <c r="AD166" s="141"/>
      <c r="AI166" s="655" t="str">
        <f ca="1">IF(AA94&gt;0,AF94&amp;Sprache!$E$90&amp;AE94,"")</f>
        <v>1:1</v>
      </c>
    </row>
    <row r="167" spans="25:35" x14ac:dyDescent="0.2">
      <c r="Y167" s="66" t="s">
        <v>46</v>
      </c>
      <c r="Z167" s="34" t="str">
        <f t="shared" ca="1" si="70"/>
        <v>TSG Saalberg eVHSV</v>
      </c>
      <c r="AA167" s="13">
        <f t="shared" ca="1" si="69"/>
        <v>1</v>
      </c>
      <c r="AB167" s="723" t="str">
        <f ca="1">IF(AA167&gt;0,(Y95+AH95)&amp;Sprache!$E$90&amp;(X95+AG95),"")</f>
        <v>45:44</v>
      </c>
      <c r="AC167" s="2"/>
      <c r="AD167" s="141"/>
      <c r="AI167" s="655" t="str">
        <f ca="1">IF(AA95&gt;0,AF95&amp;Sprache!$E$90&amp;AE95,"")</f>
        <v>1:1</v>
      </c>
    </row>
    <row r="168" spans="25:35" x14ac:dyDescent="0.2">
      <c r="Y168" s="66" t="s">
        <v>47</v>
      </c>
      <c r="Z168" s="34" t="str">
        <f t="shared" ca="1" si="70"/>
        <v>VFB EssenheimMaibach 1822 eV</v>
      </c>
      <c r="AA168" s="13">
        <f t="shared" ca="1" si="69"/>
        <v>1</v>
      </c>
      <c r="AB168" s="723" t="str">
        <f ca="1">IF(AA168&gt;0,(Y96+AH96)&amp;Sprache!$E$90&amp;(X96+AG96),"")</f>
        <v>46:42</v>
      </c>
      <c r="AC168" s="2"/>
      <c r="AD168" s="141"/>
      <c r="AI168" s="655" t="str">
        <f ca="1">IF(AA96&gt;0,AF96&amp;Sprache!$E$90&amp;AE96,"")</f>
        <v>1:1</v>
      </c>
    </row>
    <row r="169" spans="25:35" x14ac:dyDescent="0.2">
      <c r="Y169" s="66" t="s">
        <v>48</v>
      </c>
      <c r="Z169" s="34" t="str">
        <f t="shared" ca="1" si="70"/>
        <v>FC GrönlingenManchester City</v>
      </c>
      <c r="AA169" s="13">
        <f t="shared" ca="1" si="69"/>
        <v>1</v>
      </c>
      <c r="AB169" s="723" t="str">
        <f ca="1">IF(AA169&gt;0,(Y97+AH97)&amp;Sprache!$E$90&amp;(X97+AG97),"")</f>
        <v>47:39</v>
      </c>
      <c r="AC169" s="2"/>
      <c r="AD169" s="141"/>
      <c r="AI169" s="655" t="str">
        <f ca="1">IF(AA97&gt;0,AF97&amp;Sprache!$E$90&amp;AE97,"")</f>
        <v>1:1</v>
      </c>
    </row>
    <row r="170" spans="25:35" x14ac:dyDescent="0.2">
      <c r="Y170" s="66" t="s">
        <v>49</v>
      </c>
      <c r="Z170" s="34" t="str">
        <f t="shared" ca="1" si="70"/>
        <v>1. FC NürnbergFSV Rauen</v>
      </c>
      <c r="AA170" s="13">
        <f t="shared" ca="1" si="69"/>
        <v>1</v>
      </c>
      <c r="AB170" s="723" t="str">
        <f ca="1">IF(AA170&gt;0,(Y98+AH98)&amp;Sprache!$E$90&amp;(X98+AG98),"")</f>
        <v>34:50</v>
      </c>
      <c r="AC170" s="2"/>
      <c r="AD170" s="141"/>
      <c r="AI170" s="655" t="str">
        <f ca="1">IF(AA98&gt;0,AF98&amp;Sprache!$E$90&amp;AE98,"")</f>
        <v>0:2</v>
      </c>
    </row>
    <row r="171" spans="25:35" x14ac:dyDescent="0.2">
      <c r="Y171" s="66" t="s">
        <v>50</v>
      </c>
      <c r="Z171" s="34" t="str">
        <f t="shared" ca="1" si="70"/>
        <v>SV OberredenburgRB Leipzig</v>
      </c>
      <c r="AA171" s="13">
        <f t="shared" ca="1" si="69"/>
        <v>1</v>
      </c>
      <c r="AB171" s="723" t="str">
        <f ca="1">IF(AA171&gt;0,(Y99+AH99)&amp;Sprache!$E$90&amp;(X99+AG99),"")</f>
        <v>36:50</v>
      </c>
      <c r="AC171" s="2"/>
      <c r="AD171" s="141"/>
      <c r="AI171" s="655" t="str">
        <f ca="1">IF(AA99&gt;0,AF99&amp;Sprache!$E$90&amp;AE99,"")</f>
        <v>0:2</v>
      </c>
    </row>
    <row r="172" spans="25:35" x14ac:dyDescent="0.2">
      <c r="Y172" s="66" t="s">
        <v>58</v>
      </c>
      <c r="Z172" s="34" t="str">
        <f t="shared" ca="1" si="70"/>
        <v>FC Barcelona1. FC Riedwald</v>
      </c>
      <c r="AA172" s="13">
        <f t="shared" ca="1" si="69"/>
        <v>1</v>
      </c>
      <c r="AB172" s="723" t="str">
        <f ca="1">IF(AA172&gt;0,(Y100+AH100)&amp;Sprache!$E$90&amp;(X100+AG100),"")</f>
        <v>35:50</v>
      </c>
      <c r="AC172" s="2"/>
      <c r="AD172" s="141"/>
      <c r="AI172" s="655" t="str">
        <f ca="1">IF(AA100&gt;0,AF100&amp;Sprache!$E$90&amp;AE100,"")</f>
        <v>0:2</v>
      </c>
    </row>
    <row r="173" spans="25:35" x14ac:dyDescent="0.2">
      <c r="Y173" s="66" t="s">
        <v>59</v>
      </c>
      <c r="Z173" s="34" t="str">
        <f t="shared" ca="1" si="70"/>
        <v>Inter MailandMainz 05</v>
      </c>
      <c r="AA173" s="13">
        <f t="shared" ca="1" si="69"/>
        <v>1</v>
      </c>
      <c r="AB173" s="723" t="str">
        <f ca="1">IF(AA173&gt;0,(Y101+AH101)&amp;Sprache!$E$90&amp;(X101+AG101),"")</f>
        <v>33:50</v>
      </c>
      <c r="AC173" s="2"/>
      <c r="AD173" s="141"/>
      <c r="AI173" s="655" t="str">
        <f ca="1">IF(AA101&gt;0,AF101&amp;Sprache!$E$90&amp;AE101,"")</f>
        <v>0:2</v>
      </c>
    </row>
    <row r="174" spans="25:35" x14ac:dyDescent="0.2">
      <c r="Y174" s="66" t="s">
        <v>60</v>
      </c>
      <c r="Z174" s="34" t="str">
        <f t="shared" ca="1" si="70"/>
        <v>Real MadridKickers Rodendorf</v>
      </c>
      <c r="AA174" s="13">
        <f t="shared" ca="1" si="69"/>
        <v>1</v>
      </c>
      <c r="AB174" s="723" t="str">
        <f ca="1">IF(AA174&gt;0,(Y102+AH102)&amp;Sprache!$E$90&amp;(X102+AG102),"")</f>
        <v>45:38</v>
      </c>
      <c r="AC174" s="2"/>
      <c r="AD174" s="141"/>
      <c r="AI174" s="655" t="str">
        <f ca="1">IF(AA102&gt;0,AF102&amp;Sprache!$E$90&amp;AE102,"")</f>
        <v>1:1</v>
      </c>
    </row>
    <row r="175" spans="25:35" x14ac:dyDescent="0.2">
      <c r="Y175" s="66" t="s">
        <v>61</v>
      </c>
      <c r="Z175" s="34" t="str">
        <f t="shared" ca="1" si="70"/>
        <v>Paris St. GermainTSG Saalberg eV</v>
      </c>
      <c r="AA175" s="13">
        <f t="shared" ca="1" si="69"/>
        <v>1</v>
      </c>
      <c r="AB175" s="723" t="str">
        <f ca="1">IF(AA175&gt;0,(Y103+AH103)&amp;Sprache!$E$90&amp;(X103+AG103),"")</f>
        <v>46:43</v>
      </c>
      <c r="AC175" s="2"/>
      <c r="AD175" s="141"/>
      <c r="AI175" s="655" t="str">
        <f ca="1">IF(AA103&gt;0,AF103&amp;Sprache!$E$90&amp;AE103,"")</f>
        <v>1:1</v>
      </c>
    </row>
    <row r="176" spans="25:35" x14ac:dyDescent="0.2">
      <c r="Y176" s="66" t="s">
        <v>62</v>
      </c>
      <c r="Z176" s="34" t="str">
        <f t="shared" ca="1" si="70"/>
        <v/>
      </c>
      <c r="AA176" s="13">
        <f t="shared" ca="1" si="69"/>
        <v>0</v>
      </c>
      <c r="AB176" s="723" t="str">
        <f ca="1">IF(AA176&gt;0,(Y104+AH104)&amp;Sprache!$E$90&amp;(X104+AG104),"")</f>
        <v/>
      </c>
      <c r="AC176" s="2"/>
      <c r="AD176" s="141"/>
      <c r="AI176" s="655" t="str">
        <f ca="1">IF(AA104&gt;0,AF104&amp;Sprache!$E$90&amp;AE104,"")</f>
        <v/>
      </c>
    </row>
    <row r="177" spans="25:35" x14ac:dyDescent="0.2">
      <c r="Y177" s="66" t="s">
        <v>63</v>
      </c>
      <c r="Z177" s="34" t="str">
        <f t="shared" ca="1" si="70"/>
        <v/>
      </c>
      <c r="AA177" s="13">
        <f t="shared" ca="1" si="69"/>
        <v>0</v>
      </c>
      <c r="AB177" s="723" t="str">
        <f ca="1">IF(AA177&gt;0,(Y105+AH105)&amp;Sprache!$E$90&amp;(X105+AG105),"")</f>
        <v/>
      </c>
      <c r="AC177" s="2"/>
      <c r="AD177" s="141"/>
      <c r="AI177" s="655" t="str">
        <f ca="1">IF(AA105&gt;0,AF105&amp;Sprache!$E$90&amp;AE105,"")</f>
        <v/>
      </c>
    </row>
    <row r="178" spans="25:35" x14ac:dyDescent="0.2">
      <c r="Y178" s="66" t="s">
        <v>64</v>
      </c>
      <c r="Z178" s="34" t="str">
        <f t="shared" ca="1" si="70"/>
        <v/>
      </c>
      <c r="AA178" s="13">
        <f t="shared" ca="1" si="69"/>
        <v>0</v>
      </c>
      <c r="AB178" s="723" t="str">
        <f ca="1">IF(AA178&gt;0,(Y106+AH106)&amp;Sprache!$E$90&amp;(X106+AG106),"")</f>
        <v/>
      </c>
      <c r="AC178" s="2"/>
      <c r="AD178" s="141"/>
      <c r="AI178" s="655" t="str">
        <f ca="1">IF(AA106&gt;0,AF106&amp;Sprache!$E$90&amp;AE106,"")</f>
        <v/>
      </c>
    </row>
    <row r="179" spans="25:35" x14ac:dyDescent="0.2">
      <c r="Y179" s="66" t="s">
        <v>65</v>
      </c>
      <c r="Z179" s="34" t="str">
        <f t="shared" ca="1" si="70"/>
        <v/>
      </c>
      <c r="AA179" s="13">
        <f t="shared" ca="1" si="69"/>
        <v>0</v>
      </c>
      <c r="AB179" s="723" t="str">
        <f ca="1">IF(AA179&gt;0,(Y107+AH107)&amp;Sprache!$E$90&amp;(X107+AG107),"")</f>
        <v/>
      </c>
      <c r="AC179" s="2"/>
      <c r="AD179" s="141"/>
      <c r="AI179" s="655" t="str">
        <f ca="1">IF(AA107&gt;0,AF107&amp;Sprache!$E$90&amp;AE107,"")</f>
        <v/>
      </c>
    </row>
    <row r="180" spans="25:35" x14ac:dyDescent="0.2">
      <c r="Y180" s="66" t="s">
        <v>66</v>
      </c>
      <c r="Z180" s="34" t="str">
        <f t="shared" ca="1" si="70"/>
        <v/>
      </c>
      <c r="AA180" s="13">
        <f t="shared" ca="1" si="69"/>
        <v>0</v>
      </c>
      <c r="AB180" s="723" t="str">
        <f ca="1">IF(AA180&gt;0,(Y108+AH108)&amp;Sprache!$E$90&amp;(X108+AG108),"")</f>
        <v/>
      </c>
      <c r="AC180" s="2"/>
      <c r="AD180" s="141"/>
      <c r="AI180" s="655" t="str">
        <f ca="1">IF(AA108&gt;0,AF108&amp;Sprache!$E$90&amp;AE108,"")</f>
        <v/>
      </c>
    </row>
    <row r="181" spans="25:35" x14ac:dyDescent="0.2">
      <c r="Y181" s="66" t="s">
        <v>67</v>
      </c>
      <c r="Z181" s="34" t="str">
        <f t="shared" ca="1" si="70"/>
        <v/>
      </c>
      <c r="AA181" s="13">
        <f t="shared" ca="1" si="69"/>
        <v>0</v>
      </c>
      <c r="AB181" s="723" t="str">
        <f ca="1">IF(AA181&gt;0,(Y109+AH109)&amp;Sprache!$E$90&amp;(X109+AG109),"")</f>
        <v/>
      </c>
      <c r="AC181" s="2"/>
      <c r="AD181" s="141"/>
      <c r="AI181" s="655" t="str">
        <f ca="1">IF(AA109&gt;0,AF109&amp;Sprache!$E$90&amp;AE109,"")</f>
        <v/>
      </c>
    </row>
    <row r="182" spans="25:35" x14ac:dyDescent="0.2">
      <c r="Y182" s="66" t="s">
        <v>68</v>
      </c>
      <c r="Z182" s="34" t="str">
        <f t="shared" ca="1" si="70"/>
        <v/>
      </c>
      <c r="AA182" s="13">
        <f t="shared" ca="1" si="69"/>
        <v>0</v>
      </c>
      <c r="AB182" s="723" t="str">
        <f ca="1">IF(AA182&gt;0,(Y110+AH110)&amp;Sprache!$E$90&amp;(X110+AG110),"")</f>
        <v/>
      </c>
      <c r="AC182" s="2"/>
      <c r="AD182" s="141"/>
      <c r="AI182" s="655" t="str">
        <f ca="1">IF(AA110&gt;0,AF110&amp;Sprache!$E$90&amp;AE110,"")</f>
        <v/>
      </c>
    </row>
    <row r="183" spans="25:35" x14ac:dyDescent="0.2">
      <c r="Y183" s="66" t="s">
        <v>69</v>
      </c>
      <c r="Z183" s="34" t="str">
        <f t="shared" ca="1" si="70"/>
        <v/>
      </c>
      <c r="AA183" s="13">
        <f t="shared" ca="1" si="69"/>
        <v>0</v>
      </c>
      <c r="AB183" s="723" t="str">
        <f ca="1">IF(AA183&gt;0,(Y111+AH111)&amp;Sprache!$E$90&amp;(X111+AG111),"")</f>
        <v/>
      </c>
      <c r="AC183" s="2"/>
      <c r="AD183" s="141"/>
      <c r="AI183" s="655" t="str">
        <f ca="1">IF(AA111&gt;0,AF111&amp;Sprache!$E$90&amp;AE111,"")</f>
        <v/>
      </c>
    </row>
    <row r="184" spans="25:35" x14ac:dyDescent="0.2">
      <c r="Y184" s="66" t="s">
        <v>70</v>
      </c>
      <c r="Z184" s="34" t="str">
        <f t="shared" ca="1" si="70"/>
        <v/>
      </c>
      <c r="AA184" s="13">
        <f t="shared" ca="1" si="69"/>
        <v>0</v>
      </c>
      <c r="AB184" s="723" t="str">
        <f ca="1">IF(AA184&gt;0,(Y112+AH112)&amp;Sprache!$E$90&amp;(X112+AG112),"")</f>
        <v/>
      </c>
      <c r="AC184" s="2"/>
      <c r="AD184" s="141"/>
      <c r="AI184" s="655" t="str">
        <f ca="1">IF(AA112&gt;0,AF112&amp;Sprache!$E$90&amp;AE112,"")</f>
        <v/>
      </c>
    </row>
    <row r="185" spans="25:35" x14ac:dyDescent="0.2">
      <c r="Y185" s="66" t="s">
        <v>71</v>
      </c>
      <c r="Z185" s="34" t="str">
        <f t="shared" ca="1" si="70"/>
        <v/>
      </c>
      <c r="AA185" s="13">
        <f t="shared" ca="1" si="69"/>
        <v>0</v>
      </c>
      <c r="AB185" s="723" t="str">
        <f ca="1">IF(AA185&gt;0,(Y113+AH113)&amp;Sprache!$E$90&amp;(X113+AG113),"")</f>
        <v/>
      </c>
      <c r="AC185" s="2"/>
      <c r="AD185" s="141"/>
      <c r="AI185" s="655" t="str">
        <f ca="1">IF(AA113&gt;0,AF113&amp;Sprache!$E$90&amp;AE113,"")</f>
        <v/>
      </c>
    </row>
    <row r="186" spans="25:35" x14ac:dyDescent="0.2">
      <c r="Y186" s="66" t="s">
        <v>72</v>
      </c>
      <c r="Z186" s="34" t="str">
        <f t="shared" ca="1" si="70"/>
        <v/>
      </c>
      <c r="AA186" s="13">
        <f t="shared" ca="1" si="69"/>
        <v>0</v>
      </c>
      <c r="AB186" s="723" t="str">
        <f ca="1">IF(AA186&gt;0,(Y114+AH114)&amp;Sprache!$E$90&amp;(X114+AG114),"")</f>
        <v/>
      </c>
      <c r="AC186" s="2"/>
      <c r="AD186" s="141"/>
      <c r="AI186" s="655" t="str">
        <f ca="1">IF(AA114&gt;0,AF114&amp;Sprache!$E$90&amp;AE114,"")</f>
        <v/>
      </c>
    </row>
    <row r="187" spans="25:35" x14ac:dyDescent="0.2">
      <c r="Y187" s="66" t="s">
        <v>73</v>
      </c>
      <c r="Z187" s="34" t="str">
        <f t="shared" ca="1" si="70"/>
        <v/>
      </c>
      <c r="AA187" s="13">
        <f t="shared" ca="1" si="69"/>
        <v>0</v>
      </c>
      <c r="AB187" s="723" t="str">
        <f ca="1">IF(AA187&gt;0,(Y115+AH115)&amp;Sprache!$E$90&amp;(X115+AG115),"")</f>
        <v/>
      </c>
      <c r="AC187" s="2"/>
      <c r="AD187" s="141"/>
      <c r="AI187" s="655" t="str">
        <f ca="1">IF(AA115&gt;0,AF115&amp;Sprache!$E$90&amp;AE115,"")</f>
        <v/>
      </c>
    </row>
    <row r="188" spans="25:35" x14ac:dyDescent="0.2">
      <c r="Y188" s="66" t="s">
        <v>74</v>
      </c>
      <c r="Z188" s="34" t="str">
        <f t="shared" ca="1" si="70"/>
        <v/>
      </c>
      <c r="AA188" s="13">
        <f t="shared" ca="1" si="69"/>
        <v>0</v>
      </c>
      <c r="AB188" s="723" t="str">
        <f ca="1">IF(AA188&gt;0,(Y116+AH116)&amp;Sprache!$E$90&amp;(X116+AG116),"")</f>
        <v/>
      </c>
      <c r="AC188" s="2"/>
      <c r="AD188" s="141"/>
      <c r="AI188" s="655" t="str">
        <f ca="1">IF(AA116&gt;0,AF116&amp;Sprache!$E$90&amp;AE116,"")</f>
        <v/>
      </c>
    </row>
    <row r="189" spans="25:35" x14ac:dyDescent="0.2">
      <c r="Y189" s="66" t="s">
        <v>75</v>
      </c>
      <c r="Z189" s="34" t="str">
        <f t="shared" ca="1" si="70"/>
        <v/>
      </c>
      <c r="AA189" s="13">
        <f t="shared" ca="1" si="69"/>
        <v>0</v>
      </c>
      <c r="AB189" s="723" t="str">
        <f ca="1">IF(AA189&gt;0,(Y117+AH117)&amp;Sprache!$E$90&amp;(X117+AG117),"")</f>
        <v/>
      </c>
      <c r="AC189" s="2"/>
      <c r="AD189" s="141"/>
      <c r="AI189" s="655" t="str">
        <f ca="1">IF(AA117&gt;0,AF117&amp;Sprache!$E$90&amp;AE117,"")</f>
        <v/>
      </c>
    </row>
    <row r="190" spans="25:35" x14ac:dyDescent="0.2">
      <c r="Y190" s="66" t="s">
        <v>76</v>
      </c>
      <c r="Z190" s="34" t="str">
        <f t="shared" ca="1" si="70"/>
        <v/>
      </c>
      <c r="AA190" s="13">
        <f t="shared" ca="1" si="69"/>
        <v>0</v>
      </c>
      <c r="AB190" s="723" t="str">
        <f ca="1">IF(AA190&gt;0,(Y118+AH118)&amp;Sprache!$E$90&amp;(X118+AG118),"")</f>
        <v/>
      </c>
      <c r="AC190" s="2"/>
      <c r="AD190" s="141"/>
      <c r="AI190" s="655" t="str">
        <f ca="1">IF(AA118&gt;0,AF118&amp;Sprache!$E$90&amp;AE118,"")</f>
        <v/>
      </c>
    </row>
    <row r="191" spans="25:35" x14ac:dyDescent="0.2">
      <c r="Y191" s="66" t="s">
        <v>77</v>
      </c>
      <c r="Z191" s="34" t="str">
        <f t="shared" ca="1" si="70"/>
        <v/>
      </c>
      <c r="AA191" s="13">
        <f t="shared" ca="1" si="69"/>
        <v>0</v>
      </c>
      <c r="AB191" s="723" t="str">
        <f ca="1">IF(AA191&gt;0,(Y119+AH119)&amp;Sprache!$E$90&amp;(X119+AG119),"")</f>
        <v/>
      </c>
      <c r="AC191" s="2"/>
      <c r="AD191" s="141"/>
      <c r="AI191" s="655" t="str">
        <f ca="1">IF(AA119&gt;0,AF119&amp;Sprache!$E$90&amp;AE119,"")</f>
        <v/>
      </c>
    </row>
    <row r="192" spans="25:35" x14ac:dyDescent="0.2">
      <c r="Y192" s="66" t="s">
        <v>78</v>
      </c>
      <c r="Z192" s="34" t="str">
        <f t="shared" ca="1" si="70"/>
        <v/>
      </c>
      <c r="AA192" s="13">
        <f t="shared" ca="1" si="69"/>
        <v>0</v>
      </c>
      <c r="AB192" s="723" t="str">
        <f ca="1">IF(AA192&gt;0,(Y120+AH120)&amp;Sprache!$E$90&amp;(X120+AG120),"")</f>
        <v/>
      </c>
      <c r="AC192" s="2"/>
      <c r="AD192" s="141"/>
      <c r="AI192" s="655" t="str">
        <f ca="1">IF(AA120&gt;0,AF120&amp;Sprache!$E$90&amp;AE120,"")</f>
        <v/>
      </c>
    </row>
    <row r="193" spans="25:35" x14ac:dyDescent="0.2">
      <c r="Y193" s="66" t="s">
        <v>79</v>
      </c>
      <c r="Z193" s="34" t="str">
        <f t="shared" ca="1" si="70"/>
        <v/>
      </c>
      <c r="AA193" s="13">
        <f t="shared" ca="1" si="69"/>
        <v>0</v>
      </c>
      <c r="AB193" s="723" t="str">
        <f ca="1">IF(AA193&gt;0,(Y121+AH121)&amp;Sprache!$E$90&amp;(X121+AG121),"")</f>
        <v/>
      </c>
      <c r="AC193" s="2"/>
      <c r="AD193" s="141"/>
      <c r="AI193" s="655" t="str">
        <f ca="1">IF(AA121&gt;0,AF121&amp;Sprache!$E$90&amp;AE121,"")</f>
        <v/>
      </c>
    </row>
    <row r="194" spans="25:35" x14ac:dyDescent="0.2">
      <c r="Y194" s="66" t="s">
        <v>80</v>
      </c>
      <c r="Z194" s="34" t="str">
        <f t="shared" ca="1" si="70"/>
        <v/>
      </c>
      <c r="AA194" s="13">
        <f t="shared" ca="1" si="69"/>
        <v>0</v>
      </c>
      <c r="AB194" s="723" t="str">
        <f ca="1">IF(AA194&gt;0,(Y122+AH122)&amp;Sprache!$E$90&amp;(X122+AG122),"")</f>
        <v/>
      </c>
      <c r="AC194" s="2"/>
      <c r="AD194" s="141"/>
      <c r="AI194" s="655" t="str">
        <f ca="1">IF(AA122&gt;0,AF122&amp;Sprache!$E$90&amp;AE122,"")</f>
        <v/>
      </c>
    </row>
    <row r="195" spans="25:35" ht="12.75" thickBot="1" x14ac:dyDescent="0.25">
      <c r="Y195" s="66" t="s">
        <v>81</v>
      </c>
      <c r="Z195" s="34" t="str">
        <f t="shared" ca="1" si="70"/>
        <v/>
      </c>
      <c r="AA195" s="13">
        <f t="shared" ca="1" si="69"/>
        <v>0</v>
      </c>
      <c r="AB195" s="723" t="str">
        <f ca="1">IF(AA195&gt;0,(Y123+AH123)&amp;Sprache!$E$90&amp;(X123+AG123),"")</f>
        <v/>
      </c>
      <c r="AC195" s="2"/>
      <c r="AD195" s="141"/>
      <c r="AI195" s="655" t="str">
        <f ca="1">IF(AA123&gt;0,AF123&amp;Sprache!$E$90&amp;AE123,"")</f>
        <v/>
      </c>
    </row>
    <row r="196" spans="25:35" ht="12.75" thickTop="1" x14ac:dyDescent="0.2">
      <c r="Y196" s="301" t="s">
        <v>82</v>
      </c>
      <c r="Z196" s="305" t="str">
        <f>""</f>
        <v/>
      </c>
      <c r="AA196" s="303">
        <v>0</v>
      </c>
      <c r="AB196" s="303" t="str">
        <f>""</f>
        <v/>
      </c>
      <c r="AC196" s="306"/>
      <c r="AD196" s="307"/>
      <c r="AE196" s="308"/>
      <c r="AF196" s="303"/>
      <c r="AG196" s="303"/>
      <c r="AH196" s="307"/>
      <c r="AI196" s="307"/>
    </row>
    <row r="197" spans="25:35" x14ac:dyDescent="0.2">
      <c r="Y197" s="66" t="s">
        <v>83</v>
      </c>
      <c r="Z197" s="34" t="str">
        <f>""</f>
        <v/>
      </c>
      <c r="AA197" s="13">
        <v>0</v>
      </c>
      <c r="AB197" s="723" t="str">
        <f>""</f>
        <v/>
      </c>
      <c r="AC197" s="2"/>
      <c r="AD197" s="141"/>
      <c r="AI197" s="656"/>
    </row>
    <row r="198" spans="25:35" x14ac:dyDescent="0.2">
      <c r="Y198" s="66" t="s">
        <v>84</v>
      </c>
      <c r="Z198" s="34" t="str">
        <f>""</f>
        <v/>
      </c>
      <c r="AA198" s="13">
        <v>0</v>
      </c>
      <c r="AB198" s="723" t="str">
        <f>""</f>
        <v/>
      </c>
      <c r="AC198" s="2"/>
      <c r="AD198" s="141"/>
      <c r="AI198" s="656"/>
    </row>
    <row r="199" spans="25:35" x14ac:dyDescent="0.2">
      <c r="Y199" s="66" t="s">
        <v>85</v>
      </c>
      <c r="Z199" s="34" t="str">
        <f>""</f>
        <v/>
      </c>
      <c r="AA199" s="13">
        <v>0</v>
      </c>
      <c r="AB199" s="723" t="str">
        <f>""</f>
        <v/>
      </c>
      <c r="AC199" s="2"/>
      <c r="AD199" s="141"/>
      <c r="AI199" s="656"/>
    </row>
    <row r="200" spans="25:35" x14ac:dyDescent="0.2">
      <c r="Y200" s="66" t="s">
        <v>86</v>
      </c>
      <c r="Z200" s="34" t="str">
        <f>""</f>
        <v/>
      </c>
      <c r="AA200" s="13">
        <v>0</v>
      </c>
      <c r="AB200" s="723" t="str">
        <f>""</f>
        <v/>
      </c>
      <c r="AC200" s="2"/>
      <c r="AD200" s="141"/>
      <c r="AI200" s="656"/>
    </row>
    <row r="201" spans="25:35" x14ac:dyDescent="0.2">
      <c r="Y201" s="66" t="s">
        <v>87</v>
      </c>
      <c r="Z201" s="34" t="str">
        <f>""</f>
        <v/>
      </c>
      <c r="AA201" s="13">
        <v>0</v>
      </c>
      <c r="AB201" s="723" t="str">
        <f>""</f>
        <v/>
      </c>
      <c r="AC201" s="2"/>
      <c r="AD201" s="141"/>
      <c r="AI201" s="656"/>
    </row>
    <row r="202" spans="25:35" x14ac:dyDescent="0.2">
      <c r="Y202" s="66" t="s">
        <v>88</v>
      </c>
      <c r="Z202" s="34" t="str">
        <f>""</f>
        <v/>
      </c>
      <c r="AA202" s="13">
        <v>0</v>
      </c>
      <c r="AB202" s="723" t="str">
        <f>""</f>
        <v/>
      </c>
      <c r="AC202" s="2"/>
      <c r="AD202" s="141"/>
      <c r="AE202" s="658"/>
      <c r="AF202" s="659"/>
      <c r="AG202" s="659"/>
      <c r="AH202" s="660"/>
      <c r="AI202" s="656"/>
    </row>
    <row r="203" spans="25:35" x14ac:dyDescent="0.2">
      <c r="Y203" s="66" t="s">
        <v>89</v>
      </c>
      <c r="Z203" s="34" t="str">
        <f>""</f>
        <v/>
      </c>
      <c r="AA203" s="13">
        <v>0</v>
      </c>
      <c r="AB203" s="723" t="str">
        <f>""</f>
        <v/>
      </c>
      <c r="AC203" s="2"/>
      <c r="AD203" s="141"/>
      <c r="AE203" s="658"/>
      <c r="AF203" s="659"/>
      <c r="AG203" s="659"/>
      <c r="AH203" s="660"/>
      <c r="AI203" s="656"/>
    </row>
    <row r="204" spans="25:35" x14ac:dyDescent="0.2">
      <c r="Y204" s="66" t="s">
        <v>90</v>
      </c>
      <c r="Z204" s="34" t="str">
        <f>""</f>
        <v/>
      </c>
      <c r="AA204" s="13">
        <v>0</v>
      </c>
      <c r="AB204" s="723" t="str">
        <f>""</f>
        <v/>
      </c>
      <c r="AC204" s="2"/>
      <c r="AD204" s="141"/>
      <c r="AE204" s="658"/>
      <c r="AF204" s="659"/>
      <c r="AG204" s="659"/>
      <c r="AH204" s="660"/>
      <c r="AI204" s="656"/>
    </row>
    <row r="205" spans="25:35" x14ac:dyDescent="0.2">
      <c r="Y205" s="66" t="s">
        <v>91</v>
      </c>
      <c r="Z205" s="34" t="str">
        <f>""</f>
        <v/>
      </c>
      <c r="AA205" s="13">
        <v>0</v>
      </c>
      <c r="AB205" s="723" t="str">
        <f>""</f>
        <v/>
      </c>
      <c r="AC205" s="2"/>
      <c r="AD205" s="141"/>
      <c r="AE205" s="658"/>
      <c r="AF205" s="659"/>
      <c r="AG205" s="659"/>
      <c r="AH205" s="660"/>
      <c r="AI205" s="656"/>
    </row>
    <row r="206" spans="25:35" x14ac:dyDescent="0.2">
      <c r="Y206" s="66" t="s">
        <v>92</v>
      </c>
      <c r="Z206" s="34" t="str">
        <f>""</f>
        <v/>
      </c>
      <c r="AA206" s="13">
        <v>0</v>
      </c>
      <c r="AB206" s="723" t="str">
        <f>""</f>
        <v/>
      </c>
      <c r="AC206" s="2"/>
      <c r="AD206" s="141"/>
      <c r="AE206" s="658"/>
      <c r="AF206" s="659"/>
      <c r="AG206" s="659"/>
      <c r="AH206" s="660"/>
      <c r="AI206" s="656"/>
    </row>
    <row r="207" spans="25:35" ht="12.75" thickBot="1" x14ac:dyDescent="0.25">
      <c r="Y207" s="67" t="s">
        <v>93</v>
      </c>
      <c r="Z207" s="36" t="str">
        <f>""</f>
        <v/>
      </c>
      <c r="AA207" s="37">
        <v>0</v>
      </c>
      <c r="AB207" s="142" t="str">
        <f>""</f>
        <v/>
      </c>
      <c r="AC207" s="144"/>
      <c r="AD207" s="143"/>
      <c r="AE207" s="661"/>
      <c r="AF207" s="662"/>
      <c r="AG207" s="662"/>
      <c r="AH207" s="663"/>
      <c r="AI207" s="657"/>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8801-328A-47FE-B5CE-CB7DD53E085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69"/>
      <c r="H3" s="69"/>
      <c r="I3" s="704"/>
      <c r="J3" s="27"/>
      <c r="K3" s="704"/>
      <c r="L3" s="27"/>
      <c r="M3" s="27"/>
      <c r="N3" s="27"/>
      <c r="O3" s="109"/>
      <c r="P3" s="110"/>
      <c r="Q3" s="110"/>
      <c r="R3" s="110"/>
      <c r="S3" s="110"/>
      <c r="T3" s="110"/>
      <c r="U3" s="110"/>
      <c r="V3" s="110"/>
      <c r="W3" s="995"/>
      <c r="X3" s="996"/>
      <c r="Y3" s="996"/>
      <c r="Z3" s="996"/>
      <c r="AA3" s="996"/>
      <c r="AB3" s="995"/>
      <c r="AC3" s="996"/>
      <c r="AD3" s="996"/>
      <c r="AE3" s="996"/>
      <c r="AF3" s="996"/>
      <c r="AG3" s="995"/>
      <c r="AH3" s="996"/>
      <c r="AI3" s="996"/>
      <c r="AJ3" s="996"/>
      <c r="AK3" s="996"/>
      <c r="AL3" s="995"/>
      <c r="AM3" s="996"/>
      <c r="AN3" s="996"/>
      <c r="AO3" s="996"/>
      <c r="AP3" s="996"/>
    </row>
    <row r="4" spans="1:42" s="2" customFormat="1" ht="12.75" thickTop="1" x14ac:dyDescent="0.2">
      <c r="A4" s="251"/>
      <c r="B4" s="1"/>
      <c r="C4" s="21"/>
      <c r="D4" s="13"/>
      <c r="E4" s="263"/>
      <c r="F4" s="1"/>
      <c r="G4" s="1"/>
      <c r="H4" s="1"/>
      <c r="I4" s="13"/>
      <c r="J4" s="1"/>
      <c r="K4" s="1"/>
      <c r="L4" s="1"/>
      <c r="M4" s="1"/>
      <c r="N4" s="1"/>
      <c r="O4" s="118"/>
      <c r="P4" s="118"/>
      <c r="Q4" s="118"/>
      <c r="R4" s="118"/>
      <c r="V4" s="1"/>
      <c r="W4" s="629"/>
      <c r="X4" s="630"/>
      <c r="Y4" s="631"/>
      <c r="Z4" s="632"/>
      <c r="AA4" s="633"/>
      <c r="AB4" s="634"/>
      <c r="AC4" s="635"/>
      <c r="AD4" s="636"/>
      <c r="AE4" s="632"/>
      <c r="AF4" s="632"/>
      <c r="AG4" s="634"/>
      <c r="AH4" s="635"/>
      <c r="AI4" s="636"/>
      <c r="AJ4" s="632"/>
      <c r="AK4" s="637"/>
      <c r="AL4" s="635"/>
      <c r="AM4" s="635"/>
      <c r="AN4" s="636"/>
      <c r="AO4" s="632"/>
      <c r="AP4" s="637"/>
    </row>
    <row r="5" spans="1:42" s="2" customFormat="1" x14ac:dyDescent="0.2">
      <c r="A5" s="251"/>
      <c r="B5" s="1"/>
      <c r="C5" s="22"/>
      <c r="D5" s="13"/>
      <c r="E5" s="263"/>
      <c r="F5" s="1"/>
      <c r="G5" s="1"/>
      <c r="H5" s="1"/>
      <c r="I5" s="13"/>
      <c r="J5" s="1"/>
      <c r="K5" s="1"/>
      <c r="L5" s="1"/>
      <c r="M5" s="1"/>
      <c r="N5" s="1"/>
      <c r="O5" s="24"/>
      <c r="P5" s="25"/>
      <c r="V5" s="1"/>
      <c r="W5" s="634"/>
      <c r="X5" s="635"/>
      <c r="Y5" s="632"/>
      <c r="Z5" s="632"/>
      <c r="AA5" s="637"/>
      <c r="AB5" s="634"/>
      <c r="AC5" s="635"/>
      <c r="AD5" s="636"/>
      <c r="AE5" s="632"/>
      <c r="AF5" s="632"/>
      <c r="AG5" s="634"/>
      <c r="AH5" s="635"/>
      <c r="AI5" s="636"/>
      <c r="AJ5" s="632"/>
      <c r="AK5" s="637"/>
      <c r="AL5" s="635"/>
      <c r="AM5" s="635"/>
      <c r="AN5" s="636"/>
      <c r="AO5" s="632"/>
      <c r="AP5" s="637"/>
    </row>
    <row r="6" spans="1:42" s="2" customFormat="1" x14ac:dyDescent="0.2">
      <c r="A6" s="251"/>
      <c r="B6" s="1"/>
      <c r="C6" s="22"/>
      <c r="D6" s="13"/>
      <c r="E6" s="263"/>
      <c r="F6" s="1"/>
      <c r="G6" s="1"/>
      <c r="H6" s="1"/>
      <c r="I6" s="13"/>
      <c r="J6" s="1"/>
      <c r="K6" s="1"/>
      <c r="L6" s="1"/>
      <c r="M6" s="1"/>
      <c r="N6" s="1"/>
      <c r="O6" s="24"/>
      <c r="P6" s="25"/>
      <c r="V6" s="1"/>
      <c r="W6" s="634"/>
      <c r="X6" s="635"/>
      <c r="Y6" s="632"/>
      <c r="Z6" s="632"/>
      <c r="AA6" s="637"/>
      <c r="AB6" s="634"/>
      <c r="AC6" s="635"/>
      <c r="AD6" s="636"/>
      <c r="AE6" s="632"/>
      <c r="AF6" s="632"/>
      <c r="AG6" s="634"/>
      <c r="AH6" s="635"/>
      <c r="AI6" s="636"/>
      <c r="AJ6" s="632"/>
      <c r="AK6" s="637"/>
      <c r="AL6" s="635"/>
      <c r="AM6" s="635"/>
      <c r="AN6" s="636"/>
      <c r="AO6" s="632"/>
      <c r="AP6" s="637"/>
    </row>
    <row r="7" spans="1:42" s="2" customFormat="1" x14ac:dyDescent="0.2">
      <c r="A7" s="251"/>
      <c r="B7" s="1"/>
      <c r="C7" s="22"/>
      <c r="D7" s="13"/>
      <c r="E7" s="263"/>
      <c r="F7" s="1"/>
      <c r="G7" s="1"/>
      <c r="H7" s="1"/>
      <c r="I7" s="13"/>
      <c r="J7" s="1"/>
      <c r="K7" s="1"/>
      <c r="L7" s="1"/>
      <c r="M7" s="1"/>
      <c r="N7" s="1"/>
      <c r="O7" s="24"/>
      <c r="P7" s="25"/>
      <c r="V7" s="1"/>
      <c r="W7" s="634"/>
      <c r="X7" s="635"/>
      <c r="Y7" s="632"/>
      <c r="Z7" s="632"/>
      <c r="AA7" s="637"/>
      <c r="AB7" s="634"/>
      <c r="AC7" s="635"/>
      <c r="AD7" s="636"/>
      <c r="AE7" s="632"/>
      <c r="AF7" s="632"/>
      <c r="AG7" s="634"/>
      <c r="AH7" s="635"/>
      <c r="AI7" s="636"/>
      <c r="AJ7" s="632"/>
      <c r="AK7" s="637"/>
      <c r="AL7" s="635"/>
      <c r="AM7" s="635"/>
      <c r="AN7" s="636"/>
      <c r="AO7" s="632"/>
      <c r="AP7" s="637"/>
    </row>
    <row r="8" spans="1:42" s="2" customFormat="1" x14ac:dyDescent="0.2">
      <c r="A8" s="251"/>
      <c r="B8" s="1"/>
      <c r="C8" s="22"/>
      <c r="D8" s="13"/>
      <c r="E8" s="263"/>
      <c r="F8" s="1"/>
      <c r="G8" s="1"/>
      <c r="H8" s="1"/>
      <c r="I8" s="13"/>
      <c r="J8" s="1"/>
      <c r="K8" s="1"/>
      <c r="L8" s="1"/>
      <c r="M8" s="1"/>
      <c r="N8" s="1"/>
      <c r="P8" s="25"/>
      <c r="W8" s="634"/>
      <c r="X8" s="635"/>
      <c r="Y8" s="632"/>
      <c r="Z8" s="632"/>
      <c r="AA8" s="637"/>
      <c r="AB8" s="634"/>
      <c r="AC8" s="635"/>
      <c r="AD8" s="636"/>
      <c r="AE8" s="632"/>
      <c r="AF8" s="632"/>
      <c r="AG8" s="634"/>
      <c r="AH8" s="635"/>
      <c r="AI8" s="636"/>
      <c r="AJ8" s="632"/>
      <c r="AK8" s="637"/>
      <c r="AL8" s="635"/>
      <c r="AM8" s="635"/>
      <c r="AN8" s="636"/>
      <c r="AO8" s="632"/>
      <c r="AP8" s="637"/>
    </row>
    <row r="9" spans="1:42" s="2" customFormat="1" x14ac:dyDescent="0.2">
      <c r="A9" s="251"/>
      <c r="B9" s="1"/>
      <c r="C9" s="22"/>
      <c r="D9" s="13"/>
      <c r="E9" s="263"/>
      <c r="F9" s="1"/>
      <c r="G9" s="1"/>
      <c r="H9" s="1"/>
      <c r="I9" s="13"/>
      <c r="J9" s="1"/>
      <c r="K9" s="1"/>
      <c r="L9" s="1"/>
      <c r="M9" s="1"/>
      <c r="N9" s="1"/>
      <c r="P9" s="25"/>
      <c r="W9" s="634"/>
      <c r="X9" s="635"/>
      <c r="Y9" s="632"/>
      <c r="Z9" s="632"/>
      <c r="AA9" s="637"/>
      <c r="AB9" s="634"/>
      <c r="AC9" s="635"/>
      <c r="AD9" s="636"/>
      <c r="AE9" s="632"/>
      <c r="AF9" s="632"/>
      <c r="AG9" s="634"/>
      <c r="AH9" s="635"/>
      <c r="AI9" s="636"/>
      <c r="AJ9" s="632"/>
      <c r="AK9" s="637"/>
      <c r="AL9" s="635"/>
      <c r="AM9" s="635"/>
      <c r="AN9" s="636"/>
      <c r="AO9" s="632"/>
      <c r="AP9" s="637"/>
    </row>
    <row r="10" spans="1:42" s="2" customFormat="1" x14ac:dyDescent="0.2">
      <c r="A10" s="251"/>
      <c r="B10" s="1"/>
      <c r="C10" s="22"/>
      <c r="D10" s="13"/>
      <c r="E10" s="263"/>
      <c r="F10" s="1"/>
      <c r="G10" s="1"/>
      <c r="H10" s="1"/>
      <c r="I10" s="13"/>
      <c r="J10" s="1"/>
      <c r="K10" s="1"/>
      <c r="L10" s="1"/>
      <c r="M10" s="1"/>
      <c r="N10" s="1"/>
      <c r="P10" s="25"/>
      <c r="W10" s="634"/>
      <c r="X10" s="635"/>
      <c r="Y10" s="632"/>
      <c r="Z10" s="632"/>
      <c r="AA10" s="637"/>
      <c r="AB10" s="634"/>
      <c r="AC10" s="635"/>
      <c r="AD10" s="636"/>
      <c r="AE10" s="632"/>
      <c r="AF10" s="632"/>
      <c r="AG10" s="634"/>
      <c r="AH10" s="635"/>
      <c r="AI10" s="636"/>
      <c r="AJ10" s="632"/>
      <c r="AK10" s="637"/>
      <c r="AL10" s="635"/>
      <c r="AM10" s="635"/>
      <c r="AN10" s="636"/>
      <c r="AO10" s="632"/>
      <c r="AP10" s="637"/>
    </row>
    <row r="11" spans="1:42" s="2" customFormat="1" x14ac:dyDescent="0.2">
      <c r="A11" s="251"/>
      <c r="B11" s="1"/>
      <c r="C11" s="22"/>
      <c r="D11" s="13"/>
      <c r="E11" s="263"/>
      <c r="F11" s="1"/>
      <c r="G11" s="1"/>
      <c r="H11" s="1"/>
      <c r="I11" s="13"/>
      <c r="J11" s="1"/>
      <c r="K11" s="1"/>
      <c r="L11" s="1"/>
      <c r="M11" s="1"/>
      <c r="N11" s="1"/>
      <c r="O11" s="13"/>
      <c r="P11" s="13"/>
      <c r="Q11" s="13"/>
      <c r="R11" s="13"/>
      <c r="S11" s="13"/>
      <c r="T11" s="13"/>
      <c r="U11" s="13"/>
      <c r="V11" s="13"/>
      <c r="W11" s="634"/>
      <c r="X11" s="635"/>
      <c r="Y11" s="632"/>
      <c r="Z11" s="632"/>
      <c r="AA11" s="637"/>
      <c r="AB11" s="634"/>
      <c r="AC11" s="635"/>
      <c r="AD11" s="636"/>
      <c r="AE11" s="632"/>
      <c r="AF11" s="632"/>
      <c r="AG11" s="634"/>
      <c r="AH11" s="635"/>
      <c r="AI11" s="636"/>
      <c r="AJ11" s="632"/>
      <c r="AK11" s="637"/>
      <c r="AL11" s="635"/>
      <c r="AM11" s="635"/>
      <c r="AN11" s="636"/>
      <c r="AO11" s="632"/>
      <c r="AP11" s="637"/>
    </row>
    <row r="12" spans="1:42" s="2" customFormat="1" ht="12.75" thickBot="1" x14ac:dyDescent="0.25">
      <c r="A12" s="251"/>
      <c r="B12" s="1"/>
      <c r="C12" s="23"/>
      <c r="D12" s="13"/>
      <c r="E12" s="263"/>
      <c r="F12" s="1"/>
      <c r="G12" s="1"/>
      <c r="H12" s="1"/>
      <c r="I12" s="13"/>
      <c r="J12" s="1"/>
      <c r="K12" s="28"/>
      <c r="L12" s="1"/>
      <c r="M12" s="1"/>
      <c r="N12" s="1"/>
      <c r="O12" s="1"/>
      <c r="P12" s="1"/>
      <c r="Q12" s="1"/>
      <c r="R12" s="1"/>
      <c r="S12" s="1"/>
      <c r="T12" s="1"/>
      <c r="U12" s="1"/>
      <c r="V12" s="1"/>
      <c r="W12" s="638"/>
      <c r="X12" s="639"/>
      <c r="Y12" s="640"/>
      <c r="Z12" s="640"/>
      <c r="AA12" s="641"/>
      <c r="AB12" s="638"/>
      <c r="AC12" s="639"/>
      <c r="AD12" s="642"/>
      <c r="AE12" s="640"/>
      <c r="AF12" s="640"/>
      <c r="AG12" s="638"/>
      <c r="AH12" s="639"/>
      <c r="AI12" s="642"/>
      <c r="AJ12" s="640"/>
      <c r="AK12" s="641"/>
      <c r="AL12" s="639"/>
      <c r="AM12" s="639"/>
      <c r="AN12" s="642"/>
      <c r="AO12" s="640"/>
      <c r="AP12" s="641"/>
    </row>
    <row r="13" spans="1:42" s="2" customFormat="1" ht="12.75" thickTop="1" x14ac:dyDescent="0.2">
      <c r="B13" s="13"/>
      <c r="C13" s="13"/>
      <c r="D13" s="13"/>
      <c r="E13" s="13"/>
      <c r="F13" s="13"/>
      <c r="G13" s="13"/>
      <c r="H13" s="13"/>
      <c r="I13" s="13"/>
      <c r="J13" s="13"/>
      <c r="K13" s="27"/>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97"/>
      <c r="AE15" s="998"/>
      <c r="AF15" s="998"/>
      <c r="AG15" s="998"/>
      <c r="AH15" s="999"/>
      <c r="AK15" s="251"/>
    </row>
    <row r="16" spans="1:42" s="2" customFormat="1" ht="15.75" thickBot="1" x14ac:dyDescent="0.25">
      <c r="B16" s="13"/>
      <c r="C16" s="704"/>
      <c r="D16" s="704"/>
      <c r="E16" s="704"/>
      <c r="F16" s="704"/>
      <c r="G16" s="704"/>
      <c r="H16" s="704"/>
      <c r="I16" s="704"/>
      <c r="J16" s="704"/>
      <c r="K16" s="704"/>
      <c r="L16" s="11"/>
      <c r="M16" s="69"/>
      <c r="N16" s="69"/>
      <c r="O16" s="30"/>
      <c r="P16" s="1"/>
      <c r="Q16" s="1"/>
      <c r="R16" s="1"/>
      <c r="S16" s="1"/>
      <c r="T16" s="1"/>
      <c r="U16" s="1"/>
      <c r="V16" s="1"/>
      <c r="W16" s="11"/>
      <c r="X16" s="188"/>
      <c r="Y16" s="11"/>
      <c r="Z16" s="188"/>
      <c r="AA16" s="1"/>
      <c r="AB16" s="1"/>
      <c r="AC16" s="1"/>
      <c r="AD16" s="258"/>
      <c r="AE16" s="262"/>
      <c r="AF16" s="1"/>
      <c r="AG16" s="1"/>
      <c r="AH16" s="188"/>
    </row>
    <row r="17" spans="2:80" s="2" customFormat="1" ht="12.75" thickTop="1" x14ac:dyDescent="0.2">
      <c r="D17" s="1"/>
      <c r="E17" s="1"/>
      <c r="F17" s="1"/>
      <c r="G17" s="1"/>
      <c r="H17" s="1"/>
      <c r="I17" s="1"/>
      <c r="J17" s="13"/>
      <c r="K17" s="1"/>
      <c r="L17" s="29"/>
      <c r="M17" s="14"/>
      <c r="N17" s="14"/>
      <c r="O17" s="52"/>
      <c r="P17" s="53"/>
      <c r="Q17" s="53"/>
      <c r="R17" s="53"/>
      <c r="S17" s="53"/>
      <c r="T17" s="53"/>
      <c r="U17" s="53"/>
      <c r="V17" s="54"/>
      <c r="W17" s="62"/>
      <c r="X17" s="21"/>
      <c r="Y17" s="13"/>
      <c r="Z17" s="1"/>
      <c r="AA17" s="1"/>
      <c r="AB17" s="1"/>
      <c r="AC17" s="1"/>
      <c r="AD17" s="257"/>
      <c r="AE17" s="29"/>
      <c r="AF17" s="1"/>
      <c r="AG17" s="1"/>
      <c r="AH17" s="259"/>
      <c r="AI17" s="1"/>
    </row>
    <row r="18" spans="2:80" s="2" customFormat="1" x14ac:dyDescent="0.2">
      <c r="D18" s="1"/>
      <c r="E18" s="1"/>
      <c r="F18" s="1"/>
      <c r="G18" s="1"/>
      <c r="H18" s="1"/>
      <c r="I18" s="1"/>
      <c r="J18" s="13"/>
      <c r="K18" s="1"/>
      <c r="L18" s="29"/>
      <c r="M18" s="14"/>
      <c r="N18" s="14"/>
      <c r="O18" s="6"/>
      <c r="P18" s="4"/>
      <c r="Q18" s="4"/>
      <c r="R18" s="4"/>
      <c r="S18" s="4"/>
      <c r="T18" s="4"/>
      <c r="U18" s="4"/>
      <c r="V18" s="55"/>
      <c r="W18" s="62"/>
      <c r="X18" s="22"/>
      <c r="Y18" s="13"/>
      <c r="Z18" s="1"/>
      <c r="AA18" s="1"/>
      <c r="AB18" s="1"/>
      <c r="AC18" s="1"/>
      <c r="AD18" s="257"/>
      <c r="AE18" s="29"/>
      <c r="AF18" s="1"/>
      <c r="AG18" s="1"/>
      <c r="AH18" s="260"/>
      <c r="AI18" s="1"/>
    </row>
    <row r="19" spans="2:80" s="2" customFormat="1" x14ac:dyDescent="0.2">
      <c r="D19" s="1"/>
      <c r="E19" s="1"/>
      <c r="F19" s="1"/>
      <c r="G19" s="1"/>
      <c r="H19" s="1"/>
      <c r="I19" s="1"/>
      <c r="J19" s="13"/>
      <c r="K19" s="1"/>
      <c r="L19" s="29"/>
      <c r="M19" s="14"/>
      <c r="N19" s="14"/>
      <c r="O19" s="6"/>
      <c r="P19" s="4"/>
      <c r="Q19" s="4"/>
      <c r="R19" s="4"/>
      <c r="S19" s="4"/>
      <c r="T19" s="4"/>
      <c r="U19" s="4"/>
      <c r="V19" s="55"/>
      <c r="W19" s="62"/>
      <c r="X19" s="22"/>
      <c r="Y19" s="13"/>
      <c r="Z19" s="1"/>
      <c r="AA19" s="1"/>
      <c r="AB19" s="1"/>
      <c r="AC19" s="1"/>
      <c r="AD19" s="257"/>
      <c r="AE19" s="29"/>
      <c r="AF19" s="1"/>
      <c r="AG19" s="1"/>
      <c r="AH19" s="260"/>
      <c r="AI19" s="1"/>
    </row>
    <row r="20" spans="2:80" s="2" customFormat="1" x14ac:dyDescent="0.2">
      <c r="D20" s="1"/>
      <c r="E20" s="1"/>
      <c r="F20" s="1"/>
      <c r="G20" s="1"/>
      <c r="H20" s="1"/>
      <c r="I20" s="1"/>
      <c r="J20" s="13"/>
      <c r="K20" s="1"/>
      <c r="L20" s="29"/>
      <c r="M20" s="14"/>
      <c r="N20" s="14"/>
      <c r="O20" s="6"/>
      <c r="P20" s="4"/>
      <c r="Q20" s="4"/>
      <c r="R20" s="4"/>
      <c r="S20" s="4"/>
      <c r="T20" s="4"/>
      <c r="U20" s="4"/>
      <c r="V20" s="55"/>
      <c r="W20" s="62"/>
      <c r="X20" s="22"/>
      <c r="Y20" s="13"/>
      <c r="Z20" s="1"/>
      <c r="AA20" s="1"/>
      <c r="AB20" s="1"/>
      <c r="AC20" s="1"/>
      <c r="AD20" s="257"/>
      <c r="AE20" s="29"/>
      <c r="AF20" s="1"/>
      <c r="AG20" s="1"/>
      <c r="AH20" s="260"/>
      <c r="AI20" s="1"/>
    </row>
    <row r="21" spans="2:80" s="2" customFormat="1" x14ac:dyDescent="0.2">
      <c r="D21" s="1"/>
      <c r="E21" s="1"/>
      <c r="F21" s="1"/>
      <c r="G21" s="1"/>
      <c r="H21" s="1"/>
      <c r="I21" s="1"/>
      <c r="J21" s="13"/>
      <c r="K21" s="1"/>
      <c r="L21" s="29"/>
      <c r="M21" s="14"/>
      <c r="N21" s="14"/>
      <c r="O21" s="6"/>
      <c r="P21" s="4"/>
      <c r="Q21" s="4"/>
      <c r="R21" s="4"/>
      <c r="S21" s="4"/>
      <c r="T21" s="4"/>
      <c r="U21" s="4"/>
      <c r="V21" s="55"/>
      <c r="W21" s="62"/>
      <c r="X21" s="22"/>
      <c r="Y21" s="13"/>
      <c r="Z21" s="1"/>
      <c r="AA21" s="1"/>
      <c r="AB21" s="1"/>
      <c r="AC21" s="1"/>
      <c r="AD21" s="257"/>
      <c r="AE21" s="29"/>
      <c r="AF21" s="1"/>
      <c r="AG21" s="1"/>
      <c r="AH21" s="260"/>
      <c r="AI21" s="1"/>
    </row>
    <row r="22" spans="2:80" s="2" customFormat="1" x14ac:dyDescent="0.2">
      <c r="D22" s="1"/>
      <c r="E22" s="1"/>
      <c r="F22" s="1"/>
      <c r="G22" s="1"/>
      <c r="H22" s="1"/>
      <c r="I22" s="1"/>
      <c r="J22" s="13"/>
      <c r="K22" s="1"/>
      <c r="L22" s="29"/>
      <c r="M22" s="14"/>
      <c r="N22" s="14"/>
      <c r="O22" s="6"/>
      <c r="P22" s="4"/>
      <c r="Q22" s="4"/>
      <c r="R22" s="4"/>
      <c r="S22" s="4"/>
      <c r="T22" s="4"/>
      <c r="U22" s="4"/>
      <c r="V22" s="55"/>
      <c r="W22" s="62"/>
      <c r="X22" s="22"/>
      <c r="Y22" s="13"/>
      <c r="Z22" s="1"/>
      <c r="AA22" s="1"/>
      <c r="AB22" s="1"/>
      <c r="AC22" s="1"/>
      <c r="AD22" s="257"/>
      <c r="AE22" s="29"/>
      <c r="AF22" s="1"/>
      <c r="AG22" s="1"/>
      <c r="AH22" s="260"/>
      <c r="AI22" s="1"/>
    </row>
    <row r="23" spans="2:80" s="2" customFormat="1" x14ac:dyDescent="0.2">
      <c r="D23" s="1"/>
      <c r="E23" s="1"/>
      <c r="F23" s="1"/>
      <c r="G23" s="1"/>
      <c r="H23" s="1"/>
      <c r="I23" s="1"/>
      <c r="J23" s="13"/>
      <c r="K23" s="1"/>
      <c r="L23" s="29"/>
      <c r="M23" s="14"/>
      <c r="N23" s="14"/>
      <c r="O23" s="6"/>
      <c r="P23" s="4"/>
      <c r="Q23" s="4"/>
      <c r="R23" s="4"/>
      <c r="S23" s="4"/>
      <c r="T23" s="4"/>
      <c r="U23" s="4"/>
      <c r="V23" s="55"/>
      <c r="W23" s="62"/>
      <c r="X23" s="22"/>
      <c r="Y23" s="13"/>
      <c r="Z23" s="1"/>
      <c r="AA23" s="1"/>
      <c r="AB23" s="1"/>
      <c r="AC23" s="1"/>
      <c r="AD23" s="257"/>
      <c r="AE23" s="29"/>
      <c r="AF23" s="1"/>
      <c r="AG23" s="1"/>
      <c r="AH23" s="260"/>
      <c r="AI23" s="1"/>
    </row>
    <row r="24" spans="2:80" s="2" customFormat="1" x14ac:dyDescent="0.2">
      <c r="D24" s="1"/>
      <c r="E24" s="1"/>
      <c r="F24" s="1"/>
      <c r="G24" s="1"/>
      <c r="H24" s="1"/>
      <c r="I24" s="1"/>
      <c r="J24" s="13"/>
      <c r="K24" s="1"/>
      <c r="L24" s="29"/>
      <c r="M24" s="14"/>
      <c r="N24" s="14"/>
      <c r="O24" s="6"/>
      <c r="P24" s="4"/>
      <c r="Q24" s="4"/>
      <c r="R24" s="4"/>
      <c r="S24" s="4"/>
      <c r="T24" s="4"/>
      <c r="U24" s="4"/>
      <c r="V24" s="55"/>
      <c r="W24" s="62"/>
      <c r="X24" s="22"/>
      <c r="Y24" s="13"/>
      <c r="Z24" s="1"/>
      <c r="AA24" s="1"/>
      <c r="AB24" s="1"/>
      <c r="AC24" s="1"/>
      <c r="AD24" s="257"/>
      <c r="AE24" s="29"/>
      <c r="AF24" s="1"/>
      <c r="AG24" s="1"/>
      <c r="AH24" s="260"/>
      <c r="AI24" s="1"/>
    </row>
    <row r="25" spans="2:80" s="2" customFormat="1" ht="12.75" thickBot="1" x14ac:dyDescent="0.25">
      <c r="D25" s="1"/>
      <c r="E25" s="1"/>
      <c r="F25" s="1"/>
      <c r="G25" s="1"/>
      <c r="H25" s="1"/>
      <c r="I25" s="1"/>
      <c r="J25" s="13"/>
      <c r="K25" s="1"/>
      <c r="L25" s="29"/>
      <c r="M25" s="14"/>
      <c r="N25" s="14"/>
      <c r="O25" s="56"/>
      <c r="P25" s="57"/>
      <c r="Q25" s="57"/>
      <c r="R25" s="57"/>
      <c r="S25" s="57"/>
      <c r="T25" s="57"/>
      <c r="U25" s="57"/>
      <c r="V25" s="58"/>
      <c r="W25" s="62"/>
      <c r="X25" s="23"/>
      <c r="Y25" s="13"/>
      <c r="Z25" s="1"/>
      <c r="AA25" s="1"/>
      <c r="AB25" s="1"/>
      <c r="AC25" s="1"/>
      <c r="AD25" s="257"/>
      <c r="AE25" s="29"/>
      <c r="AF25" s="1"/>
      <c r="AG25" s="1"/>
      <c r="AH25" s="261"/>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row>
    <row r="29" spans="2:80" s="2" customFormat="1" ht="12.75" thickTop="1" x14ac:dyDescent="0.2">
      <c r="E29" s="993"/>
      <c r="F29" s="990"/>
      <c r="G29" s="990"/>
      <c r="H29" s="990"/>
      <c r="I29" s="990"/>
      <c r="J29" s="990"/>
      <c r="K29" s="990"/>
      <c r="L29" s="992"/>
      <c r="M29" s="989"/>
      <c r="N29" s="990"/>
      <c r="O29" s="990"/>
      <c r="P29" s="990"/>
      <c r="Q29" s="990"/>
      <c r="R29" s="990"/>
      <c r="S29" s="990"/>
      <c r="T29" s="992"/>
      <c r="U29" s="989"/>
      <c r="V29" s="990"/>
      <c r="W29" s="990"/>
      <c r="X29" s="990"/>
      <c r="Y29" s="990"/>
      <c r="Z29" s="990"/>
      <c r="AA29" s="990"/>
      <c r="AB29" s="992"/>
      <c r="AC29" s="989"/>
      <c r="AD29" s="990"/>
      <c r="AE29" s="990"/>
      <c r="AF29" s="990"/>
      <c r="AG29" s="990"/>
      <c r="AH29" s="990"/>
      <c r="AI29" s="990"/>
      <c r="AJ29" s="992"/>
      <c r="AK29" s="989"/>
      <c r="AL29" s="990"/>
      <c r="AM29" s="990"/>
      <c r="AN29" s="990"/>
      <c r="AO29" s="990"/>
      <c r="AP29" s="990"/>
      <c r="AQ29" s="990"/>
      <c r="AR29" s="992"/>
      <c r="AS29" s="989"/>
      <c r="AT29" s="990"/>
      <c r="AU29" s="990"/>
      <c r="AV29" s="990"/>
      <c r="AW29" s="990"/>
      <c r="AX29" s="990"/>
      <c r="AY29" s="990"/>
      <c r="AZ29" s="992"/>
      <c r="BA29" s="989"/>
      <c r="BB29" s="990"/>
      <c r="BC29" s="990"/>
      <c r="BD29" s="990"/>
      <c r="BE29" s="990"/>
      <c r="BF29" s="990"/>
      <c r="BG29" s="990"/>
      <c r="BH29" s="992"/>
      <c r="BI29" s="989"/>
      <c r="BJ29" s="990"/>
      <c r="BK29" s="990"/>
      <c r="BL29" s="990"/>
      <c r="BM29" s="990"/>
      <c r="BN29" s="990"/>
      <c r="BO29" s="990"/>
      <c r="BP29" s="991"/>
      <c r="BQ29" s="13"/>
      <c r="BR29" s="5"/>
      <c r="CB29" s="51"/>
    </row>
    <row r="30" spans="2:80" s="2" customFormat="1" x14ac:dyDescent="0.2">
      <c r="E30" s="15"/>
      <c r="F30" s="4"/>
      <c r="G30" s="4"/>
      <c r="H30" s="4"/>
      <c r="I30" s="4"/>
      <c r="J30" s="4"/>
      <c r="K30" s="4"/>
      <c r="L30" s="4"/>
      <c r="M30" s="6"/>
      <c r="N30" s="4"/>
      <c r="O30" s="4"/>
      <c r="P30" s="4"/>
      <c r="Q30" s="4"/>
      <c r="R30" s="4"/>
      <c r="S30" s="4"/>
      <c r="T30" s="4"/>
      <c r="U30" s="6"/>
      <c r="V30" s="4"/>
      <c r="W30" s="4"/>
      <c r="X30" s="4"/>
      <c r="Y30" s="4"/>
      <c r="Z30" s="4"/>
      <c r="AA30" s="4"/>
      <c r="AB30" s="4"/>
      <c r="AC30" s="6"/>
      <c r="AD30" s="4"/>
      <c r="AE30" s="4"/>
      <c r="AF30" s="4"/>
      <c r="AG30" s="4"/>
      <c r="AH30" s="4"/>
      <c r="AI30" s="4"/>
      <c r="AJ30" s="4"/>
      <c r="AK30" s="6"/>
      <c r="AL30" s="4"/>
      <c r="AM30" s="4"/>
      <c r="AN30" s="4"/>
      <c r="AO30" s="4"/>
      <c r="AP30" s="4"/>
      <c r="AQ30" s="4"/>
      <c r="AR30" s="4"/>
      <c r="AS30" s="6"/>
      <c r="AT30" s="4"/>
      <c r="AU30" s="4"/>
      <c r="AV30" s="4"/>
      <c r="AW30" s="4"/>
      <c r="AX30" s="4"/>
      <c r="AY30" s="4"/>
      <c r="AZ30" s="4"/>
      <c r="BA30" s="6"/>
      <c r="BB30" s="4"/>
      <c r="BC30" s="4"/>
      <c r="BD30" s="4"/>
      <c r="BE30" s="4"/>
      <c r="BF30" s="4"/>
      <c r="BG30" s="4"/>
      <c r="BH30" s="4"/>
      <c r="BI30" s="6"/>
      <c r="BJ30" s="4"/>
      <c r="BK30" s="4"/>
      <c r="BL30" s="4"/>
      <c r="BM30" s="4"/>
      <c r="BN30" s="4"/>
      <c r="BO30" s="4"/>
      <c r="BP30" s="16"/>
      <c r="BQ30" s="4"/>
      <c r="BS30" s="7"/>
      <c r="BT30" s="8"/>
      <c r="BU30" s="8"/>
      <c r="BV30" s="8"/>
      <c r="BW30" s="8"/>
      <c r="BX30" s="8"/>
      <c r="BY30" s="8"/>
      <c r="BZ30" s="8"/>
      <c r="CA30" s="8"/>
      <c r="CB30" s="4"/>
    </row>
    <row r="31" spans="2:80" s="2" customFormat="1" x14ac:dyDescent="0.2">
      <c r="E31" s="15"/>
      <c r="F31" s="4"/>
      <c r="G31" s="4"/>
      <c r="H31" s="4"/>
      <c r="I31" s="4"/>
      <c r="J31" s="4"/>
      <c r="K31" s="4"/>
      <c r="L31" s="4"/>
      <c r="M31" s="6"/>
      <c r="N31" s="4"/>
      <c r="O31" s="4"/>
      <c r="P31" s="4"/>
      <c r="Q31" s="4"/>
      <c r="R31" s="4"/>
      <c r="S31" s="4"/>
      <c r="T31" s="4"/>
      <c r="U31" s="6"/>
      <c r="V31" s="4"/>
      <c r="W31" s="4"/>
      <c r="X31" s="4"/>
      <c r="Y31" s="4"/>
      <c r="Z31" s="4"/>
      <c r="AA31" s="4"/>
      <c r="AB31" s="4"/>
      <c r="AC31" s="6"/>
      <c r="AD31" s="4"/>
      <c r="AE31" s="4"/>
      <c r="AF31" s="4"/>
      <c r="AG31" s="4"/>
      <c r="AH31" s="4"/>
      <c r="AI31" s="4"/>
      <c r="AJ31" s="4"/>
      <c r="AK31" s="6"/>
      <c r="AL31" s="4"/>
      <c r="AM31" s="4"/>
      <c r="AN31" s="4"/>
      <c r="AO31" s="4"/>
      <c r="AP31" s="4"/>
      <c r="AQ31" s="4"/>
      <c r="AR31" s="4"/>
      <c r="AS31" s="6"/>
      <c r="AT31" s="4"/>
      <c r="AU31" s="4"/>
      <c r="AV31" s="4"/>
      <c r="AW31" s="4"/>
      <c r="AX31" s="4"/>
      <c r="AY31" s="4"/>
      <c r="AZ31" s="4"/>
      <c r="BA31" s="6"/>
      <c r="BB31" s="4"/>
      <c r="BC31" s="4"/>
      <c r="BD31" s="4"/>
      <c r="BE31" s="4"/>
      <c r="BF31" s="4"/>
      <c r="BG31" s="4"/>
      <c r="BH31" s="4"/>
      <c r="BI31" s="6"/>
      <c r="BJ31" s="4"/>
      <c r="BK31" s="4"/>
      <c r="BL31" s="4"/>
      <c r="BM31" s="4"/>
      <c r="BN31" s="4"/>
      <c r="BO31" s="4"/>
      <c r="BP31" s="16"/>
      <c r="BQ31" s="4"/>
      <c r="BS31" s="9"/>
      <c r="BT31" s="7"/>
      <c r="BU31" s="8"/>
      <c r="BV31" s="8"/>
      <c r="BW31" s="8"/>
      <c r="BX31" s="8"/>
      <c r="BY31" s="8"/>
      <c r="BZ31" s="8"/>
      <c r="CA31" s="8"/>
      <c r="CB31" s="4"/>
    </row>
    <row r="32" spans="2:80" s="2" customFormat="1" x14ac:dyDescent="0.2">
      <c r="E32" s="15"/>
      <c r="F32" s="4"/>
      <c r="G32" s="4"/>
      <c r="H32" s="4"/>
      <c r="I32" s="4"/>
      <c r="J32" s="4"/>
      <c r="K32" s="4"/>
      <c r="L32" s="4"/>
      <c r="M32" s="6"/>
      <c r="N32" s="4"/>
      <c r="O32" s="4"/>
      <c r="P32" s="4"/>
      <c r="Q32" s="4"/>
      <c r="R32" s="4"/>
      <c r="S32" s="4"/>
      <c r="T32" s="4"/>
      <c r="U32" s="6"/>
      <c r="V32" s="4"/>
      <c r="W32" s="4"/>
      <c r="X32" s="4"/>
      <c r="Y32" s="4"/>
      <c r="Z32" s="4"/>
      <c r="AA32" s="4"/>
      <c r="AB32" s="4"/>
      <c r="AC32" s="6"/>
      <c r="AD32" s="4"/>
      <c r="AE32" s="4"/>
      <c r="AF32" s="4"/>
      <c r="AG32" s="4"/>
      <c r="AH32" s="4"/>
      <c r="AI32" s="4"/>
      <c r="AJ32" s="4"/>
      <c r="AK32" s="6"/>
      <c r="AL32" s="4"/>
      <c r="AM32" s="4"/>
      <c r="AN32" s="4"/>
      <c r="AO32" s="4"/>
      <c r="AP32" s="4"/>
      <c r="AQ32" s="4"/>
      <c r="AR32" s="4"/>
      <c r="AS32" s="6"/>
      <c r="AT32" s="4"/>
      <c r="AU32" s="4"/>
      <c r="AV32" s="4"/>
      <c r="AW32" s="4"/>
      <c r="AX32" s="4"/>
      <c r="AY32" s="4"/>
      <c r="AZ32" s="4"/>
      <c r="BA32" s="6"/>
      <c r="BB32" s="4"/>
      <c r="BC32" s="4"/>
      <c r="BD32" s="4"/>
      <c r="BE32" s="4"/>
      <c r="BF32" s="4"/>
      <c r="BG32" s="4"/>
      <c r="BH32" s="4"/>
      <c r="BI32" s="6"/>
      <c r="BJ32" s="4"/>
      <c r="BK32" s="4"/>
      <c r="BL32" s="4"/>
      <c r="BM32" s="4"/>
      <c r="BN32" s="4"/>
      <c r="BO32" s="4"/>
      <c r="BP32" s="16"/>
      <c r="BQ32" s="4"/>
      <c r="BS32" s="9"/>
      <c r="BT32" s="9"/>
      <c r="BU32" s="7"/>
      <c r="BV32" s="8"/>
      <c r="BW32" s="8"/>
      <c r="BX32" s="8"/>
      <c r="BY32" s="8"/>
      <c r="BZ32" s="8"/>
      <c r="CA32" s="8"/>
      <c r="CB32" s="4"/>
    </row>
    <row r="33" spans="5:80" s="2" customFormat="1" x14ac:dyDescent="0.2">
      <c r="E33" s="15"/>
      <c r="F33" s="4"/>
      <c r="G33" s="4"/>
      <c r="H33" s="4"/>
      <c r="I33" s="4"/>
      <c r="J33" s="4"/>
      <c r="K33" s="4"/>
      <c r="L33" s="4"/>
      <c r="M33" s="6"/>
      <c r="N33" s="4"/>
      <c r="O33" s="4"/>
      <c r="P33" s="4"/>
      <c r="Q33" s="4"/>
      <c r="R33" s="4"/>
      <c r="S33" s="4"/>
      <c r="T33" s="4"/>
      <c r="U33" s="6"/>
      <c r="V33" s="4"/>
      <c r="W33" s="4"/>
      <c r="X33" s="4"/>
      <c r="Y33" s="4"/>
      <c r="Z33" s="4"/>
      <c r="AA33" s="4"/>
      <c r="AB33" s="4"/>
      <c r="AC33" s="6"/>
      <c r="AD33" s="4"/>
      <c r="AE33" s="4"/>
      <c r="AF33" s="4"/>
      <c r="AG33" s="4"/>
      <c r="AH33" s="4"/>
      <c r="AI33" s="4"/>
      <c r="AJ33" s="4"/>
      <c r="AK33" s="6"/>
      <c r="AL33" s="4"/>
      <c r="AM33" s="4"/>
      <c r="AN33" s="4"/>
      <c r="AO33" s="4"/>
      <c r="AP33" s="4"/>
      <c r="AQ33" s="4"/>
      <c r="AR33" s="4"/>
      <c r="AS33" s="6"/>
      <c r="AT33" s="4"/>
      <c r="AU33" s="4"/>
      <c r="AV33" s="4"/>
      <c r="AW33" s="4"/>
      <c r="AX33" s="4"/>
      <c r="AY33" s="4"/>
      <c r="AZ33" s="4"/>
      <c r="BA33" s="6"/>
      <c r="BB33" s="4"/>
      <c r="BC33" s="4"/>
      <c r="BD33" s="4"/>
      <c r="BE33" s="4"/>
      <c r="BF33" s="4"/>
      <c r="BG33" s="4"/>
      <c r="BH33" s="4"/>
      <c r="BI33" s="6"/>
      <c r="BJ33" s="4"/>
      <c r="BK33" s="4"/>
      <c r="BL33" s="4"/>
      <c r="BM33" s="4"/>
      <c r="BN33" s="4"/>
      <c r="BO33" s="4"/>
      <c r="BP33" s="16"/>
      <c r="BQ33" s="4"/>
      <c r="BS33" s="9"/>
      <c r="BT33" s="9"/>
      <c r="BU33" s="9"/>
      <c r="BV33" s="7"/>
      <c r="BW33" s="8"/>
      <c r="BX33" s="8"/>
      <c r="BY33" s="8"/>
      <c r="BZ33" s="8"/>
      <c r="CA33" s="8"/>
      <c r="CB33" s="4"/>
    </row>
    <row r="34" spans="5:80" s="2" customFormat="1" x14ac:dyDescent="0.2">
      <c r="E34" s="15"/>
      <c r="F34" s="4"/>
      <c r="G34" s="4"/>
      <c r="H34" s="4"/>
      <c r="I34" s="4"/>
      <c r="J34" s="4"/>
      <c r="K34" s="4"/>
      <c r="L34" s="4"/>
      <c r="M34" s="6"/>
      <c r="N34" s="4"/>
      <c r="O34" s="4"/>
      <c r="P34" s="4"/>
      <c r="Q34" s="4"/>
      <c r="R34" s="4"/>
      <c r="S34" s="4"/>
      <c r="T34" s="4"/>
      <c r="U34" s="6"/>
      <c r="V34" s="4"/>
      <c r="W34" s="4"/>
      <c r="X34" s="4"/>
      <c r="Y34" s="4"/>
      <c r="Z34" s="4"/>
      <c r="AA34" s="4"/>
      <c r="AB34" s="4"/>
      <c r="AC34" s="6"/>
      <c r="AD34" s="4"/>
      <c r="AE34" s="4"/>
      <c r="AF34" s="4"/>
      <c r="AG34" s="4"/>
      <c r="AH34" s="4"/>
      <c r="AI34" s="4"/>
      <c r="AJ34" s="4"/>
      <c r="AK34" s="6"/>
      <c r="AL34" s="4"/>
      <c r="AM34" s="4"/>
      <c r="AN34" s="4"/>
      <c r="AO34" s="4"/>
      <c r="AP34" s="4"/>
      <c r="AQ34" s="4"/>
      <c r="AR34" s="4"/>
      <c r="AS34" s="6"/>
      <c r="AT34" s="4"/>
      <c r="AU34" s="4"/>
      <c r="AV34" s="4"/>
      <c r="AW34" s="4"/>
      <c r="AX34" s="4"/>
      <c r="AY34" s="4"/>
      <c r="AZ34" s="4"/>
      <c r="BA34" s="6"/>
      <c r="BB34" s="4"/>
      <c r="BC34" s="4"/>
      <c r="BD34" s="4"/>
      <c r="BE34" s="4"/>
      <c r="BF34" s="4"/>
      <c r="BG34" s="4"/>
      <c r="BH34" s="4"/>
      <c r="BI34" s="6"/>
      <c r="BJ34" s="4"/>
      <c r="BK34" s="4"/>
      <c r="BL34" s="4"/>
      <c r="BM34" s="4"/>
      <c r="BN34" s="4"/>
      <c r="BO34" s="4"/>
      <c r="BP34" s="16"/>
      <c r="BQ34" s="4"/>
      <c r="BS34" s="9"/>
      <c r="BT34" s="9"/>
      <c r="BU34" s="9"/>
      <c r="BV34" s="9"/>
      <c r="BW34" s="7"/>
      <c r="BX34" s="8"/>
      <c r="BY34" s="8"/>
      <c r="BZ34" s="8"/>
      <c r="CA34" s="8"/>
      <c r="CB34" s="4"/>
    </row>
    <row r="35" spans="5:80" s="2" customFormat="1" x14ac:dyDescent="0.2">
      <c r="E35" s="15"/>
      <c r="F35" s="4"/>
      <c r="G35" s="4"/>
      <c r="H35" s="4"/>
      <c r="I35" s="4"/>
      <c r="J35" s="4"/>
      <c r="K35" s="4"/>
      <c r="L35" s="4"/>
      <c r="M35" s="6"/>
      <c r="N35" s="4"/>
      <c r="O35" s="4"/>
      <c r="P35" s="4"/>
      <c r="Q35" s="4"/>
      <c r="R35" s="4"/>
      <c r="S35" s="4"/>
      <c r="T35" s="4"/>
      <c r="U35" s="6"/>
      <c r="V35" s="4"/>
      <c r="W35" s="4"/>
      <c r="X35" s="4"/>
      <c r="Y35" s="4"/>
      <c r="Z35" s="4"/>
      <c r="AA35" s="4"/>
      <c r="AB35" s="4"/>
      <c r="AC35" s="6"/>
      <c r="AD35" s="4"/>
      <c r="AE35" s="4"/>
      <c r="AF35" s="4"/>
      <c r="AG35" s="4"/>
      <c r="AH35" s="4"/>
      <c r="AI35" s="4"/>
      <c r="AJ35" s="4"/>
      <c r="AK35" s="6"/>
      <c r="AL35" s="4"/>
      <c r="AM35" s="4"/>
      <c r="AN35" s="4"/>
      <c r="AO35" s="4"/>
      <c r="AP35" s="4"/>
      <c r="AQ35" s="4"/>
      <c r="AR35" s="4"/>
      <c r="AS35" s="6"/>
      <c r="AT35" s="4"/>
      <c r="AU35" s="4"/>
      <c r="AV35" s="4"/>
      <c r="AW35" s="4"/>
      <c r="AX35" s="4"/>
      <c r="AY35" s="4"/>
      <c r="AZ35" s="4"/>
      <c r="BA35" s="6"/>
      <c r="BB35" s="4"/>
      <c r="BC35" s="4"/>
      <c r="BD35" s="4"/>
      <c r="BE35" s="4"/>
      <c r="BF35" s="4"/>
      <c r="BG35" s="4"/>
      <c r="BH35" s="4"/>
      <c r="BI35" s="6"/>
      <c r="BJ35" s="4"/>
      <c r="BK35" s="4"/>
      <c r="BL35" s="4"/>
      <c r="BM35" s="4"/>
      <c r="BN35" s="4"/>
      <c r="BO35" s="4"/>
      <c r="BP35" s="16"/>
      <c r="BQ35" s="4"/>
      <c r="BS35" s="9"/>
      <c r="BT35" s="9"/>
      <c r="BU35" s="9"/>
      <c r="BV35" s="9"/>
      <c r="BW35" s="9"/>
      <c r="BX35" s="7"/>
      <c r="BY35" s="8"/>
      <c r="BZ35" s="8"/>
      <c r="CA35" s="8"/>
      <c r="CB35" s="4"/>
    </row>
    <row r="36" spans="5:80" s="2" customFormat="1" x14ac:dyDescent="0.2">
      <c r="E36" s="15"/>
      <c r="F36" s="4"/>
      <c r="G36" s="4"/>
      <c r="H36" s="4"/>
      <c r="I36" s="4"/>
      <c r="J36" s="4"/>
      <c r="K36" s="4"/>
      <c r="L36" s="4"/>
      <c r="M36" s="6"/>
      <c r="N36" s="4"/>
      <c r="O36" s="4"/>
      <c r="P36" s="4"/>
      <c r="Q36" s="4"/>
      <c r="R36" s="4"/>
      <c r="S36" s="4"/>
      <c r="T36" s="4"/>
      <c r="U36" s="6"/>
      <c r="V36" s="4"/>
      <c r="W36" s="4"/>
      <c r="X36" s="4"/>
      <c r="Y36" s="4"/>
      <c r="Z36" s="4"/>
      <c r="AA36" s="4"/>
      <c r="AB36" s="4"/>
      <c r="AC36" s="6"/>
      <c r="AD36" s="4"/>
      <c r="AE36" s="4"/>
      <c r="AF36" s="4"/>
      <c r="AG36" s="4"/>
      <c r="AH36" s="4"/>
      <c r="AI36" s="4"/>
      <c r="AJ36" s="4"/>
      <c r="AK36" s="6"/>
      <c r="AL36" s="4"/>
      <c r="AM36" s="4"/>
      <c r="AN36" s="4"/>
      <c r="AO36" s="4"/>
      <c r="AP36" s="4"/>
      <c r="AQ36" s="4"/>
      <c r="AR36" s="4"/>
      <c r="AS36" s="6"/>
      <c r="AT36" s="4"/>
      <c r="AU36" s="4"/>
      <c r="AV36" s="4"/>
      <c r="AW36" s="4"/>
      <c r="AX36" s="4"/>
      <c r="AY36" s="4"/>
      <c r="AZ36" s="4"/>
      <c r="BA36" s="6"/>
      <c r="BB36" s="4"/>
      <c r="BC36" s="4"/>
      <c r="BD36" s="4"/>
      <c r="BE36" s="4"/>
      <c r="BF36" s="4"/>
      <c r="BG36" s="4"/>
      <c r="BH36" s="4"/>
      <c r="BI36" s="6"/>
      <c r="BJ36" s="4"/>
      <c r="BK36" s="4"/>
      <c r="BL36" s="4"/>
      <c r="BM36" s="4"/>
      <c r="BN36" s="4"/>
      <c r="BO36" s="4"/>
      <c r="BP36" s="16"/>
      <c r="BQ36" s="4"/>
      <c r="BS36" s="9"/>
      <c r="BT36" s="9"/>
      <c r="BU36" s="9"/>
      <c r="BV36" s="9"/>
      <c r="BW36" s="9"/>
      <c r="BX36" s="9"/>
      <c r="BY36" s="7"/>
      <c r="BZ36" s="8"/>
      <c r="CA36" s="8"/>
      <c r="CB36" s="4"/>
    </row>
    <row r="37" spans="5:80" s="2" customFormat="1" x14ac:dyDescent="0.2">
      <c r="E37" s="15"/>
      <c r="F37" s="4"/>
      <c r="G37" s="4"/>
      <c r="H37" s="4"/>
      <c r="I37" s="4"/>
      <c r="J37" s="4"/>
      <c r="K37" s="4"/>
      <c r="L37" s="4"/>
      <c r="M37" s="6"/>
      <c r="N37" s="4"/>
      <c r="O37" s="4"/>
      <c r="P37" s="4"/>
      <c r="Q37" s="4"/>
      <c r="R37" s="4"/>
      <c r="S37" s="4"/>
      <c r="T37" s="4"/>
      <c r="U37" s="6"/>
      <c r="V37" s="4"/>
      <c r="W37" s="4"/>
      <c r="X37" s="4"/>
      <c r="Y37" s="4"/>
      <c r="Z37" s="4"/>
      <c r="AA37" s="4"/>
      <c r="AB37" s="4"/>
      <c r="AC37" s="6"/>
      <c r="AD37" s="4"/>
      <c r="AE37" s="4"/>
      <c r="AF37" s="4"/>
      <c r="AG37" s="4"/>
      <c r="AH37" s="4"/>
      <c r="AI37" s="4"/>
      <c r="AJ37" s="4"/>
      <c r="AK37" s="6"/>
      <c r="AL37" s="4"/>
      <c r="AM37" s="4"/>
      <c r="AN37" s="4"/>
      <c r="AO37" s="4"/>
      <c r="AP37" s="4"/>
      <c r="AQ37" s="4"/>
      <c r="AR37" s="4"/>
      <c r="AS37" s="6"/>
      <c r="AT37" s="4"/>
      <c r="AU37" s="4"/>
      <c r="AV37" s="4"/>
      <c r="AW37" s="4"/>
      <c r="AX37" s="4"/>
      <c r="AY37" s="4"/>
      <c r="AZ37" s="4"/>
      <c r="BA37" s="6"/>
      <c r="BB37" s="4"/>
      <c r="BC37" s="4"/>
      <c r="BD37" s="4"/>
      <c r="BE37" s="4"/>
      <c r="BF37" s="4"/>
      <c r="BG37" s="4"/>
      <c r="BH37" s="4"/>
      <c r="BI37" s="6"/>
      <c r="BJ37" s="4"/>
      <c r="BK37" s="4"/>
      <c r="BL37" s="4"/>
      <c r="BM37" s="4"/>
      <c r="BN37" s="4"/>
      <c r="BO37" s="4"/>
      <c r="BP37" s="16"/>
      <c r="BQ37" s="4"/>
      <c r="BS37" s="9"/>
      <c r="BT37" s="9"/>
      <c r="BU37" s="9"/>
      <c r="BV37" s="9"/>
      <c r="BW37" s="9"/>
      <c r="BX37" s="9"/>
      <c r="BY37" s="9"/>
      <c r="BZ37" s="7"/>
      <c r="CA37" s="8"/>
      <c r="CB37" s="4"/>
    </row>
    <row r="38" spans="5:80" s="2" customFormat="1" x14ac:dyDescent="0.2">
      <c r="E38" s="15"/>
      <c r="F38" s="4"/>
      <c r="G38" s="4"/>
      <c r="H38" s="4"/>
      <c r="I38" s="4"/>
      <c r="J38" s="4"/>
      <c r="K38" s="4"/>
      <c r="L38" s="4"/>
      <c r="M38" s="6"/>
      <c r="N38" s="4"/>
      <c r="O38" s="4"/>
      <c r="P38" s="4"/>
      <c r="Q38" s="4"/>
      <c r="R38" s="4"/>
      <c r="S38" s="4"/>
      <c r="T38" s="4"/>
      <c r="U38" s="6"/>
      <c r="V38" s="4"/>
      <c r="W38" s="4"/>
      <c r="X38" s="4"/>
      <c r="Y38" s="4"/>
      <c r="Z38" s="4"/>
      <c r="AA38" s="4"/>
      <c r="AB38" s="4"/>
      <c r="AC38" s="6"/>
      <c r="AD38" s="4"/>
      <c r="AE38" s="4"/>
      <c r="AF38" s="4"/>
      <c r="AG38" s="4"/>
      <c r="AH38" s="4"/>
      <c r="AI38" s="4"/>
      <c r="AJ38" s="4"/>
      <c r="AK38" s="6"/>
      <c r="AL38" s="4"/>
      <c r="AM38" s="4"/>
      <c r="AN38" s="4"/>
      <c r="AO38" s="4"/>
      <c r="AP38" s="4"/>
      <c r="AQ38" s="4"/>
      <c r="AR38" s="4"/>
      <c r="AS38" s="6"/>
      <c r="AT38" s="4"/>
      <c r="AU38" s="4"/>
      <c r="AV38" s="4"/>
      <c r="AW38" s="4"/>
      <c r="AX38" s="4"/>
      <c r="AY38" s="4"/>
      <c r="AZ38" s="4"/>
      <c r="BA38" s="6"/>
      <c r="BB38" s="4"/>
      <c r="BC38" s="4"/>
      <c r="BD38" s="4"/>
      <c r="BE38" s="4"/>
      <c r="BF38" s="4"/>
      <c r="BG38" s="4"/>
      <c r="BH38" s="4"/>
      <c r="BI38" s="6"/>
      <c r="BJ38" s="4"/>
      <c r="BK38" s="4"/>
      <c r="BL38" s="4"/>
      <c r="BM38" s="4"/>
      <c r="BN38" s="4"/>
      <c r="BO38" s="4"/>
      <c r="BP38" s="16"/>
      <c r="BQ38" s="4"/>
      <c r="BS38" s="9"/>
      <c r="BT38" s="9"/>
      <c r="BU38" s="9"/>
      <c r="BV38" s="9"/>
      <c r="BW38" s="9"/>
      <c r="BX38" s="9"/>
      <c r="BY38" s="9"/>
      <c r="BZ38" s="9"/>
      <c r="CA38" s="7"/>
      <c r="CB38" s="4"/>
    </row>
    <row r="39" spans="5: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5: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c r="CB40" s="4"/>
    </row>
    <row r="41" spans="5:80" s="2" customFormat="1" x14ac:dyDescent="0.2">
      <c r="E41" s="15"/>
      <c r="F41" s="4"/>
      <c r="G41" s="4"/>
      <c r="H41" s="4"/>
      <c r="I41" s="4"/>
      <c r="J41" s="4"/>
      <c r="K41" s="4"/>
      <c r="L41" s="4"/>
      <c r="M41" s="6"/>
      <c r="N41" s="4"/>
      <c r="O41" s="4"/>
      <c r="P41" s="4"/>
      <c r="Q41" s="4"/>
      <c r="R41" s="4"/>
      <c r="S41" s="4"/>
      <c r="T41" s="4"/>
      <c r="U41" s="6"/>
      <c r="V41" s="4"/>
      <c r="W41" s="4"/>
      <c r="X41" s="4"/>
      <c r="Y41" s="4"/>
      <c r="Z41" s="4"/>
      <c r="AA41" s="4"/>
      <c r="AB41" s="4"/>
      <c r="AC41" s="6"/>
      <c r="AD41" s="4"/>
      <c r="AE41" s="4"/>
      <c r="AF41" s="4"/>
      <c r="AG41" s="4"/>
      <c r="AH41" s="4"/>
      <c r="AI41" s="4"/>
      <c r="AJ41" s="4"/>
      <c r="AK41" s="6"/>
      <c r="AL41" s="4"/>
      <c r="AM41" s="4"/>
      <c r="AN41" s="4"/>
      <c r="AO41" s="4"/>
      <c r="AP41" s="4"/>
      <c r="AQ41" s="4"/>
      <c r="AR41" s="4"/>
      <c r="AS41" s="6"/>
      <c r="AT41" s="4"/>
      <c r="AU41" s="4"/>
      <c r="AV41" s="4"/>
      <c r="AW41" s="4"/>
      <c r="AX41" s="4"/>
      <c r="AY41" s="4"/>
      <c r="AZ41" s="4"/>
      <c r="BA41" s="6"/>
      <c r="BB41" s="4"/>
      <c r="BC41" s="4"/>
      <c r="BD41" s="4"/>
      <c r="BE41" s="4"/>
      <c r="BF41" s="4"/>
      <c r="BG41" s="4"/>
      <c r="BH41" s="4"/>
      <c r="BI41" s="6"/>
      <c r="BJ41" s="4"/>
      <c r="BK41" s="4"/>
      <c r="BL41" s="4"/>
      <c r="BM41" s="4"/>
      <c r="BN41" s="4"/>
      <c r="BO41" s="4"/>
      <c r="BP41" s="16"/>
      <c r="BQ41" s="4"/>
      <c r="BS41" s="7"/>
      <c r="BT41" s="8"/>
      <c r="BU41" s="8"/>
      <c r="BV41" s="8"/>
      <c r="BW41" s="8"/>
      <c r="BX41" s="8"/>
      <c r="BY41" s="8"/>
      <c r="BZ41" s="8"/>
      <c r="CA41" s="8"/>
      <c r="CB41" s="4"/>
    </row>
    <row r="42" spans="5:80" s="2" customFormat="1" x14ac:dyDescent="0.2">
      <c r="E42" s="15"/>
      <c r="F42" s="4"/>
      <c r="G42" s="4"/>
      <c r="H42" s="4"/>
      <c r="I42" s="4"/>
      <c r="J42" s="4"/>
      <c r="K42" s="4"/>
      <c r="L42" s="4"/>
      <c r="M42" s="6"/>
      <c r="N42" s="4"/>
      <c r="O42" s="4"/>
      <c r="P42" s="4"/>
      <c r="Q42" s="4"/>
      <c r="R42" s="4"/>
      <c r="S42" s="4"/>
      <c r="T42" s="4"/>
      <c r="U42" s="6"/>
      <c r="V42" s="4"/>
      <c r="W42" s="4"/>
      <c r="X42" s="4"/>
      <c r="Y42" s="4"/>
      <c r="Z42" s="4"/>
      <c r="AA42" s="4"/>
      <c r="AB42" s="4"/>
      <c r="AC42" s="6"/>
      <c r="AD42" s="4"/>
      <c r="AE42" s="4"/>
      <c r="AF42" s="4"/>
      <c r="AG42" s="4"/>
      <c r="AH42" s="4"/>
      <c r="AI42" s="4"/>
      <c r="AJ42" s="4"/>
      <c r="AK42" s="6"/>
      <c r="AL42" s="4"/>
      <c r="AM42" s="4"/>
      <c r="AN42" s="4"/>
      <c r="AO42" s="4"/>
      <c r="AP42" s="4"/>
      <c r="AQ42" s="4"/>
      <c r="AR42" s="4"/>
      <c r="AS42" s="6"/>
      <c r="AT42" s="4"/>
      <c r="AU42" s="4"/>
      <c r="AV42" s="4"/>
      <c r="AW42" s="4"/>
      <c r="AX42" s="4"/>
      <c r="AY42" s="4"/>
      <c r="AZ42" s="4"/>
      <c r="BA42" s="6"/>
      <c r="BB42" s="4"/>
      <c r="BC42" s="4"/>
      <c r="BD42" s="4"/>
      <c r="BE42" s="4"/>
      <c r="BF42" s="4"/>
      <c r="BG42" s="4"/>
      <c r="BH42" s="4"/>
      <c r="BI42" s="6"/>
      <c r="BJ42" s="4"/>
      <c r="BK42" s="4"/>
      <c r="BL42" s="4"/>
      <c r="BM42" s="4"/>
      <c r="BN42" s="4"/>
      <c r="BO42" s="4"/>
      <c r="BP42" s="16"/>
      <c r="BQ42" s="4"/>
      <c r="BS42" s="9"/>
      <c r="BT42" s="7"/>
      <c r="BU42" s="8"/>
      <c r="BV42" s="8"/>
      <c r="BW42" s="8"/>
      <c r="BX42" s="8"/>
      <c r="BY42" s="8"/>
      <c r="BZ42" s="8"/>
      <c r="CA42" s="8"/>
      <c r="CB42" s="4"/>
    </row>
    <row r="43" spans="5:80" s="2" customFormat="1" x14ac:dyDescent="0.2">
      <c r="E43" s="15"/>
      <c r="F43" s="4"/>
      <c r="G43" s="4"/>
      <c r="H43" s="4"/>
      <c r="I43" s="4"/>
      <c r="J43" s="4"/>
      <c r="K43" s="4"/>
      <c r="L43" s="4"/>
      <c r="M43" s="6"/>
      <c r="N43" s="4"/>
      <c r="O43" s="4"/>
      <c r="P43" s="4"/>
      <c r="Q43" s="4"/>
      <c r="R43" s="4"/>
      <c r="S43" s="4"/>
      <c r="T43" s="4"/>
      <c r="U43" s="6"/>
      <c r="V43" s="4"/>
      <c r="W43" s="4"/>
      <c r="X43" s="4"/>
      <c r="Y43" s="4"/>
      <c r="Z43" s="4"/>
      <c r="AA43" s="4"/>
      <c r="AB43" s="4"/>
      <c r="AC43" s="6"/>
      <c r="AD43" s="4"/>
      <c r="AE43" s="4"/>
      <c r="AF43" s="4"/>
      <c r="AG43" s="4"/>
      <c r="AH43" s="4"/>
      <c r="AI43" s="4"/>
      <c r="AJ43" s="4"/>
      <c r="AK43" s="6"/>
      <c r="AL43" s="4"/>
      <c r="AM43" s="4"/>
      <c r="AN43" s="4"/>
      <c r="AO43" s="4"/>
      <c r="AP43" s="4"/>
      <c r="AQ43" s="4"/>
      <c r="AR43" s="4"/>
      <c r="AS43" s="6"/>
      <c r="AT43" s="4"/>
      <c r="AU43" s="4"/>
      <c r="AV43" s="4"/>
      <c r="AW43" s="4"/>
      <c r="AX43" s="4"/>
      <c r="AY43" s="4"/>
      <c r="AZ43" s="4"/>
      <c r="BA43" s="6"/>
      <c r="BB43" s="4"/>
      <c r="BC43" s="4"/>
      <c r="BD43" s="4"/>
      <c r="BE43" s="4"/>
      <c r="BF43" s="4"/>
      <c r="BG43" s="4"/>
      <c r="BH43" s="4"/>
      <c r="BI43" s="6"/>
      <c r="BJ43" s="4"/>
      <c r="BK43" s="4"/>
      <c r="BL43" s="4"/>
      <c r="BM43" s="4"/>
      <c r="BN43" s="4"/>
      <c r="BO43" s="4"/>
      <c r="BP43" s="16"/>
      <c r="BQ43" s="4"/>
      <c r="BS43" s="9"/>
      <c r="BT43" s="9"/>
      <c r="BU43" s="7"/>
      <c r="BV43" s="8"/>
      <c r="BW43" s="8"/>
      <c r="BX43" s="8"/>
      <c r="BY43" s="8"/>
      <c r="BZ43" s="8"/>
      <c r="CA43" s="8"/>
      <c r="CB43" s="4"/>
    </row>
    <row r="44" spans="5:80" s="2" customFormat="1" x14ac:dyDescent="0.2">
      <c r="E44" s="15"/>
      <c r="F44" s="4"/>
      <c r="G44" s="4"/>
      <c r="H44" s="4"/>
      <c r="I44" s="4"/>
      <c r="J44" s="4"/>
      <c r="K44" s="4"/>
      <c r="L44" s="4"/>
      <c r="M44" s="6"/>
      <c r="N44" s="4"/>
      <c r="O44" s="4"/>
      <c r="P44" s="4"/>
      <c r="Q44" s="4"/>
      <c r="R44" s="4"/>
      <c r="S44" s="4"/>
      <c r="T44" s="4"/>
      <c r="U44" s="6"/>
      <c r="V44" s="4"/>
      <c r="W44" s="4"/>
      <c r="X44" s="4"/>
      <c r="Y44" s="4"/>
      <c r="Z44" s="4"/>
      <c r="AA44" s="4"/>
      <c r="AB44" s="4"/>
      <c r="AC44" s="6"/>
      <c r="AD44" s="4"/>
      <c r="AE44" s="4"/>
      <c r="AF44" s="4"/>
      <c r="AG44" s="4"/>
      <c r="AH44" s="4"/>
      <c r="AI44" s="4"/>
      <c r="AJ44" s="4"/>
      <c r="AK44" s="6"/>
      <c r="AL44" s="4"/>
      <c r="AM44" s="4"/>
      <c r="AN44" s="4"/>
      <c r="AO44" s="4"/>
      <c r="AP44" s="4"/>
      <c r="AQ44" s="4"/>
      <c r="AR44" s="4"/>
      <c r="AS44" s="6"/>
      <c r="AT44" s="4"/>
      <c r="AU44" s="4"/>
      <c r="AV44" s="4"/>
      <c r="AW44" s="4"/>
      <c r="AX44" s="4"/>
      <c r="AY44" s="4"/>
      <c r="AZ44" s="4"/>
      <c r="BA44" s="6"/>
      <c r="BB44" s="4"/>
      <c r="BC44" s="4"/>
      <c r="BD44" s="4"/>
      <c r="BE44" s="4"/>
      <c r="BF44" s="4"/>
      <c r="BG44" s="4"/>
      <c r="BH44" s="4"/>
      <c r="BI44" s="6"/>
      <c r="BJ44" s="4"/>
      <c r="BK44" s="4"/>
      <c r="BL44" s="4"/>
      <c r="BM44" s="4"/>
      <c r="BN44" s="4"/>
      <c r="BO44" s="4"/>
      <c r="BP44" s="16"/>
      <c r="BQ44" s="4"/>
      <c r="BS44" s="9"/>
      <c r="BT44" s="9"/>
      <c r="BU44" s="9"/>
      <c r="BV44" s="7"/>
      <c r="BW44" s="8"/>
      <c r="BX44" s="8"/>
      <c r="BY44" s="8"/>
      <c r="BZ44" s="8"/>
      <c r="CA44" s="8"/>
      <c r="CB44" s="4"/>
    </row>
    <row r="45" spans="5:80" s="2" customFormat="1" x14ac:dyDescent="0.2">
      <c r="E45" s="15"/>
      <c r="F45" s="4"/>
      <c r="G45" s="4"/>
      <c r="H45" s="4"/>
      <c r="I45" s="4"/>
      <c r="J45" s="4"/>
      <c r="K45" s="4"/>
      <c r="L45" s="4"/>
      <c r="M45" s="6"/>
      <c r="N45" s="4"/>
      <c r="O45" s="4"/>
      <c r="P45" s="4"/>
      <c r="Q45" s="4"/>
      <c r="R45" s="4"/>
      <c r="S45" s="4"/>
      <c r="T45" s="4"/>
      <c r="U45" s="6"/>
      <c r="V45" s="4"/>
      <c r="W45" s="4"/>
      <c r="X45" s="4"/>
      <c r="Y45" s="4"/>
      <c r="Z45" s="4"/>
      <c r="AA45" s="4"/>
      <c r="AB45" s="4"/>
      <c r="AC45" s="6"/>
      <c r="AD45" s="4"/>
      <c r="AE45" s="4"/>
      <c r="AF45" s="4"/>
      <c r="AG45" s="4"/>
      <c r="AH45" s="4"/>
      <c r="AI45" s="4"/>
      <c r="AJ45" s="4"/>
      <c r="AK45" s="6"/>
      <c r="AL45" s="4"/>
      <c r="AM45" s="4"/>
      <c r="AN45" s="4"/>
      <c r="AO45" s="4"/>
      <c r="AP45" s="4"/>
      <c r="AQ45" s="4"/>
      <c r="AR45" s="4"/>
      <c r="AS45" s="6"/>
      <c r="AT45" s="4"/>
      <c r="AU45" s="4"/>
      <c r="AV45" s="4"/>
      <c r="AW45" s="4"/>
      <c r="AX45" s="4"/>
      <c r="AY45" s="4"/>
      <c r="AZ45" s="4"/>
      <c r="BA45" s="6"/>
      <c r="BB45" s="4"/>
      <c r="BC45" s="4"/>
      <c r="BD45" s="4"/>
      <c r="BE45" s="4"/>
      <c r="BF45" s="4"/>
      <c r="BG45" s="4"/>
      <c r="BH45" s="4"/>
      <c r="BI45" s="6"/>
      <c r="BJ45" s="4"/>
      <c r="BK45" s="4"/>
      <c r="BL45" s="4"/>
      <c r="BM45" s="4"/>
      <c r="BN45" s="4"/>
      <c r="BO45" s="4"/>
      <c r="BP45" s="16"/>
      <c r="BQ45" s="4"/>
      <c r="BS45" s="9"/>
      <c r="BT45" s="9"/>
      <c r="BU45" s="9"/>
      <c r="BV45" s="9"/>
      <c r="BW45" s="7"/>
      <c r="BX45" s="8"/>
      <c r="BY45" s="8"/>
      <c r="BZ45" s="8"/>
      <c r="CA45" s="8"/>
      <c r="CB45" s="4"/>
    </row>
    <row r="46" spans="5:80" s="2" customFormat="1" x14ac:dyDescent="0.2">
      <c r="E46" s="15"/>
      <c r="F46" s="4"/>
      <c r="G46" s="4"/>
      <c r="H46" s="4"/>
      <c r="I46" s="4"/>
      <c r="J46" s="4"/>
      <c r="K46" s="4"/>
      <c r="L46" s="4"/>
      <c r="M46" s="6"/>
      <c r="N46" s="4"/>
      <c r="O46" s="4"/>
      <c r="P46" s="4"/>
      <c r="Q46" s="4"/>
      <c r="R46" s="4"/>
      <c r="S46" s="4"/>
      <c r="T46" s="4"/>
      <c r="U46" s="6"/>
      <c r="V46" s="4"/>
      <c r="W46" s="4"/>
      <c r="X46" s="4"/>
      <c r="Y46" s="4"/>
      <c r="Z46" s="4"/>
      <c r="AA46" s="4"/>
      <c r="AB46" s="4"/>
      <c r="AC46" s="6"/>
      <c r="AD46" s="4"/>
      <c r="AE46" s="4"/>
      <c r="AF46" s="4"/>
      <c r="AG46" s="4"/>
      <c r="AH46" s="4"/>
      <c r="AI46" s="4"/>
      <c r="AJ46" s="4"/>
      <c r="AK46" s="6"/>
      <c r="AL46" s="4"/>
      <c r="AM46" s="4"/>
      <c r="AN46" s="4"/>
      <c r="AO46" s="4"/>
      <c r="AP46" s="4"/>
      <c r="AQ46" s="4"/>
      <c r="AR46" s="4"/>
      <c r="AS46" s="6"/>
      <c r="AT46" s="4"/>
      <c r="AU46" s="4"/>
      <c r="AV46" s="4"/>
      <c r="AW46" s="4"/>
      <c r="AX46" s="4"/>
      <c r="AY46" s="4"/>
      <c r="AZ46" s="4"/>
      <c r="BA46" s="6"/>
      <c r="BB46" s="4"/>
      <c r="BC46" s="4"/>
      <c r="BD46" s="4"/>
      <c r="BE46" s="4"/>
      <c r="BF46" s="4"/>
      <c r="BG46" s="4"/>
      <c r="BH46" s="4"/>
      <c r="BI46" s="6"/>
      <c r="BJ46" s="4"/>
      <c r="BK46" s="4"/>
      <c r="BL46" s="4"/>
      <c r="BM46" s="4"/>
      <c r="BN46" s="4"/>
      <c r="BO46" s="4"/>
      <c r="BP46" s="16"/>
      <c r="BQ46" s="4"/>
      <c r="BS46" s="9"/>
      <c r="BT46" s="9"/>
      <c r="BU46" s="9"/>
      <c r="BV46" s="9"/>
      <c r="BW46" s="9"/>
      <c r="BX46" s="7"/>
      <c r="BY46" s="8"/>
      <c r="BZ46" s="8"/>
      <c r="CA46" s="8"/>
      <c r="CB46" s="4"/>
    </row>
    <row r="47" spans="5:80" s="2" customFormat="1" x14ac:dyDescent="0.2">
      <c r="E47" s="15"/>
      <c r="F47" s="4"/>
      <c r="G47" s="4"/>
      <c r="H47" s="4"/>
      <c r="I47" s="4"/>
      <c r="J47" s="4"/>
      <c r="K47" s="4"/>
      <c r="L47" s="4"/>
      <c r="M47" s="6"/>
      <c r="N47" s="4"/>
      <c r="O47" s="4"/>
      <c r="P47" s="4"/>
      <c r="Q47" s="4"/>
      <c r="R47" s="4"/>
      <c r="S47" s="4"/>
      <c r="T47" s="4"/>
      <c r="U47" s="6"/>
      <c r="V47" s="4"/>
      <c r="W47" s="4"/>
      <c r="X47" s="4"/>
      <c r="Y47" s="4"/>
      <c r="Z47" s="4"/>
      <c r="AA47" s="4"/>
      <c r="AB47" s="4"/>
      <c r="AC47" s="6"/>
      <c r="AD47" s="4"/>
      <c r="AE47" s="4"/>
      <c r="AF47" s="4"/>
      <c r="AG47" s="4"/>
      <c r="AH47" s="4"/>
      <c r="AI47" s="4"/>
      <c r="AJ47" s="4"/>
      <c r="AK47" s="6"/>
      <c r="AL47" s="4"/>
      <c r="AM47" s="4"/>
      <c r="AN47" s="4"/>
      <c r="AO47" s="4"/>
      <c r="AP47" s="4"/>
      <c r="AQ47" s="4"/>
      <c r="AR47" s="4"/>
      <c r="AS47" s="6"/>
      <c r="AT47" s="4"/>
      <c r="AU47" s="4"/>
      <c r="AV47" s="4"/>
      <c r="AW47" s="4"/>
      <c r="AX47" s="4"/>
      <c r="AY47" s="4"/>
      <c r="AZ47" s="4"/>
      <c r="BA47" s="6"/>
      <c r="BB47" s="4"/>
      <c r="BC47" s="4"/>
      <c r="BD47" s="4"/>
      <c r="BE47" s="4"/>
      <c r="BF47" s="4"/>
      <c r="BG47" s="4"/>
      <c r="BH47" s="4"/>
      <c r="BI47" s="6"/>
      <c r="BJ47" s="4"/>
      <c r="BK47" s="4"/>
      <c r="BL47" s="4"/>
      <c r="BM47" s="4"/>
      <c r="BN47" s="4"/>
      <c r="BO47" s="4"/>
      <c r="BP47" s="16"/>
      <c r="BQ47" s="4"/>
      <c r="BS47" s="9"/>
      <c r="BT47" s="9"/>
      <c r="BU47" s="9"/>
      <c r="BV47" s="9"/>
      <c r="BW47" s="9"/>
      <c r="BX47" s="9"/>
      <c r="BY47" s="7"/>
      <c r="BZ47" s="8"/>
      <c r="CA47" s="8"/>
      <c r="CB47" s="4"/>
    </row>
    <row r="48" spans="5:80" s="2" customFormat="1" x14ac:dyDescent="0.2">
      <c r="E48" s="15"/>
      <c r="F48" s="4"/>
      <c r="G48" s="4"/>
      <c r="H48" s="4"/>
      <c r="I48" s="4"/>
      <c r="J48" s="4"/>
      <c r="K48" s="4"/>
      <c r="L48" s="4"/>
      <c r="M48" s="6"/>
      <c r="N48" s="4"/>
      <c r="O48" s="4"/>
      <c r="P48" s="4"/>
      <c r="Q48" s="4"/>
      <c r="R48" s="4"/>
      <c r="S48" s="4"/>
      <c r="T48" s="4"/>
      <c r="U48" s="6"/>
      <c r="V48" s="4"/>
      <c r="W48" s="4"/>
      <c r="X48" s="4"/>
      <c r="Y48" s="4"/>
      <c r="Z48" s="4"/>
      <c r="AA48" s="4"/>
      <c r="AB48" s="4"/>
      <c r="AC48" s="6"/>
      <c r="AD48" s="4"/>
      <c r="AE48" s="4"/>
      <c r="AF48" s="4"/>
      <c r="AG48" s="4"/>
      <c r="AH48" s="4"/>
      <c r="AI48" s="4"/>
      <c r="AJ48" s="4"/>
      <c r="AK48" s="6"/>
      <c r="AL48" s="4"/>
      <c r="AM48" s="4"/>
      <c r="AN48" s="4"/>
      <c r="AO48" s="4"/>
      <c r="AP48" s="4"/>
      <c r="AQ48" s="4"/>
      <c r="AR48" s="4"/>
      <c r="AS48" s="6"/>
      <c r="AT48" s="4"/>
      <c r="AU48" s="4"/>
      <c r="AV48" s="4"/>
      <c r="AW48" s="4"/>
      <c r="AX48" s="4"/>
      <c r="AY48" s="4"/>
      <c r="AZ48" s="4"/>
      <c r="BA48" s="6"/>
      <c r="BB48" s="4"/>
      <c r="BC48" s="4"/>
      <c r="BD48" s="4"/>
      <c r="BE48" s="4"/>
      <c r="BF48" s="4"/>
      <c r="BG48" s="4"/>
      <c r="BH48" s="4"/>
      <c r="BI48" s="6"/>
      <c r="BJ48" s="4"/>
      <c r="BK48" s="4"/>
      <c r="BL48" s="4"/>
      <c r="BM48" s="4"/>
      <c r="BN48" s="4"/>
      <c r="BO48" s="4"/>
      <c r="BP48" s="16"/>
      <c r="BQ48" s="4"/>
      <c r="BS48" s="9"/>
      <c r="BT48" s="9"/>
      <c r="BU48" s="9"/>
      <c r="BV48" s="9"/>
      <c r="BW48" s="9"/>
      <c r="BX48" s="9"/>
      <c r="BY48" s="9"/>
      <c r="BZ48" s="7"/>
      <c r="CA48" s="8"/>
      <c r="CB48" s="4"/>
    </row>
    <row r="49" spans="5:80" s="2" customFormat="1" x14ac:dyDescent="0.2">
      <c r="E49" s="15"/>
      <c r="F49" s="4"/>
      <c r="G49" s="4"/>
      <c r="H49" s="4"/>
      <c r="I49" s="4"/>
      <c r="J49" s="4"/>
      <c r="K49" s="4"/>
      <c r="L49" s="4"/>
      <c r="M49" s="6"/>
      <c r="N49" s="4"/>
      <c r="O49" s="4"/>
      <c r="P49" s="4"/>
      <c r="Q49" s="4"/>
      <c r="R49" s="4"/>
      <c r="S49" s="4"/>
      <c r="T49" s="4"/>
      <c r="U49" s="6"/>
      <c r="V49" s="4"/>
      <c r="W49" s="4"/>
      <c r="X49" s="4"/>
      <c r="Y49" s="4"/>
      <c r="Z49" s="4"/>
      <c r="AA49" s="4"/>
      <c r="AB49" s="4"/>
      <c r="AC49" s="6"/>
      <c r="AD49" s="4"/>
      <c r="AE49" s="4"/>
      <c r="AF49" s="4"/>
      <c r="AG49" s="4"/>
      <c r="AH49" s="4"/>
      <c r="AI49" s="4"/>
      <c r="AJ49" s="4"/>
      <c r="AK49" s="6"/>
      <c r="AL49" s="4"/>
      <c r="AM49" s="4"/>
      <c r="AN49" s="4"/>
      <c r="AO49" s="4"/>
      <c r="AP49" s="4"/>
      <c r="AQ49" s="4"/>
      <c r="AR49" s="4"/>
      <c r="AS49" s="6"/>
      <c r="AT49" s="4"/>
      <c r="AU49" s="4"/>
      <c r="AV49" s="4"/>
      <c r="AW49" s="4"/>
      <c r="AX49" s="4"/>
      <c r="AY49" s="4"/>
      <c r="AZ49" s="4"/>
      <c r="BA49" s="6"/>
      <c r="BB49" s="4"/>
      <c r="BC49" s="4"/>
      <c r="BD49" s="4"/>
      <c r="BE49" s="4"/>
      <c r="BF49" s="4"/>
      <c r="BG49" s="4"/>
      <c r="BH49" s="4"/>
      <c r="BI49" s="6"/>
      <c r="BJ49" s="4"/>
      <c r="BK49" s="4"/>
      <c r="BL49" s="4"/>
      <c r="BM49" s="4"/>
      <c r="BN49" s="4"/>
      <c r="BO49" s="4"/>
      <c r="BP49" s="16"/>
      <c r="BQ49" s="4"/>
      <c r="BS49" s="9"/>
      <c r="BT49" s="9"/>
      <c r="BU49" s="9"/>
      <c r="BV49" s="9"/>
      <c r="BW49" s="9"/>
      <c r="BX49" s="9"/>
      <c r="BY49" s="9"/>
      <c r="BZ49" s="9"/>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S52" s="7"/>
      <c r="BT52" s="8"/>
      <c r="BU52" s="8"/>
      <c r="BV52" s="8"/>
      <c r="BW52" s="8"/>
      <c r="BX52" s="8"/>
      <c r="BY52" s="8"/>
      <c r="BZ52" s="8"/>
      <c r="CA52" s="8"/>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S53" s="9"/>
      <c r="BT53" s="7"/>
      <c r="BU53" s="8"/>
      <c r="BV53" s="8"/>
      <c r="BW53" s="8"/>
      <c r="BX53" s="8"/>
      <c r="BY53" s="8"/>
      <c r="BZ53" s="8"/>
      <c r="CA53" s="8"/>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S54" s="9"/>
      <c r="BT54" s="9"/>
      <c r="BU54" s="7"/>
      <c r="BV54" s="8"/>
      <c r="BW54" s="8"/>
      <c r="BX54" s="8"/>
      <c r="BY54" s="8"/>
      <c r="BZ54" s="8"/>
      <c r="CA54" s="8"/>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S55" s="9"/>
      <c r="BT55" s="9"/>
      <c r="BU55" s="9"/>
      <c r="BV55" s="7"/>
      <c r="BW55" s="8"/>
      <c r="BX55" s="8"/>
      <c r="BY55" s="8"/>
      <c r="BZ55" s="8"/>
      <c r="CA55" s="8"/>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S56" s="9"/>
      <c r="BT56" s="9"/>
      <c r="BU56" s="9"/>
      <c r="BV56" s="9"/>
      <c r="BW56" s="7"/>
      <c r="BX56" s="8"/>
      <c r="BY56" s="8"/>
      <c r="BZ56" s="8"/>
      <c r="CA56" s="8"/>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S57" s="9"/>
      <c r="BT57" s="9"/>
      <c r="BU57" s="9"/>
      <c r="BV57" s="9"/>
      <c r="BW57" s="9"/>
      <c r="BX57" s="7"/>
      <c r="BY57" s="8"/>
      <c r="BZ57" s="8"/>
      <c r="CA57" s="8"/>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S58" s="9"/>
      <c r="BT58" s="9"/>
      <c r="BU58" s="9"/>
      <c r="BV58" s="9"/>
      <c r="BW58" s="9"/>
      <c r="BX58" s="9"/>
      <c r="BY58" s="7"/>
      <c r="BZ58" s="8"/>
      <c r="CA58" s="8"/>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S59" s="9"/>
      <c r="BT59" s="9"/>
      <c r="BU59" s="9"/>
      <c r="BV59" s="9"/>
      <c r="BW59" s="9"/>
      <c r="BX59" s="9"/>
      <c r="BY59" s="9"/>
      <c r="BZ59" s="7"/>
      <c r="CA59" s="8"/>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S60" s="9"/>
      <c r="BT60" s="9"/>
      <c r="BU60" s="9"/>
      <c r="BV60" s="9"/>
      <c r="BW60" s="9"/>
      <c r="BX60" s="9"/>
      <c r="BY60" s="9"/>
      <c r="BZ60" s="9"/>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8" t="s">
        <v>167</v>
      </c>
      <c r="X63" s="1000" t="s">
        <v>374</v>
      </c>
      <c r="Y63" s="1000"/>
      <c r="Z63" s="161" t="s">
        <v>152</v>
      </c>
      <c r="AA63" s="161" t="s">
        <v>15</v>
      </c>
      <c r="AB63" s="161"/>
      <c r="AC63" s="703"/>
      <c r="AD63" s="161"/>
      <c r="AE63" s="994" t="s">
        <v>379</v>
      </c>
      <c r="AF63" s="994"/>
      <c r="AG63" s="1001" t="s">
        <v>375</v>
      </c>
      <c r="AH63" s="1001"/>
      <c r="AI63" s="652" t="s">
        <v>380</v>
      </c>
      <c r="AJ63" s="4"/>
      <c r="AK63" s="4"/>
      <c r="AL63" s="4"/>
      <c r="AM63" s="4"/>
      <c r="AN63" s="4"/>
      <c r="AO63" s="4"/>
      <c r="AP63" s="4"/>
      <c r="AQ63" s="4"/>
      <c r="AR63" s="4"/>
    </row>
    <row r="64" spans="5:80" s="2" customFormat="1" ht="14.25" thickTop="1" thickBot="1" x14ac:dyDescent="0.25">
      <c r="F64" s="189">
        <v>1000000</v>
      </c>
      <c r="G64" s="190" t="s">
        <v>109</v>
      </c>
      <c r="P64" s="721"/>
      <c r="Q64" s="722"/>
      <c r="U64" s="65" t="s">
        <v>6</v>
      </c>
      <c r="V64" s="39" t="str">
        <f ca="1">'Endrunde 4'!$H12</f>
        <v/>
      </c>
      <c r="W64" s="32" t="str">
        <f ca="1">'Endrunde 4'!$J12</f>
        <v/>
      </c>
      <c r="X64" s="32" t="str">
        <f ca="1">IF($AA64=1,'Endrunde 4'!$K12,"")</f>
        <v/>
      </c>
      <c r="Y64" s="33" t="str">
        <f ca="1">IF($AA64=1,'Endrunde 4'!$M12,"")</f>
        <v/>
      </c>
      <c r="Z64" s="31" t="str">
        <f ca="1">V64&amp;W64</f>
        <v/>
      </c>
      <c r="AA64" s="32">
        <f ca="1">IF(AND('Endrunde 4'!$K12&lt;&gt;"",'Endrunde 4'!$M12&lt;&gt;"",'Endrunde 4'!$K12&lt;&gt;'Endrunde 4'!$M12,OR(AND('Endrunde 4'!$N12="",'Endrunde 4'!$P12=""),AND('Endrunde 4'!$N12&lt;&gt;"",'Endrunde 4'!$P12&lt;&gt;"",'Endrunde 4'!$N12&lt;&gt;'Endrunde 4'!$P12)),'Endrunde 4'!$H12&lt;&gt;"",'Endrunde 4'!$J12&lt;&gt;"",'Endrunde 4'!$H12&lt;&gt;'Endrunde 4'!$J12),1,0)</f>
        <v>0</v>
      </c>
      <c r="AB64" s="139"/>
      <c r="AD64" s="140"/>
      <c r="AE64" s="145">
        <f ca="1">IF($AA64=0,0,IF($X64&gt;$Y64,1,0)+IF($AG64&gt;$AH64,1,0))</f>
        <v>0</v>
      </c>
      <c r="AF64" s="140">
        <f ca="1">IF($AA64=0,0,IF($X64&lt;$Y64,1,0)+IF($AG64&lt;$AH64,1,0))</f>
        <v>0</v>
      </c>
      <c r="AG64" s="145" t="str">
        <f ca="1">IF($AA64=1,'Endrunde 4'!$N12,"")</f>
        <v/>
      </c>
      <c r="AH64" s="140" t="str">
        <f ca="1">IF($AA64=1,'Endrunde 4'!$P12,"")</f>
        <v/>
      </c>
      <c r="AI64" s="140" t="str">
        <f ca="1">IF(AA64&gt;0,AE64&amp;Sprache!$E$90&amp;AF64,"")</f>
        <v/>
      </c>
      <c r="AJ64" s="4"/>
      <c r="AK64" s="4"/>
      <c r="AL64" s="4"/>
      <c r="AM64" s="4"/>
      <c r="AN64" s="4"/>
      <c r="AO64" s="4"/>
      <c r="AP64" s="4"/>
      <c r="AQ64" s="4"/>
      <c r="AR64" s="4"/>
    </row>
    <row r="65" spans="2:43" s="2" customFormat="1" ht="13.5" thickBot="1" x14ac:dyDescent="0.25">
      <c r="F65" s="191">
        <v>1000</v>
      </c>
      <c r="G65" s="192" t="s">
        <v>108</v>
      </c>
      <c r="H65" s="196">
        <v>500</v>
      </c>
      <c r="I65" s="195" t="s">
        <v>367</v>
      </c>
      <c r="P65" s="721"/>
      <c r="Q65" s="722"/>
      <c r="U65" s="66" t="s">
        <v>7</v>
      </c>
      <c r="V65" s="40" t="str">
        <f ca="1">'Endrunde 4'!$H13</f>
        <v>FC Barcelona</v>
      </c>
      <c r="W65" s="13" t="str">
        <f ca="1">'Endrunde 4'!$J13</f>
        <v>Manchester City</v>
      </c>
      <c r="X65" s="13">
        <f ca="1">IF($AA65=1,'Endrunde 4'!$K13,"")</f>
        <v>21</v>
      </c>
      <c r="Y65" s="35">
        <f ca="1">IF($AA65=1,'Endrunde 4'!$M13,"")</f>
        <v>25</v>
      </c>
      <c r="Z65" s="34" t="str">
        <f t="shared" ref="Z65:Z73" ca="1" si="0">V65&amp;W65</f>
        <v>FC BarcelonaManchester City</v>
      </c>
      <c r="AA65" s="13">
        <f ca="1">IF(AND('Endrunde 4'!$K13&lt;&gt;"",'Endrunde 4'!$M13&lt;&gt;"",'Endrunde 4'!$K13&lt;&gt;'Endrunde 4'!$M13,OR(AND('Endrunde 4'!$N13="",'Endrunde 4'!$P13=""),AND('Endrunde 4'!$N13&lt;&gt;"",'Endrunde 4'!$P13&lt;&gt;"",'Endrunde 4'!$N13&lt;&gt;'Endrunde 4'!$P13)),'Endrunde 4'!$H13&lt;&gt;"",'Endrunde 4'!$J13&lt;&gt;"",'Endrunde 4'!$H13&lt;&gt;'Endrunde 4'!$J13),1,0)</f>
        <v>1</v>
      </c>
      <c r="AB65" s="13"/>
      <c r="AD65" s="141"/>
      <c r="AE65" s="146">
        <f t="shared" ref="AE65:AE99" ca="1" si="1">IF($AA65=0,0,IF($X65&gt;$Y65,1,0)+IF($AG65&gt;$AH65,1,0))</f>
        <v>0</v>
      </c>
      <c r="AF65" s="141">
        <f t="shared" ref="AF65:AF99" ca="1" si="2">IF($AA65=0,0,IF($X65&lt;$Y65,1,0)+IF($AG65&lt;$AH65,1,0))</f>
        <v>2</v>
      </c>
      <c r="AG65" s="146">
        <f ca="1">IF($AA65=1,'Endrunde 4'!$N13,"")</f>
        <v>20</v>
      </c>
      <c r="AH65" s="141">
        <f ca="1">IF($AA65=1,'Endrunde 4'!$P13,"")</f>
        <v>25</v>
      </c>
      <c r="AI65" s="141" t="str">
        <f ca="1">IF(AA65&gt;0,AE65&amp;Sprache!$E$90&amp;AF65,"")</f>
        <v>0:2</v>
      </c>
      <c r="AJ65" s="13"/>
      <c r="AK65" s="13"/>
      <c r="AL65" s="13"/>
      <c r="AM65" s="13"/>
      <c r="AN65" s="13"/>
      <c r="AO65" s="13"/>
      <c r="AP65" s="13"/>
      <c r="AQ65" s="13"/>
    </row>
    <row r="66" spans="2:43" s="2" customFormat="1" ht="13.5" thickBot="1" x14ac:dyDescent="0.25">
      <c r="F66" s="193">
        <v>1</v>
      </c>
      <c r="G66" s="194" t="s">
        <v>106</v>
      </c>
      <c r="P66" s="721"/>
      <c r="Q66" s="722"/>
      <c r="U66" s="66" t="s">
        <v>8</v>
      </c>
      <c r="V66" s="40" t="str">
        <f ca="1">'Endrunde 4'!$H14</f>
        <v>Maibach 1822 eV</v>
      </c>
      <c r="W66" s="13" t="str">
        <f ca="1">'Endrunde 4'!$J14</f>
        <v>Inter Mailand</v>
      </c>
      <c r="X66" s="13">
        <f ca="1">IF($AA66=1,'Endrunde 4'!$K14,"")</f>
        <v>25</v>
      </c>
      <c r="Y66" s="35">
        <f ca="1">IF($AA66=1,'Endrunde 4'!$M14,"")</f>
        <v>21</v>
      </c>
      <c r="Z66" s="34" t="str">
        <f t="shared" ca="1" si="0"/>
        <v>Maibach 1822 eVInter Mailand</v>
      </c>
      <c r="AA66" s="13">
        <f ca="1">IF(AND('Endrunde 4'!$K14&lt;&gt;"",'Endrunde 4'!$M14&lt;&gt;"",'Endrunde 4'!$K14&lt;&gt;'Endrunde 4'!$M14,OR(AND('Endrunde 4'!$N14="",'Endrunde 4'!$P14=""),AND('Endrunde 4'!$N14&lt;&gt;"",'Endrunde 4'!$P14&lt;&gt;"",'Endrunde 4'!$N14&lt;&gt;'Endrunde 4'!$P14)),'Endrunde 4'!$H14&lt;&gt;"",'Endrunde 4'!$J14&lt;&gt;"",'Endrunde 4'!$H14&lt;&gt;'Endrunde 4'!$J14),1,0)</f>
        <v>1</v>
      </c>
      <c r="AB66" s="13"/>
      <c r="AD66" s="141"/>
      <c r="AE66" s="146">
        <f t="shared" ca="1" si="1"/>
        <v>2</v>
      </c>
      <c r="AF66" s="141">
        <f t="shared" ca="1" si="2"/>
        <v>0</v>
      </c>
      <c r="AG66" s="146">
        <f ca="1">IF($AA66=1,'Endrunde 4'!$N14,"")</f>
        <v>25</v>
      </c>
      <c r="AH66" s="141">
        <f ca="1">IF($AA66=1,'Endrunde 4'!$P14,"")</f>
        <v>23</v>
      </c>
      <c r="AI66" s="141" t="str">
        <f ca="1">IF(AA66&gt;0,AE66&amp;Sprache!$E$90&amp;AF66,"")</f>
        <v>2:0</v>
      </c>
      <c r="AJ66" s="4"/>
      <c r="AK66" s="13"/>
      <c r="AL66" s="13"/>
      <c r="AM66" s="13"/>
      <c r="AN66" s="13"/>
      <c r="AO66" s="13"/>
      <c r="AP66" s="13"/>
      <c r="AQ66" s="13"/>
    </row>
    <row r="67" spans="2:43" s="2" customFormat="1" x14ac:dyDescent="0.2">
      <c r="P67" s="721"/>
      <c r="Q67" s="722"/>
      <c r="U67" s="66" t="s">
        <v>9</v>
      </c>
      <c r="V67" s="40" t="str">
        <f ca="1">'Endrunde 4'!$H15</f>
        <v>Eintracht Frankfurt</v>
      </c>
      <c r="W67" s="13" t="str">
        <f ca="1">'Endrunde 4'!$J15</f>
        <v>FC Grönlingen</v>
      </c>
      <c r="X67" s="13">
        <f ca="1">IF($AA67=1,'Endrunde 4'!$K15,"")</f>
        <v>25</v>
      </c>
      <c r="Y67" s="35">
        <f ca="1">IF($AA67=1,'Endrunde 4'!$M15,"")</f>
        <v>22</v>
      </c>
      <c r="Z67" s="34" t="str">
        <f t="shared" ca="1" si="0"/>
        <v>Eintracht FrankfurtFC Grönlingen</v>
      </c>
      <c r="AA67" s="13">
        <f ca="1">IF(AND('Endrunde 4'!$K15&lt;&gt;"",'Endrunde 4'!$M15&lt;&gt;"",'Endrunde 4'!$K15&lt;&gt;'Endrunde 4'!$M15,OR(AND('Endrunde 4'!$N15="",'Endrunde 4'!$P15=""),AND('Endrunde 4'!$N15&lt;&gt;"",'Endrunde 4'!$P15&lt;&gt;"",'Endrunde 4'!$N15&lt;&gt;'Endrunde 4'!$P15)),'Endrunde 4'!$H15&lt;&gt;"",'Endrunde 4'!$J15&lt;&gt;"",'Endrunde 4'!$H15&lt;&gt;'Endrunde 4'!$J15),1,0)</f>
        <v>1</v>
      </c>
      <c r="AB67" s="13"/>
      <c r="AD67" s="141"/>
      <c r="AE67" s="146">
        <f t="shared" ca="1" si="1"/>
        <v>2</v>
      </c>
      <c r="AF67" s="141">
        <f t="shared" ca="1" si="2"/>
        <v>0</v>
      </c>
      <c r="AG67" s="146">
        <f ca="1">IF($AA67=1,'Endrunde 4'!$N15,"")</f>
        <v>25</v>
      </c>
      <c r="AH67" s="141">
        <f ca="1">IF($AA67=1,'Endrunde 4'!$P15,"")</f>
        <v>17</v>
      </c>
      <c r="AI67" s="141" t="str">
        <f ca="1">IF(AA67&gt;0,AE67&amp;Sprache!$E$90&amp;AF67,"")</f>
        <v>2:0</v>
      </c>
      <c r="AJ67" s="13"/>
      <c r="AK67" s="4"/>
      <c r="AL67" s="13"/>
      <c r="AM67" s="13"/>
      <c r="AN67" s="13"/>
      <c r="AO67" s="13"/>
      <c r="AP67" s="13"/>
      <c r="AQ67" s="13"/>
    </row>
    <row r="68" spans="2:43" s="2" customFormat="1" x14ac:dyDescent="0.2">
      <c r="P68" s="721"/>
      <c r="Q68" s="722"/>
      <c r="U68" s="66" t="s">
        <v>10</v>
      </c>
      <c r="V68" s="40" t="str">
        <f ca="1">'Endrunde 4'!$H16</f>
        <v>VFB Essenheim</v>
      </c>
      <c r="W68" s="13" t="str">
        <f ca="1">'Endrunde 4'!$J16</f>
        <v>SSV Wildbach</v>
      </c>
      <c r="X68" s="13">
        <f ca="1">IF($AA68=1,'Endrunde 4'!$K16,"")</f>
        <v>25</v>
      </c>
      <c r="Y68" s="35">
        <f ca="1">IF($AA68=1,'Endrunde 4'!$M16,"")</f>
        <v>23</v>
      </c>
      <c r="Z68" s="34" t="str">
        <f t="shared" ca="1" si="0"/>
        <v>VFB EssenheimSSV Wildbach</v>
      </c>
      <c r="AA68" s="13">
        <f ca="1">IF(AND('Endrunde 4'!$K16&lt;&gt;"",'Endrunde 4'!$M16&lt;&gt;"",'Endrunde 4'!$K16&lt;&gt;'Endrunde 4'!$M16,OR(AND('Endrunde 4'!$N16="",'Endrunde 4'!$P16=""),AND('Endrunde 4'!$N16&lt;&gt;"",'Endrunde 4'!$P16&lt;&gt;"",'Endrunde 4'!$N16&lt;&gt;'Endrunde 4'!$P16)),'Endrunde 4'!$H16&lt;&gt;"",'Endrunde 4'!$J16&lt;&gt;"",'Endrunde 4'!$H16&lt;&gt;'Endrunde 4'!$J16),1,0)</f>
        <v>1</v>
      </c>
      <c r="AB68" s="13"/>
      <c r="AD68" s="141"/>
      <c r="AE68" s="146">
        <f t="shared" ca="1" si="1"/>
        <v>2</v>
      </c>
      <c r="AF68" s="141">
        <f t="shared" ca="1" si="2"/>
        <v>0</v>
      </c>
      <c r="AG68" s="146">
        <f ca="1">IF($AA68=1,'Endrunde 4'!$N16,"")</f>
        <v>25</v>
      </c>
      <c r="AH68" s="141">
        <f ca="1">IF($AA68=1,'Endrunde 4'!$P16,"")</f>
        <v>18</v>
      </c>
      <c r="AI68" s="141" t="str">
        <f ca="1">IF(AA68&gt;0,AE68&amp;Sprache!$E$90&amp;AF68,"")</f>
        <v>2:0</v>
      </c>
      <c r="AJ68" s="13"/>
      <c r="AK68" s="13"/>
      <c r="AL68" s="4"/>
      <c r="AM68" s="13"/>
      <c r="AN68" s="13"/>
      <c r="AO68" s="13"/>
      <c r="AP68" s="13"/>
      <c r="AQ68" s="13"/>
    </row>
    <row r="69" spans="2:43" s="2" customFormat="1" x14ac:dyDescent="0.2">
      <c r="P69" s="721"/>
      <c r="Q69" s="722"/>
      <c r="U69" s="66" t="s">
        <v>11</v>
      </c>
      <c r="V69" s="40" t="str">
        <f ca="1">'Endrunde 4'!$H17</f>
        <v>1. FC Riedwald</v>
      </c>
      <c r="W69" s="13" t="str">
        <f ca="1">'Endrunde 4'!$J17</f>
        <v>Mainz 05</v>
      </c>
      <c r="X69" s="13">
        <f ca="1">IF($AA69=1,'Endrunde 4'!$K17,"")</f>
        <v>25</v>
      </c>
      <c r="Y69" s="35">
        <f ca="1">IF($AA69=1,'Endrunde 4'!$M17,"")</f>
        <v>17</v>
      </c>
      <c r="Z69" s="34" t="str">
        <f t="shared" ca="1" si="0"/>
        <v>1. FC RiedwaldMainz 05</v>
      </c>
      <c r="AA69" s="13">
        <f ca="1">IF(AND('Endrunde 4'!$K17&lt;&gt;"",'Endrunde 4'!$M17&lt;&gt;"",'Endrunde 4'!$K17&lt;&gt;'Endrunde 4'!$M17,OR(AND('Endrunde 4'!$N17="",'Endrunde 4'!$P17=""),AND('Endrunde 4'!$N17&lt;&gt;"",'Endrunde 4'!$P17&lt;&gt;"",'Endrunde 4'!$N17&lt;&gt;'Endrunde 4'!$P17)),'Endrunde 4'!$H17&lt;&gt;"",'Endrunde 4'!$J17&lt;&gt;"",'Endrunde 4'!$H17&lt;&gt;'Endrunde 4'!$J17),1,0)</f>
        <v>1</v>
      </c>
      <c r="AB69" s="13"/>
      <c r="AD69" s="141"/>
      <c r="AE69" s="146">
        <f t="shared" ca="1" si="1"/>
        <v>2</v>
      </c>
      <c r="AF69" s="141">
        <f t="shared" ca="1" si="2"/>
        <v>0</v>
      </c>
      <c r="AG69" s="146">
        <f ca="1">IF($AA69=1,'Endrunde 4'!$N17,"")</f>
        <v>25</v>
      </c>
      <c r="AH69" s="141">
        <f ca="1">IF($AA69=1,'Endrunde 4'!$P17,"")</f>
        <v>19</v>
      </c>
      <c r="AI69" s="141" t="str">
        <f ca="1">IF(AA69&gt;0,AE69&amp;Sprache!$E$90&amp;AF69,"")</f>
        <v>2:0</v>
      </c>
      <c r="AJ69" s="13"/>
      <c r="AK69" s="13"/>
      <c r="AL69" s="13"/>
      <c r="AM69" s="4"/>
      <c r="AN69" s="13"/>
      <c r="AO69" s="13"/>
      <c r="AP69" s="13"/>
      <c r="AQ69" s="13"/>
    </row>
    <row r="70" spans="2:43" s="2" customFormat="1" x14ac:dyDescent="0.2">
      <c r="P70" s="721"/>
      <c r="Q70" s="722"/>
      <c r="U70" s="66" t="s">
        <v>16</v>
      </c>
      <c r="V70" s="40" t="str">
        <f ca="1">'Endrunde 4'!$H18</f>
        <v/>
      </c>
      <c r="W70" s="13" t="str">
        <f ca="1">'Endrunde 4'!$J18</f>
        <v/>
      </c>
      <c r="X70" s="13" t="str">
        <f ca="1">IF($AA70=1,'Endrunde 4'!$K18,"")</f>
        <v/>
      </c>
      <c r="Y70" s="35" t="str">
        <f ca="1">IF($AA70=1,'Endrunde 4'!$M18,"")</f>
        <v/>
      </c>
      <c r="Z70" s="34" t="str">
        <f t="shared" ca="1" si="0"/>
        <v/>
      </c>
      <c r="AA70" s="13">
        <f ca="1">IF(AND('Endrunde 4'!$K18&lt;&gt;"",'Endrunde 4'!$M18&lt;&gt;"",'Endrunde 4'!$K18&lt;&gt;'Endrunde 4'!$M18,OR(AND('Endrunde 4'!$N18="",'Endrunde 4'!$P18=""),AND('Endrunde 4'!$N18&lt;&gt;"",'Endrunde 4'!$P18&lt;&gt;"",'Endrunde 4'!$N18&lt;&gt;'Endrunde 4'!$P18)),'Endrunde 4'!$H18&lt;&gt;"",'Endrunde 4'!$J18&lt;&gt;"",'Endrunde 4'!$H18&lt;&gt;'Endrunde 4'!$J18),1,0)</f>
        <v>0</v>
      </c>
      <c r="AB70" s="13"/>
      <c r="AD70" s="141"/>
      <c r="AE70" s="146">
        <f t="shared" ca="1" si="1"/>
        <v>0</v>
      </c>
      <c r="AF70" s="141">
        <f t="shared" ca="1" si="2"/>
        <v>0</v>
      </c>
      <c r="AG70" s="146" t="str">
        <f ca="1">IF($AA70=1,'Endrunde 4'!$N18,"")</f>
        <v/>
      </c>
      <c r="AH70" s="141" t="str">
        <f ca="1">IF($AA70=1,'Endrunde 4'!$P18,"")</f>
        <v/>
      </c>
      <c r="AI70" s="141" t="str">
        <f ca="1">IF(AA70&gt;0,AE70&amp;Sprache!$E$90&amp;AF70,"")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721"/>
      <c r="Q71" s="722"/>
      <c r="U71" s="66" t="s">
        <v>17</v>
      </c>
      <c r="V71" s="40" t="str">
        <f ca="1">'Endrunde 4'!$H19</f>
        <v>Real Madrid</v>
      </c>
      <c r="W71" s="13" t="str">
        <f ca="1">'Endrunde 4'!$J19</f>
        <v>HSV</v>
      </c>
      <c r="X71" s="13">
        <f ca="1">IF($AA71=1,'Endrunde 4'!$K19,"")</f>
        <v>25</v>
      </c>
      <c r="Y71" s="35">
        <f ca="1">IF($AA71=1,'Endrunde 4'!$M19,"")</f>
        <v>19</v>
      </c>
      <c r="Z71" s="34" t="str">
        <f t="shared" ca="1" si="0"/>
        <v>Real MadridHSV</v>
      </c>
      <c r="AA71" s="13">
        <f ca="1">IF(AND('Endrunde 4'!$K19&lt;&gt;"",'Endrunde 4'!$M19&lt;&gt;"",'Endrunde 4'!$K19&lt;&gt;'Endrunde 4'!$M19,OR(AND('Endrunde 4'!$N19="",'Endrunde 4'!$P19=""),AND('Endrunde 4'!$N19&lt;&gt;"",'Endrunde 4'!$P19&lt;&gt;"",'Endrunde 4'!$N19&lt;&gt;'Endrunde 4'!$P19)),'Endrunde 4'!$H19&lt;&gt;"",'Endrunde 4'!$J19&lt;&gt;"",'Endrunde 4'!$H19&lt;&gt;'Endrunde 4'!$J19),1,0)</f>
        <v>1</v>
      </c>
      <c r="AB71" s="13"/>
      <c r="AD71" s="141"/>
      <c r="AE71" s="146">
        <f t="shared" ca="1" si="1"/>
        <v>2</v>
      </c>
      <c r="AF71" s="141">
        <f t="shared" ca="1" si="2"/>
        <v>0</v>
      </c>
      <c r="AG71" s="146">
        <f ca="1">IF($AA71=1,'Endrunde 4'!$N19,"")</f>
        <v>25</v>
      </c>
      <c r="AH71" s="141">
        <f ca="1">IF($AA71=1,'Endrunde 4'!$P19,"")</f>
        <v>21</v>
      </c>
      <c r="AI71" s="141" t="str">
        <f ca="1">IF(AA71&gt;0,AE71&amp;Sprache!$E$90&amp;AF71,"")</f>
        <v>2:0</v>
      </c>
      <c r="AJ71" s="13"/>
      <c r="AK71" s="13"/>
      <c r="AL71" s="13"/>
      <c r="AM71" s="13"/>
      <c r="AN71" s="13"/>
      <c r="AO71" s="4"/>
      <c r="AP71" s="13"/>
      <c r="AQ71" s="13"/>
    </row>
    <row r="72" spans="2:43" s="2" customFormat="1" x14ac:dyDescent="0.2">
      <c r="B72" s="4"/>
      <c r="C72" s="4"/>
      <c r="D72" s="4"/>
      <c r="E72" s="4"/>
      <c r="F72" s="13"/>
      <c r="G72" s="13"/>
      <c r="H72" s="13"/>
      <c r="I72" s="13"/>
      <c r="J72" s="13"/>
      <c r="K72" s="13"/>
      <c r="L72" s="13"/>
      <c r="M72" s="13"/>
      <c r="P72" s="721"/>
      <c r="Q72" s="722"/>
      <c r="U72" s="66" t="s">
        <v>18</v>
      </c>
      <c r="V72" s="40" t="str">
        <f ca="1">'Endrunde 4'!$H20</f>
        <v>1. FC Nürnberg</v>
      </c>
      <c r="W72" s="13" t="str">
        <f ca="1">'Endrunde 4'!$J20</f>
        <v>RB Leipzig</v>
      </c>
      <c r="X72" s="13">
        <f ca="1">IF($AA72=1,'Endrunde 4'!$K20,"")</f>
        <v>20</v>
      </c>
      <c r="Y72" s="35">
        <f ca="1">IF($AA72=1,'Endrunde 4'!$M20,"")</f>
        <v>25</v>
      </c>
      <c r="Z72" s="34" t="str">
        <f t="shared" ca="1" si="0"/>
        <v>1. FC NürnbergRB Leipzig</v>
      </c>
      <c r="AA72" s="13">
        <f ca="1">IF(AND('Endrunde 4'!$K20&lt;&gt;"",'Endrunde 4'!$M20&lt;&gt;"",'Endrunde 4'!$K20&lt;&gt;'Endrunde 4'!$M20,OR(AND('Endrunde 4'!$N20="",'Endrunde 4'!$P20=""),AND('Endrunde 4'!$N20&lt;&gt;"",'Endrunde 4'!$P20&lt;&gt;"",'Endrunde 4'!$N20&lt;&gt;'Endrunde 4'!$P20)),'Endrunde 4'!$H20&lt;&gt;"",'Endrunde 4'!$J20&lt;&gt;"",'Endrunde 4'!$H20&lt;&gt;'Endrunde 4'!$J20),1,0)</f>
        <v>1</v>
      </c>
      <c r="AB72" s="13"/>
      <c r="AD72" s="141"/>
      <c r="AE72" s="146">
        <f t="shared" ca="1" si="1"/>
        <v>1</v>
      </c>
      <c r="AF72" s="141">
        <f t="shared" ca="1" si="2"/>
        <v>1</v>
      </c>
      <c r="AG72" s="146">
        <f ca="1">IF($AA72=1,'Endrunde 4'!$N20,"")</f>
        <v>25</v>
      </c>
      <c r="AH72" s="141">
        <f ca="1">IF($AA72=1,'Endrunde 4'!$P20,"")</f>
        <v>21</v>
      </c>
      <c r="AI72" s="141" t="str">
        <f ca="1">IF(AA72&gt;0,AE72&amp;Sprache!$E$90&amp;AF72,"")</f>
        <v>1:1</v>
      </c>
      <c r="AJ72" s="13"/>
      <c r="AK72" s="13"/>
      <c r="AL72" s="13"/>
      <c r="AM72" s="13"/>
      <c r="AN72" s="13"/>
      <c r="AO72" s="13"/>
      <c r="AP72" s="4"/>
      <c r="AQ72" s="13"/>
    </row>
    <row r="73" spans="2:43" s="2" customFormat="1" x14ac:dyDescent="0.2">
      <c r="B73" s="4"/>
      <c r="C73" s="4"/>
      <c r="D73" s="4"/>
      <c r="E73" s="4"/>
      <c r="F73" s="13"/>
      <c r="G73" s="13"/>
      <c r="H73" s="13"/>
      <c r="I73" s="13"/>
      <c r="J73" s="13"/>
      <c r="K73" s="13"/>
      <c r="L73" s="13"/>
      <c r="M73" s="13"/>
      <c r="U73" s="66" t="s">
        <v>24</v>
      </c>
      <c r="V73" s="40" t="str">
        <f ca="1">'Endrunde 4'!$H21</f>
        <v>Borussia Dortmund</v>
      </c>
      <c r="W73" s="13" t="str">
        <f ca="1">'Endrunde 4'!$J21</f>
        <v>SV Oberredenburg</v>
      </c>
      <c r="X73" s="13">
        <f ca="1">IF($AA73=1,'Endrunde 4'!$K21,"")</f>
        <v>14</v>
      </c>
      <c r="Y73" s="35">
        <f ca="1">IF($AA73=1,'Endrunde 4'!$M21,"")</f>
        <v>25</v>
      </c>
      <c r="Z73" s="34" t="str">
        <f t="shared" ca="1" si="0"/>
        <v>Borussia DortmundSV Oberredenburg</v>
      </c>
      <c r="AA73" s="13">
        <f ca="1">IF(AND('Endrunde 4'!$K21&lt;&gt;"",'Endrunde 4'!$M21&lt;&gt;"",'Endrunde 4'!$K21&lt;&gt;'Endrunde 4'!$M21,OR(AND('Endrunde 4'!$N21="",'Endrunde 4'!$P21=""),AND('Endrunde 4'!$N21&lt;&gt;"",'Endrunde 4'!$P21&lt;&gt;"",'Endrunde 4'!$N21&lt;&gt;'Endrunde 4'!$P21)),'Endrunde 4'!$H21&lt;&gt;"",'Endrunde 4'!$J21&lt;&gt;"",'Endrunde 4'!$H21&lt;&gt;'Endrunde 4'!$J21),1,0)</f>
        <v>1</v>
      </c>
      <c r="AB73" s="13"/>
      <c r="AD73" s="141"/>
      <c r="AE73" s="146">
        <f t="shared" ca="1" si="1"/>
        <v>1</v>
      </c>
      <c r="AF73" s="141">
        <f t="shared" ca="1" si="2"/>
        <v>1</v>
      </c>
      <c r="AG73" s="146">
        <f ca="1">IF($AA73=1,'Endrunde 4'!$N21,"")</f>
        <v>25</v>
      </c>
      <c r="AH73" s="141">
        <f ca="1">IF($AA73=1,'Endrunde 4'!$P21,"")</f>
        <v>23</v>
      </c>
      <c r="AI73" s="141"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'Endrunde 4'!$H22</f>
        <v>FSV Rauen</v>
      </c>
      <c r="W74" s="13" t="str">
        <f ca="1">'Endrunde 4'!$J22</f>
        <v>Paris St. Germain</v>
      </c>
      <c r="X74" s="13">
        <f ca="1">IF($AA74=1,'Endrunde 4'!$K22,"")</f>
        <v>20</v>
      </c>
      <c r="Y74" s="35">
        <f ca="1">IF($AA74=1,'Endrunde 4'!$M22,"")</f>
        <v>25</v>
      </c>
      <c r="Z74" s="34" t="str">
        <f ca="1">V74&amp;W74</f>
        <v>FSV RauenParis St. Germain</v>
      </c>
      <c r="AA74" s="13">
        <f ca="1">IF(AND('Endrunde 4'!$K22&lt;&gt;"",'Endrunde 4'!$M22&lt;&gt;"",'Endrunde 4'!$K22&lt;&gt;'Endrunde 4'!$M22,OR(AND('Endrunde 4'!$N22="",'Endrunde 4'!$P22=""),AND('Endrunde 4'!$N22&lt;&gt;"",'Endrunde 4'!$P22&lt;&gt;"",'Endrunde 4'!$N22&lt;&gt;'Endrunde 4'!$P22)),'Endrunde 4'!$H22&lt;&gt;"",'Endrunde 4'!$J22&lt;&gt;"",'Endrunde 4'!$H22&lt;&gt;'Endrunde 4'!$J22),1,0)</f>
        <v>1</v>
      </c>
      <c r="AB74" s="13"/>
      <c r="AD74" s="141"/>
      <c r="AE74" s="146">
        <f t="shared" ca="1" si="1"/>
        <v>1</v>
      </c>
      <c r="AF74" s="141">
        <f t="shared" ca="1" si="2"/>
        <v>1</v>
      </c>
      <c r="AG74" s="146">
        <f ca="1">IF($AA74=1,'Endrunde 4'!$N22,"")</f>
        <v>25</v>
      </c>
      <c r="AH74" s="141">
        <f ca="1">IF($AA74=1,'Endrunde 4'!$P22,"")</f>
        <v>17</v>
      </c>
      <c r="AI74" s="141" t="str">
        <f ca="1">IF(AA74&gt;0,AE74&amp;Sprache!$E$90&amp;AF74,"")</f>
        <v>1:1</v>
      </c>
    </row>
    <row r="75" spans="2:43" s="2" customFormat="1" x14ac:dyDescent="0.2">
      <c r="B75" s="4"/>
      <c r="C75" s="4"/>
      <c r="D75" s="4"/>
      <c r="E75" s="4"/>
      <c r="F75" s="13"/>
      <c r="G75" s="13"/>
      <c r="H75" s="13"/>
      <c r="I75" s="13"/>
      <c r="J75" s="13"/>
      <c r="K75" s="13"/>
      <c r="L75" s="13"/>
      <c r="M75" s="13"/>
      <c r="U75" s="66" t="s">
        <v>26</v>
      </c>
      <c r="V75" s="40" t="str">
        <f ca="1">'Endrunde 4'!$H23</f>
        <v>Kickers Rodendorf</v>
      </c>
      <c r="W75" s="13" t="str">
        <f ca="1">'Endrunde 4'!$J23</f>
        <v>TSG Saalberg eV</v>
      </c>
      <c r="X75" s="13">
        <f ca="1">IF($AA75=1,'Endrunde 4'!$K23,"")</f>
        <v>19</v>
      </c>
      <c r="Y75" s="35">
        <f ca="1">IF($AA75=1,'Endrunde 4'!$M23,"")</f>
        <v>25</v>
      </c>
      <c r="Z75" s="34" t="str">
        <f t="shared" ref="Z75:Z99" ca="1" si="3">V75&amp;W75</f>
        <v>Kickers RodendorfTSG Saalberg eV</v>
      </c>
      <c r="AA75" s="13">
        <f ca="1">IF(AND('Endrunde 4'!$K23&lt;&gt;"",'Endrunde 4'!$M23&lt;&gt;"",'Endrunde 4'!$K23&lt;&gt;'Endrunde 4'!$M23,OR(AND('Endrunde 4'!$N23="",'Endrunde 4'!$P23=""),AND('Endrunde 4'!$N23&lt;&gt;"",'Endrunde 4'!$P23&lt;&gt;"",'Endrunde 4'!$N23&lt;&gt;'Endrunde 4'!$P23)),'Endrunde 4'!$H23&lt;&gt;"",'Endrunde 4'!$J23&lt;&gt;"",'Endrunde 4'!$H23&lt;&gt;'Endrunde 4'!$J23),1,0)</f>
        <v>1</v>
      </c>
      <c r="AB75" s="13"/>
      <c r="AD75" s="141"/>
      <c r="AE75" s="146">
        <f t="shared" ca="1" si="1"/>
        <v>1</v>
      </c>
      <c r="AF75" s="141">
        <f t="shared" ca="1" si="2"/>
        <v>1</v>
      </c>
      <c r="AG75" s="146">
        <f ca="1">IF($AA75=1,'Endrunde 4'!$N23,"")</f>
        <v>25</v>
      </c>
      <c r="AH75" s="141">
        <f ca="1">IF($AA75=1,'Endrunde 4'!$P23,"")</f>
        <v>18</v>
      </c>
      <c r="AI75" s="141" t="str">
        <f ca="1">IF(AA75&gt;0,AE75&amp;Sprache!$E$90&amp;AF75,"")</f>
        <v>1:1</v>
      </c>
    </row>
    <row r="76" spans="2:43" s="2" customFormat="1" x14ac:dyDescent="0.2">
      <c r="B76" s="4"/>
      <c r="C76" s="4"/>
      <c r="D76" s="4"/>
      <c r="E76" s="4"/>
      <c r="F76" s="13"/>
      <c r="G76" s="13"/>
      <c r="H76" s="13"/>
      <c r="I76" s="13"/>
      <c r="J76" s="13"/>
      <c r="K76" s="13"/>
      <c r="L76" s="13"/>
      <c r="M76" s="13"/>
      <c r="U76" s="66" t="s">
        <v>27</v>
      </c>
      <c r="V76" s="40" t="str">
        <f ca="1">'Endrunde 4'!$H24</f>
        <v/>
      </c>
      <c r="W76" s="13" t="str">
        <f ca="1">'Endrunde 4'!$J24</f>
        <v/>
      </c>
      <c r="X76" s="13" t="str">
        <f ca="1">IF($AA76=1,'Endrunde 4'!$K24,"")</f>
        <v/>
      </c>
      <c r="Y76" s="35" t="str">
        <f ca="1">IF($AA76=1,'Endrunde 4'!$M24,"")</f>
        <v/>
      </c>
      <c r="Z76" s="34" t="str">
        <f t="shared" ca="1" si="3"/>
        <v/>
      </c>
      <c r="AA76" s="13">
        <f ca="1">IF(AND('Endrunde 4'!$K24&lt;&gt;"",'Endrunde 4'!$M24&lt;&gt;"",'Endrunde 4'!$K24&lt;&gt;'Endrunde 4'!$M24,OR(AND('Endrunde 4'!$N24="",'Endrunde 4'!$P24=""),AND('Endrunde 4'!$N24&lt;&gt;"",'Endrunde 4'!$P24&lt;&gt;"",'Endrunde 4'!$N24&lt;&gt;'Endrunde 4'!$P24)),'Endrunde 4'!$H24&lt;&gt;"",'Endrunde 4'!$J24&lt;&gt;"",'Endrunde 4'!$H24&lt;&gt;'Endrunde 4'!$J24),1,0)</f>
        <v>0</v>
      </c>
      <c r="AB76" s="13"/>
      <c r="AD76" s="141"/>
      <c r="AE76" s="146">
        <f t="shared" ca="1" si="1"/>
        <v>0</v>
      </c>
      <c r="AF76" s="141">
        <f t="shared" ca="1" si="2"/>
        <v>0</v>
      </c>
      <c r="AG76" s="146" t="str">
        <f ca="1">IF($AA76=1,'Endrunde 4'!$N24,"")</f>
        <v/>
      </c>
      <c r="AH76" s="141" t="str">
        <f ca="1">IF($AA76=1,'Endrunde 4'!$P24,"")</f>
        <v/>
      </c>
      <c r="AI76" s="141" t="str">
        <f ca="1">IF(AA76&gt;0,AE76&amp;Sprache!$E$90&amp;AF76,"")</f>
        <v/>
      </c>
    </row>
    <row r="77" spans="2:43" s="2" customFormat="1" x14ac:dyDescent="0.2">
      <c r="B77" s="4"/>
      <c r="C77" s="4"/>
      <c r="D77" s="4"/>
      <c r="E77" s="4"/>
      <c r="F77" s="13"/>
      <c r="G77" s="13"/>
      <c r="H77" s="13"/>
      <c r="I77" s="13"/>
      <c r="J77" s="13"/>
      <c r="K77" s="13"/>
      <c r="L77" s="13"/>
      <c r="M77" s="13"/>
      <c r="U77" s="66" t="s">
        <v>28</v>
      </c>
      <c r="V77" s="40" t="str">
        <f ca="1">'Endrunde 4'!$H25</f>
        <v>FC Barcelona</v>
      </c>
      <c r="W77" s="13" t="str">
        <f ca="1">'Endrunde 4'!$J25</f>
        <v>Real Madrid</v>
      </c>
      <c r="X77" s="13">
        <f ca="1">IF($AA77=1,'Endrunde 4'!$K25,"")</f>
        <v>14</v>
      </c>
      <c r="Y77" s="35">
        <f ca="1">IF($AA77=1,'Endrunde 4'!$M25,"")</f>
        <v>25</v>
      </c>
      <c r="Z77" s="34" t="str">
        <f t="shared" ca="1" si="3"/>
        <v>FC BarcelonaReal Madrid</v>
      </c>
      <c r="AA77" s="13">
        <f ca="1">IF(AND('Endrunde 4'!$K25&lt;&gt;"",'Endrunde 4'!$M25&lt;&gt;"",'Endrunde 4'!$K25&lt;&gt;'Endrunde 4'!$M25,OR(AND('Endrunde 4'!$N25="",'Endrunde 4'!$P25=""),AND('Endrunde 4'!$N25&lt;&gt;"",'Endrunde 4'!$P25&lt;&gt;"",'Endrunde 4'!$N25&lt;&gt;'Endrunde 4'!$P25)),'Endrunde 4'!$H25&lt;&gt;"",'Endrunde 4'!$J25&lt;&gt;"",'Endrunde 4'!$H25&lt;&gt;'Endrunde 4'!$J25),1,0)</f>
        <v>1</v>
      </c>
      <c r="AB77" s="13"/>
      <c r="AD77" s="141"/>
      <c r="AE77" s="146">
        <f t="shared" ca="1" si="1"/>
        <v>1</v>
      </c>
      <c r="AF77" s="141">
        <f t="shared" ca="1" si="2"/>
        <v>1</v>
      </c>
      <c r="AG77" s="146">
        <f ca="1">IF($AA77=1,'Endrunde 4'!$N25,"")</f>
        <v>25</v>
      </c>
      <c r="AH77" s="141">
        <f ca="1">IF($AA77=1,'Endrunde 4'!$P25,"")</f>
        <v>20</v>
      </c>
      <c r="AI77" s="141" t="str">
        <f ca="1">IF(AA77&gt;0,AE77&amp;Sprache!$E$90&amp;AF77,"")</f>
        <v>1:1</v>
      </c>
    </row>
    <row r="78" spans="2:43" s="2" customFormat="1" x14ac:dyDescent="0.2">
      <c r="B78" s="4"/>
      <c r="C78" s="4"/>
      <c r="D78" s="4"/>
      <c r="E78" s="4"/>
      <c r="F78" s="13"/>
      <c r="G78" s="13"/>
      <c r="H78" s="13"/>
      <c r="I78" s="13"/>
      <c r="J78" s="13"/>
      <c r="K78" s="13"/>
      <c r="L78" s="13"/>
      <c r="M78" s="13"/>
      <c r="U78" s="66" t="s">
        <v>29</v>
      </c>
      <c r="V78" s="40" t="str">
        <f ca="1">'Endrunde 4'!$H26</f>
        <v>Maibach 1822 eV</v>
      </c>
      <c r="W78" s="13" t="str">
        <f ca="1">'Endrunde 4'!$J26</f>
        <v>1. FC Nürnberg</v>
      </c>
      <c r="X78" s="13">
        <f ca="1">IF($AA78=1,'Endrunde 4'!$K26,"")</f>
        <v>21</v>
      </c>
      <c r="Y78" s="35">
        <f ca="1">IF($AA78=1,'Endrunde 4'!$M26,"")</f>
        <v>25</v>
      </c>
      <c r="Z78" s="34" t="str">
        <f t="shared" ca="1" si="3"/>
        <v>Maibach 1822 eV1. FC Nürnberg</v>
      </c>
      <c r="AA78" s="13">
        <f ca="1">IF(AND('Endrunde 4'!$K26&lt;&gt;"",'Endrunde 4'!$M26&lt;&gt;"",'Endrunde 4'!$K26&lt;&gt;'Endrunde 4'!$M26,OR(AND('Endrunde 4'!$N26="",'Endrunde 4'!$P26=""),AND('Endrunde 4'!$N26&lt;&gt;"",'Endrunde 4'!$P26&lt;&gt;"",'Endrunde 4'!$N26&lt;&gt;'Endrunde 4'!$P26)),'Endrunde 4'!$H26&lt;&gt;"",'Endrunde 4'!$J26&lt;&gt;"",'Endrunde 4'!$H26&lt;&gt;'Endrunde 4'!$J26),1,0)</f>
        <v>1</v>
      </c>
      <c r="AB78" s="13"/>
      <c r="AD78" s="141"/>
      <c r="AE78" s="146">
        <f t="shared" ca="1" si="1"/>
        <v>1</v>
      </c>
      <c r="AF78" s="141">
        <f t="shared" ca="1" si="2"/>
        <v>1</v>
      </c>
      <c r="AG78" s="146">
        <f ca="1">IF($AA78=1,'Endrunde 4'!$N26,"")</f>
        <v>25</v>
      </c>
      <c r="AH78" s="141">
        <f ca="1">IF($AA78=1,'Endrunde 4'!$P26,"")</f>
        <v>18</v>
      </c>
      <c r="AI78" s="141" t="str">
        <f ca="1">IF(AA78&gt;0,AE78&amp;Sprache!$E$90&amp;AF78,"")</f>
        <v>1:1</v>
      </c>
    </row>
    <row r="79" spans="2:43" s="2" customFormat="1" x14ac:dyDescent="0.2">
      <c r="B79" s="4"/>
      <c r="C79" s="4"/>
      <c r="D79" s="4"/>
      <c r="E79" s="4"/>
      <c r="F79" s="13"/>
      <c r="G79" s="13"/>
      <c r="H79" s="13"/>
      <c r="I79" s="13"/>
      <c r="J79" s="13"/>
      <c r="K79" s="13"/>
      <c r="L79" s="13"/>
      <c r="M79" s="13"/>
      <c r="U79" s="66" t="s">
        <v>30</v>
      </c>
      <c r="V79" s="40" t="str">
        <f ca="1">'Endrunde 4'!$H27</f>
        <v>Eintracht Frankfurt</v>
      </c>
      <c r="W79" s="13" t="str">
        <f ca="1">'Endrunde 4'!$J27</f>
        <v>Borussia Dortmund</v>
      </c>
      <c r="X79" s="13">
        <f ca="1">IF($AA79=1,'Endrunde 4'!$K27,"")</f>
        <v>25</v>
      </c>
      <c r="Y79" s="35">
        <f ca="1">IF($AA79=1,'Endrunde 4'!$M27,"")</f>
        <v>23</v>
      </c>
      <c r="Z79" s="34" t="str">
        <f t="shared" ca="1" si="3"/>
        <v>Eintracht FrankfurtBorussia Dortmund</v>
      </c>
      <c r="AA79" s="13">
        <f ca="1">IF(AND('Endrunde 4'!$K27&lt;&gt;"",'Endrunde 4'!$M27&lt;&gt;"",'Endrunde 4'!$K27&lt;&gt;'Endrunde 4'!$M27,OR(AND('Endrunde 4'!$N27="",'Endrunde 4'!$P27=""),AND('Endrunde 4'!$N27&lt;&gt;"",'Endrunde 4'!$P27&lt;&gt;"",'Endrunde 4'!$N27&lt;&gt;'Endrunde 4'!$P27)),'Endrunde 4'!$H27&lt;&gt;"",'Endrunde 4'!$J27&lt;&gt;"",'Endrunde 4'!$H27&lt;&gt;'Endrunde 4'!$J27),1,0)</f>
        <v>1</v>
      </c>
      <c r="AB79" s="13"/>
      <c r="AD79" s="141"/>
      <c r="AE79" s="146">
        <f t="shared" ca="1" si="1"/>
        <v>2</v>
      </c>
      <c r="AF79" s="141">
        <f t="shared" ca="1" si="2"/>
        <v>0</v>
      </c>
      <c r="AG79" s="146">
        <f ca="1">IF($AA79=1,'Endrunde 4'!$N27,"")</f>
        <v>25</v>
      </c>
      <c r="AH79" s="141">
        <f ca="1">IF($AA79=1,'Endrunde 4'!$P27,"")</f>
        <v>22</v>
      </c>
      <c r="AI79" s="141" t="str">
        <f ca="1">IF(AA79&gt;0,AE79&amp;Sprache!$E$90&amp;AF79,"")</f>
        <v>2:0</v>
      </c>
    </row>
    <row r="80" spans="2:43" s="2" customFormat="1" x14ac:dyDescent="0.2">
      <c r="B80" s="4"/>
      <c r="C80" s="4"/>
      <c r="D80" s="4"/>
      <c r="E80" s="4"/>
      <c r="F80" s="13"/>
      <c r="G80" s="13"/>
      <c r="H80" s="13"/>
      <c r="I80" s="13"/>
      <c r="J80" s="13"/>
      <c r="K80" s="13"/>
      <c r="L80" s="13"/>
      <c r="M80" s="13"/>
      <c r="U80" s="66" t="s">
        <v>31</v>
      </c>
      <c r="V80" s="40" t="str">
        <f ca="1">'Endrunde 4'!$H28</f>
        <v>VFB Essenheim</v>
      </c>
      <c r="W80" s="13" t="str">
        <f ca="1">'Endrunde 4'!$J28</f>
        <v>FSV Rauen</v>
      </c>
      <c r="X80" s="13">
        <f ca="1">IF($AA80=1,'Endrunde 4'!$K28,"")</f>
        <v>25</v>
      </c>
      <c r="Y80" s="35">
        <f ca="1">IF($AA80=1,'Endrunde 4'!$M28,"")</f>
        <v>20</v>
      </c>
      <c r="Z80" s="34" t="str">
        <f t="shared" ca="1" si="3"/>
        <v>VFB EssenheimFSV Rauen</v>
      </c>
      <c r="AA80" s="13">
        <f ca="1">IF(AND('Endrunde 4'!$K28&lt;&gt;"",'Endrunde 4'!$M28&lt;&gt;"",'Endrunde 4'!$K28&lt;&gt;'Endrunde 4'!$M28,OR(AND('Endrunde 4'!$N28="",'Endrunde 4'!$P28=""),AND('Endrunde 4'!$N28&lt;&gt;"",'Endrunde 4'!$P28&lt;&gt;"",'Endrunde 4'!$N28&lt;&gt;'Endrunde 4'!$P28)),'Endrunde 4'!$H28&lt;&gt;"",'Endrunde 4'!$J28&lt;&gt;"",'Endrunde 4'!$H28&lt;&gt;'Endrunde 4'!$J28),1,0)</f>
        <v>1</v>
      </c>
      <c r="AB80" s="13"/>
      <c r="AD80" s="141"/>
      <c r="AE80" s="146">
        <f t="shared" ca="1" si="1"/>
        <v>2</v>
      </c>
      <c r="AF80" s="141">
        <f t="shared" ca="1" si="2"/>
        <v>0</v>
      </c>
      <c r="AG80" s="146">
        <f ca="1">IF($AA80=1,'Endrunde 4'!$N28,"")</f>
        <v>25</v>
      </c>
      <c r="AH80" s="141">
        <f ca="1">IF($AA80=1,'Endrunde 4'!$P28,"")</f>
        <v>11</v>
      </c>
      <c r="AI80" s="141" t="str">
        <f ca="1">IF(AA80&gt;0,AE80&amp;Sprache!$E$90&amp;AF80,"")</f>
        <v>2:0</v>
      </c>
    </row>
    <row r="81" spans="2:35" s="2" customFormat="1" x14ac:dyDescent="0.2">
      <c r="B81" s="4"/>
      <c r="C81" s="4"/>
      <c r="D81" s="4"/>
      <c r="E81" s="4"/>
      <c r="F81" s="13"/>
      <c r="G81" s="13"/>
      <c r="H81" s="13"/>
      <c r="I81" s="13"/>
      <c r="J81" s="13"/>
      <c r="K81" s="13"/>
      <c r="L81" s="13"/>
      <c r="M81" s="13"/>
      <c r="U81" s="66" t="s">
        <v>32</v>
      </c>
      <c r="V81" s="40" t="str">
        <f ca="1">'Endrunde 4'!$H29</f>
        <v>1. FC Riedwald</v>
      </c>
      <c r="W81" s="13" t="str">
        <f ca="1">'Endrunde 4'!$J29</f>
        <v>Kickers Rodendorf</v>
      </c>
      <c r="X81" s="13">
        <f ca="1">IF($AA81=1,'Endrunde 4'!$K29,"")</f>
        <v>25</v>
      </c>
      <c r="Y81" s="35">
        <f ca="1">IF($AA81=1,'Endrunde 4'!$M29,"")</f>
        <v>12</v>
      </c>
      <c r="Z81" s="34" t="str">
        <f t="shared" ca="1" si="3"/>
        <v>1. FC RiedwaldKickers Rodendorf</v>
      </c>
      <c r="AA81" s="13">
        <f ca="1">IF(AND('Endrunde 4'!$K29&lt;&gt;"",'Endrunde 4'!$M29&lt;&gt;"",'Endrunde 4'!$K29&lt;&gt;'Endrunde 4'!$M29,OR(AND('Endrunde 4'!$N29="",'Endrunde 4'!$P29=""),AND('Endrunde 4'!$N29&lt;&gt;"",'Endrunde 4'!$P29&lt;&gt;"",'Endrunde 4'!$N29&lt;&gt;'Endrunde 4'!$P29)),'Endrunde 4'!$H29&lt;&gt;"",'Endrunde 4'!$J29&lt;&gt;"",'Endrunde 4'!$H29&lt;&gt;'Endrunde 4'!$J29),1,0)</f>
        <v>1</v>
      </c>
      <c r="AB81" s="13"/>
      <c r="AD81" s="141"/>
      <c r="AE81" s="146">
        <f t="shared" ca="1" si="1"/>
        <v>2</v>
      </c>
      <c r="AF81" s="141">
        <f t="shared" ca="1" si="2"/>
        <v>0</v>
      </c>
      <c r="AG81" s="146">
        <f ca="1">IF($AA81=1,'Endrunde 4'!$N29,"")</f>
        <v>25</v>
      </c>
      <c r="AH81" s="141">
        <f ca="1">IF($AA81=1,'Endrunde 4'!$P29,"")</f>
        <v>17</v>
      </c>
      <c r="AI81" s="141" t="str">
        <f ca="1">IF(AA81&gt;0,AE81&amp;Sprache!$E$90&amp;AF81,"")</f>
        <v>2:0</v>
      </c>
    </row>
    <row r="82" spans="2:35" s="2" customFormat="1" x14ac:dyDescent="0.2">
      <c r="B82" s="4"/>
      <c r="C82" s="4"/>
      <c r="D82" s="4"/>
      <c r="E82" s="4"/>
      <c r="F82" s="13"/>
      <c r="G82" s="13"/>
      <c r="H82" s="13"/>
      <c r="I82" s="13"/>
      <c r="J82" s="13"/>
      <c r="K82" s="13"/>
      <c r="L82" s="13"/>
      <c r="M82" s="13"/>
      <c r="U82" s="66" t="s">
        <v>33</v>
      </c>
      <c r="V82" s="40" t="str">
        <f ca="1">'Endrunde 4'!$H30</f>
        <v/>
      </c>
      <c r="W82" s="13" t="str">
        <f ca="1">'Endrunde 4'!$J30</f>
        <v/>
      </c>
      <c r="X82" s="13" t="str">
        <f ca="1">IF($AA82=1,'Endrunde 4'!$K30,"")</f>
        <v/>
      </c>
      <c r="Y82" s="35" t="str">
        <f ca="1">IF($AA82=1,'Endrunde 4'!$M30,"")</f>
        <v/>
      </c>
      <c r="Z82" s="34" t="str">
        <f t="shared" ca="1" si="3"/>
        <v/>
      </c>
      <c r="AA82" s="13">
        <f ca="1">IF(AND('Endrunde 4'!$K30&lt;&gt;"",'Endrunde 4'!$M30&lt;&gt;"",'Endrunde 4'!$K30&lt;&gt;'Endrunde 4'!$M30,OR(AND('Endrunde 4'!$N30="",'Endrunde 4'!$P30=""),AND('Endrunde 4'!$N30&lt;&gt;"",'Endrunde 4'!$P30&lt;&gt;"",'Endrunde 4'!$N30&lt;&gt;'Endrunde 4'!$P30)),'Endrunde 4'!$H30&lt;&gt;"",'Endrunde 4'!$J30&lt;&gt;"",'Endrunde 4'!$H30&lt;&gt;'Endrunde 4'!$J30),1,0)</f>
        <v>0</v>
      </c>
      <c r="AB82" s="13"/>
      <c r="AD82" s="141"/>
      <c r="AE82" s="146">
        <f t="shared" ca="1" si="1"/>
        <v>0</v>
      </c>
      <c r="AF82" s="141">
        <f t="shared" ca="1" si="2"/>
        <v>0</v>
      </c>
      <c r="AG82" s="146" t="str">
        <f ca="1">IF($AA82=1,'Endrunde 4'!$N30,"")</f>
        <v/>
      </c>
      <c r="AH82" s="141" t="str">
        <f ca="1">IF($AA82=1,'Endrunde 4'!$P30,"")</f>
        <v/>
      </c>
      <c r="AI82" s="141" t="str">
        <f ca="1">IF(AA82&gt;0,AE82&amp;Sprache!$E$90&amp;AF82,"")</f>
        <v/>
      </c>
    </row>
    <row r="83" spans="2:35" s="2" customFormat="1" x14ac:dyDescent="0.2">
      <c r="B83" s="4"/>
      <c r="C83" s="4"/>
      <c r="D83" s="4"/>
      <c r="E83" s="4"/>
      <c r="F83" s="13"/>
      <c r="G83" s="13"/>
      <c r="H83" s="13"/>
      <c r="I83" s="13"/>
      <c r="J83" s="13"/>
      <c r="K83" s="13"/>
      <c r="L83" s="13"/>
      <c r="M83" s="13"/>
      <c r="U83" s="66" t="s">
        <v>34</v>
      </c>
      <c r="V83" s="40" t="str">
        <f ca="1">'Endrunde 4'!$H31</f>
        <v>HSV</v>
      </c>
      <c r="W83" s="13" t="str">
        <f ca="1">'Endrunde 4'!$J31</f>
        <v>Manchester City</v>
      </c>
      <c r="X83" s="13">
        <f ca="1">IF($AA83=1,'Endrunde 4'!$K31,"")</f>
        <v>25</v>
      </c>
      <c r="Y83" s="35">
        <f ca="1">IF($AA83=1,'Endrunde 4'!$M31,"")</f>
        <v>23</v>
      </c>
      <c r="Z83" s="34" t="str">
        <f t="shared" ca="1" si="3"/>
        <v>HSVManchester City</v>
      </c>
      <c r="AA83" s="13">
        <f ca="1">IF(AND('Endrunde 4'!$K31&lt;&gt;"",'Endrunde 4'!$M31&lt;&gt;"",'Endrunde 4'!$K31&lt;&gt;'Endrunde 4'!$M31,OR(AND('Endrunde 4'!$N31="",'Endrunde 4'!$P31=""),AND('Endrunde 4'!$N31&lt;&gt;"",'Endrunde 4'!$P31&lt;&gt;"",'Endrunde 4'!$N31&lt;&gt;'Endrunde 4'!$P31)),'Endrunde 4'!$H31&lt;&gt;"",'Endrunde 4'!$J31&lt;&gt;"",'Endrunde 4'!$H31&lt;&gt;'Endrunde 4'!$J31),1,0)</f>
        <v>1</v>
      </c>
      <c r="AB83" s="13"/>
      <c r="AD83" s="141"/>
      <c r="AE83" s="146">
        <f t="shared" ca="1" si="1"/>
        <v>2</v>
      </c>
      <c r="AF83" s="141">
        <f t="shared" ca="1" si="2"/>
        <v>0</v>
      </c>
      <c r="AG83" s="146">
        <f ca="1">IF($AA83=1,'Endrunde 4'!$N31,"")</f>
        <v>25</v>
      </c>
      <c r="AH83" s="141">
        <f ca="1">IF($AA83=1,'Endrunde 4'!$P31,"")</f>
        <v>19</v>
      </c>
      <c r="AI83" s="141" t="str">
        <f ca="1">IF(AA83&gt;0,AE83&amp;Sprache!$E$90&amp;AF83,"")</f>
        <v>2:0</v>
      </c>
    </row>
    <row r="84" spans="2:35" s="2" customFormat="1" x14ac:dyDescent="0.2">
      <c r="B84" s="4"/>
      <c r="C84" s="4"/>
      <c r="D84" s="4"/>
      <c r="E84" s="4"/>
      <c r="F84" s="13"/>
      <c r="G84" s="13"/>
      <c r="H84" s="13"/>
      <c r="I84" s="13"/>
      <c r="J84" s="13"/>
      <c r="K84" s="13"/>
      <c r="L84" s="13"/>
      <c r="M84" s="13"/>
      <c r="U84" s="66" t="s">
        <v>35</v>
      </c>
      <c r="V84" s="40" t="str">
        <f ca="1">'Endrunde 4'!$H32</f>
        <v>RB Leipzig</v>
      </c>
      <c r="W84" s="13" t="str">
        <f ca="1">'Endrunde 4'!$J32</f>
        <v>Inter Mailand</v>
      </c>
      <c r="X84" s="13">
        <f ca="1">IF($AA84=1,'Endrunde 4'!$K32,"")</f>
        <v>13</v>
      </c>
      <c r="Y84" s="35">
        <f ca="1">IF($AA84=1,'Endrunde 4'!$M32,"")</f>
        <v>25</v>
      </c>
      <c r="Z84" s="34" t="str">
        <f t="shared" ca="1" si="3"/>
        <v>RB LeipzigInter Mailand</v>
      </c>
      <c r="AA84" s="13">
        <f ca="1">IF(AND('Endrunde 4'!$K32&lt;&gt;"",'Endrunde 4'!$M32&lt;&gt;"",'Endrunde 4'!$K32&lt;&gt;'Endrunde 4'!$M32,OR(AND('Endrunde 4'!$N32="",'Endrunde 4'!$P32=""),AND('Endrunde 4'!$N32&lt;&gt;"",'Endrunde 4'!$P32&lt;&gt;"",'Endrunde 4'!$N32&lt;&gt;'Endrunde 4'!$P32)),'Endrunde 4'!$H32&lt;&gt;"",'Endrunde 4'!$J32&lt;&gt;"",'Endrunde 4'!$H32&lt;&gt;'Endrunde 4'!$J32),1,0)</f>
        <v>1</v>
      </c>
      <c r="AB84" s="13"/>
      <c r="AD84" s="141"/>
      <c r="AE84" s="146">
        <f t="shared" ca="1" si="1"/>
        <v>1</v>
      </c>
      <c r="AF84" s="141">
        <f t="shared" ca="1" si="2"/>
        <v>1</v>
      </c>
      <c r="AG84" s="146">
        <f ca="1">IF($AA84=1,'Endrunde 4'!$N32,"")</f>
        <v>25</v>
      </c>
      <c r="AH84" s="141">
        <f ca="1">IF($AA84=1,'Endrunde 4'!$P32,"")</f>
        <v>20</v>
      </c>
      <c r="AI84" s="141" t="str">
        <f ca="1">IF(AA84&gt;0,AE84&amp;Sprache!$E$90&amp;AF84,"")</f>
        <v>1:1</v>
      </c>
    </row>
    <row r="85" spans="2:35" s="2" customFormat="1" x14ac:dyDescent="0.2">
      <c r="B85" s="4"/>
      <c r="C85" s="4"/>
      <c r="D85" s="4"/>
      <c r="E85" s="4"/>
      <c r="F85" s="13"/>
      <c r="G85" s="13"/>
      <c r="H85" s="13"/>
      <c r="I85" s="13"/>
      <c r="J85" s="13"/>
      <c r="K85" s="13"/>
      <c r="L85" s="13"/>
      <c r="M85" s="13"/>
      <c r="U85" s="66" t="s">
        <v>36</v>
      </c>
      <c r="V85" s="40" t="str">
        <f ca="1">'Endrunde 4'!$H33</f>
        <v>SV Oberredenburg</v>
      </c>
      <c r="W85" s="13" t="str">
        <f ca="1">'Endrunde 4'!$J33</f>
        <v>FC Grönlingen</v>
      </c>
      <c r="X85" s="13">
        <f ca="1">IF($AA85=1,'Endrunde 4'!$K33,"")</f>
        <v>19</v>
      </c>
      <c r="Y85" s="35">
        <f ca="1">IF($AA85=1,'Endrunde 4'!$M33,"")</f>
        <v>25</v>
      </c>
      <c r="Z85" s="34" t="str">
        <f t="shared" ca="1" si="3"/>
        <v>SV OberredenburgFC Grönlingen</v>
      </c>
      <c r="AA85" s="13">
        <f ca="1">IF(AND('Endrunde 4'!$K33&lt;&gt;"",'Endrunde 4'!$M33&lt;&gt;"",'Endrunde 4'!$K33&lt;&gt;'Endrunde 4'!$M33,OR(AND('Endrunde 4'!$N33="",'Endrunde 4'!$P33=""),AND('Endrunde 4'!$N33&lt;&gt;"",'Endrunde 4'!$P33&lt;&gt;"",'Endrunde 4'!$N33&lt;&gt;'Endrunde 4'!$P33)),'Endrunde 4'!$H33&lt;&gt;"",'Endrunde 4'!$J33&lt;&gt;"",'Endrunde 4'!$H33&lt;&gt;'Endrunde 4'!$J33),1,0)</f>
        <v>1</v>
      </c>
      <c r="AB85" s="13"/>
      <c r="AD85" s="141"/>
      <c r="AE85" s="146">
        <f t="shared" ca="1" si="1"/>
        <v>1</v>
      </c>
      <c r="AF85" s="141">
        <f t="shared" ca="1" si="2"/>
        <v>1</v>
      </c>
      <c r="AG85" s="146">
        <f ca="1">IF($AA85=1,'Endrunde 4'!$N33,"")</f>
        <v>25</v>
      </c>
      <c r="AH85" s="141">
        <f ca="1">IF($AA85=1,'Endrunde 4'!$P33,"")</f>
        <v>21</v>
      </c>
      <c r="AI85" s="141" t="str">
        <f ca="1">IF(AA85&gt;0,AE85&amp;Sprache!$E$90&amp;AF85,"")</f>
        <v>1:1</v>
      </c>
    </row>
    <row r="86" spans="2:35" s="2" customFormat="1" x14ac:dyDescent="0.2">
      <c r="B86" s="4"/>
      <c r="C86" s="4"/>
      <c r="D86" s="4"/>
      <c r="E86" s="4"/>
      <c r="F86" s="13"/>
      <c r="G86" s="13"/>
      <c r="H86" s="13"/>
      <c r="I86" s="13"/>
      <c r="J86" s="13"/>
      <c r="K86" s="13"/>
      <c r="L86" s="13"/>
      <c r="M86" s="13"/>
      <c r="U86" s="66" t="s">
        <v>37</v>
      </c>
      <c r="V86" s="40" t="str">
        <f ca="1">'Endrunde 4'!$H34</f>
        <v>Paris St. Germain</v>
      </c>
      <c r="W86" s="13" t="str">
        <f ca="1">'Endrunde 4'!$J34</f>
        <v>SSV Wildbach</v>
      </c>
      <c r="X86" s="13">
        <f ca="1">IF($AA86=1,'Endrunde 4'!$K34,"")</f>
        <v>17</v>
      </c>
      <c r="Y86" s="35">
        <f ca="1">IF($AA86=1,'Endrunde 4'!$M34,"")</f>
        <v>25</v>
      </c>
      <c r="Z86" s="34" t="str">
        <f t="shared" ca="1" si="3"/>
        <v>Paris St. GermainSSV Wildbach</v>
      </c>
      <c r="AA86" s="13">
        <f ca="1">IF(AND('Endrunde 4'!$K34&lt;&gt;"",'Endrunde 4'!$M34&lt;&gt;"",'Endrunde 4'!$K34&lt;&gt;'Endrunde 4'!$M34,OR(AND('Endrunde 4'!$N34="",'Endrunde 4'!$P34=""),AND('Endrunde 4'!$N34&lt;&gt;"",'Endrunde 4'!$P34&lt;&gt;"",'Endrunde 4'!$N34&lt;&gt;'Endrunde 4'!$P34)),'Endrunde 4'!$H34&lt;&gt;"",'Endrunde 4'!$J34&lt;&gt;"",'Endrunde 4'!$H34&lt;&gt;'Endrunde 4'!$J34),1,0)</f>
        <v>1</v>
      </c>
      <c r="AB86" s="13"/>
      <c r="AD86" s="141"/>
      <c r="AE86" s="146">
        <f t="shared" ca="1" si="1"/>
        <v>1</v>
      </c>
      <c r="AF86" s="141">
        <f t="shared" ca="1" si="2"/>
        <v>1</v>
      </c>
      <c r="AG86" s="146">
        <f ca="1">IF($AA86=1,'Endrunde 4'!$N34,"")</f>
        <v>25</v>
      </c>
      <c r="AH86" s="141">
        <f ca="1">IF($AA86=1,'Endrunde 4'!$P34,"")</f>
        <v>22</v>
      </c>
      <c r="AI86" s="141" t="str">
        <f ca="1">IF(AA86&gt;0,AE86&amp;Sprache!$E$90&amp;AF86,"")</f>
        <v>1:1</v>
      </c>
    </row>
    <row r="87" spans="2:35" s="2" customFormat="1" x14ac:dyDescent="0.2">
      <c r="B87" s="4"/>
      <c r="C87" s="4"/>
      <c r="D87" s="4"/>
      <c r="E87" s="4"/>
      <c r="F87" s="13"/>
      <c r="G87" s="13"/>
      <c r="H87" s="13"/>
      <c r="I87" s="13"/>
      <c r="J87" s="13"/>
      <c r="K87" s="13"/>
      <c r="L87" s="13"/>
      <c r="M87" s="13"/>
      <c r="U87" s="66" t="s">
        <v>38</v>
      </c>
      <c r="V87" s="40" t="str">
        <f ca="1">'Endrunde 4'!$H35</f>
        <v>TSG Saalberg eV</v>
      </c>
      <c r="W87" s="13" t="str">
        <f ca="1">'Endrunde 4'!$J35</f>
        <v>Mainz 05</v>
      </c>
      <c r="X87" s="13">
        <f ca="1">IF($AA87=1,'Endrunde 4'!$K35,"")</f>
        <v>14</v>
      </c>
      <c r="Y87" s="35">
        <f ca="1">IF($AA87=1,'Endrunde 4'!$M35,"")</f>
        <v>25</v>
      </c>
      <c r="Z87" s="34" t="str">
        <f t="shared" ca="1" si="3"/>
        <v>TSG Saalberg eVMainz 05</v>
      </c>
      <c r="AA87" s="13">
        <f ca="1">IF(AND('Endrunde 4'!$K35&lt;&gt;"",'Endrunde 4'!$M35&lt;&gt;"",'Endrunde 4'!$K35&lt;&gt;'Endrunde 4'!$M35,OR(AND('Endrunde 4'!$N35="",'Endrunde 4'!$P35=""),AND('Endrunde 4'!$N35&lt;&gt;"",'Endrunde 4'!$P35&lt;&gt;"",'Endrunde 4'!$N35&lt;&gt;'Endrunde 4'!$P35)),'Endrunde 4'!$H35&lt;&gt;"",'Endrunde 4'!$J35&lt;&gt;"",'Endrunde 4'!$H35&lt;&gt;'Endrunde 4'!$J35),1,0)</f>
        <v>1</v>
      </c>
      <c r="AB87" s="13"/>
      <c r="AD87" s="141"/>
      <c r="AE87" s="146">
        <f t="shared" ca="1" si="1"/>
        <v>1</v>
      </c>
      <c r="AF87" s="141">
        <f t="shared" ca="1" si="2"/>
        <v>1</v>
      </c>
      <c r="AG87" s="146">
        <f ca="1">IF($AA87=1,'Endrunde 4'!$N35,"")</f>
        <v>25</v>
      </c>
      <c r="AH87" s="141">
        <f ca="1">IF($AA87=1,'Endrunde 4'!$P35,"")</f>
        <v>23</v>
      </c>
      <c r="AI87" s="141" t="str">
        <f ca="1">IF(AA87&gt;0,AE87&amp;Sprache!$E$90&amp;AF87,"")</f>
        <v>1:1</v>
      </c>
    </row>
    <row r="88" spans="2:35" s="2" customFormat="1" x14ac:dyDescent="0.2">
      <c r="B88" s="4"/>
      <c r="C88" s="4"/>
      <c r="D88" s="4"/>
      <c r="E88" s="4"/>
      <c r="F88" s="13"/>
      <c r="G88" s="13"/>
      <c r="H88" s="13"/>
      <c r="I88" s="13"/>
      <c r="J88" s="13"/>
      <c r="K88" s="13"/>
      <c r="L88" s="13"/>
      <c r="M88" s="13"/>
      <c r="U88" s="66" t="s">
        <v>39</v>
      </c>
      <c r="V88" s="40" t="str">
        <f ca="1">'Endrunde 4'!$H36</f>
        <v/>
      </c>
      <c r="W88" s="13" t="str">
        <f ca="1">'Endrunde 4'!$J36</f>
        <v/>
      </c>
      <c r="X88" s="13" t="str">
        <f ca="1">IF($AA88=1,'Endrunde 4'!$K36,"")</f>
        <v/>
      </c>
      <c r="Y88" s="35" t="str">
        <f ca="1">IF($AA88=1,'Endrunde 4'!$M36,"")</f>
        <v/>
      </c>
      <c r="Z88" s="34" t="str">
        <f t="shared" ca="1" si="3"/>
        <v/>
      </c>
      <c r="AA88" s="13">
        <f ca="1">IF(AND('Endrunde 4'!$K36&lt;&gt;"",'Endrunde 4'!$M36&lt;&gt;"",'Endrunde 4'!$K36&lt;&gt;'Endrunde 4'!$M36,OR(AND('Endrunde 4'!$N36="",'Endrunde 4'!$P36=""),AND('Endrunde 4'!$N36&lt;&gt;"",'Endrunde 4'!$P36&lt;&gt;"",'Endrunde 4'!$N36&lt;&gt;'Endrunde 4'!$P36)),'Endrunde 4'!$H36&lt;&gt;"",'Endrunde 4'!$J36&lt;&gt;"",'Endrunde 4'!$H36&lt;&gt;'Endrunde 4'!$J36),1,0)</f>
        <v>0</v>
      </c>
      <c r="AB88" s="13"/>
      <c r="AD88" s="141"/>
      <c r="AE88" s="146">
        <f t="shared" ca="1" si="1"/>
        <v>0</v>
      </c>
      <c r="AF88" s="141">
        <f t="shared" ca="1" si="2"/>
        <v>0</v>
      </c>
      <c r="AG88" s="146" t="str">
        <f ca="1">IF($AA88=1,'Endrunde 4'!$N36,"")</f>
        <v/>
      </c>
      <c r="AH88" s="141" t="str">
        <f ca="1">IF($AA88=1,'Endrunde 4'!$P36,"")</f>
        <v/>
      </c>
      <c r="AI88" s="141" t="str">
        <f ca="1">IF(AA88&gt;0,AE88&amp;Sprache!$E$90&amp;AF88,"")</f>
        <v/>
      </c>
    </row>
    <row r="89" spans="2:35" s="2" customFormat="1" x14ac:dyDescent="0.2">
      <c r="B89" s="4"/>
      <c r="C89" s="4"/>
      <c r="D89" s="4"/>
      <c r="E89" s="4"/>
      <c r="F89" s="13"/>
      <c r="G89" s="13"/>
      <c r="H89" s="13"/>
      <c r="I89" s="13"/>
      <c r="J89" s="13"/>
      <c r="K89" s="13"/>
      <c r="L89" s="13"/>
      <c r="M89" s="13"/>
      <c r="U89" s="66" t="s">
        <v>40</v>
      </c>
      <c r="V89" s="40" t="str">
        <f ca="1">'Endrunde 4'!$H37</f>
        <v>HSV</v>
      </c>
      <c r="W89" s="13" t="str">
        <f ca="1">'Endrunde 4'!$J37</f>
        <v>FC Barcelona</v>
      </c>
      <c r="X89" s="13">
        <f ca="1">IF($AA89=1,'Endrunde 4'!$K37,"")</f>
        <v>19</v>
      </c>
      <c r="Y89" s="35">
        <f ca="1">IF($AA89=1,'Endrunde 4'!$M37,"")</f>
        <v>25</v>
      </c>
      <c r="Z89" s="34" t="str">
        <f t="shared" ca="1" si="3"/>
        <v>HSVFC Barcelona</v>
      </c>
      <c r="AA89" s="13">
        <f ca="1">IF(AND('Endrunde 4'!$K37&lt;&gt;"",'Endrunde 4'!$M37&lt;&gt;"",'Endrunde 4'!$K37&lt;&gt;'Endrunde 4'!$M37,OR(AND('Endrunde 4'!$N37="",'Endrunde 4'!$P37=""),AND('Endrunde 4'!$N37&lt;&gt;"",'Endrunde 4'!$P37&lt;&gt;"",'Endrunde 4'!$N37&lt;&gt;'Endrunde 4'!$P37)),'Endrunde 4'!$H37&lt;&gt;"",'Endrunde 4'!$J37&lt;&gt;"",'Endrunde 4'!$H37&lt;&gt;'Endrunde 4'!$J37),1,0)</f>
        <v>1</v>
      </c>
      <c r="AB89" s="13"/>
      <c r="AD89" s="141"/>
      <c r="AE89" s="146">
        <f t="shared" ca="1" si="1"/>
        <v>1</v>
      </c>
      <c r="AF89" s="141">
        <f t="shared" ca="1" si="2"/>
        <v>1</v>
      </c>
      <c r="AG89" s="146">
        <f ca="1">IF($AA89=1,'Endrunde 4'!$N37,"")</f>
        <v>25</v>
      </c>
      <c r="AH89" s="141">
        <f ca="1">IF($AA89=1,'Endrunde 4'!$P37,"")</f>
        <v>18</v>
      </c>
      <c r="AI89" s="141" t="str">
        <f ca="1">IF(AA89&gt;0,AE89&amp;Sprache!$E$90&amp;AF89,"")</f>
        <v>1:1</v>
      </c>
    </row>
    <row r="90" spans="2:35" s="2" customFormat="1" x14ac:dyDescent="0.2">
      <c r="B90" s="4"/>
      <c r="C90" s="4"/>
      <c r="D90" s="4"/>
      <c r="E90" s="4"/>
      <c r="F90" s="13"/>
      <c r="G90" s="13"/>
      <c r="H90" s="13"/>
      <c r="I90" s="13"/>
      <c r="J90" s="13"/>
      <c r="K90" s="13"/>
      <c r="L90" s="13"/>
      <c r="M90" s="13"/>
      <c r="U90" s="66" t="s">
        <v>41</v>
      </c>
      <c r="V90" s="40" t="str">
        <f ca="1">'Endrunde 4'!$H38</f>
        <v>RB Leipzig</v>
      </c>
      <c r="W90" s="13" t="str">
        <f ca="1">'Endrunde 4'!$J38</f>
        <v>Maibach 1822 eV</v>
      </c>
      <c r="X90" s="13">
        <f ca="1">IF($AA90=1,'Endrunde 4'!$K38,"")</f>
        <v>22</v>
      </c>
      <c r="Y90" s="35">
        <f ca="1">IF($AA90=1,'Endrunde 4'!$M38,"")</f>
        <v>25</v>
      </c>
      <c r="Z90" s="34" t="str">
        <f t="shared" ca="1" si="3"/>
        <v>RB LeipzigMaibach 1822 eV</v>
      </c>
      <c r="AA90" s="13">
        <f ca="1">IF(AND('Endrunde 4'!$K38&lt;&gt;"",'Endrunde 4'!$M38&lt;&gt;"",'Endrunde 4'!$K38&lt;&gt;'Endrunde 4'!$M38,OR(AND('Endrunde 4'!$N38="",'Endrunde 4'!$P38=""),AND('Endrunde 4'!$N38&lt;&gt;"",'Endrunde 4'!$P38&lt;&gt;"",'Endrunde 4'!$N38&lt;&gt;'Endrunde 4'!$P38)),'Endrunde 4'!$H38&lt;&gt;"",'Endrunde 4'!$J38&lt;&gt;"",'Endrunde 4'!$H38&lt;&gt;'Endrunde 4'!$J38),1,0)</f>
        <v>1</v>
      </c>
      <c r="AB90" s="13"/>
      <c r="AD90" s="141"/>
      <c r="AE90" s="146">
        <f t="shared" ca="1" si="1"/>
        <v>1</v>
      </c>
      <c r="AF90" s="141">
        <f t="shared" ca="1" si="2"/>
        <v>1</v>
      </c>
      <c r="AG90" s="146">
        <f ca="1">IF($AA90=1,'Endrunde 4'!$N38,"")</f>
        <v>25</v>
      </c>
      <c r="AH90" s="141">
        <f ca="1">IF($AA90=1,'Endrunde 4'!$P38,"")</f>
        <v>19</v>
      </c>
      <c r="AI90" s="141" t="str">
        <f ca="1">IF(AA90&gt;0,AE90&amp;Sprache!$E$90&amp;AF90,"")</f>
        <v>1:1</v>
      </c>
    </row>
    <row r="91" spans="2:35" s="2" customFormat="1" x14ac:dyDescent="0.2">
      <c r="B91" s="4"/>
      <c r="C91" s="4"/>
      <c r="D91" s="4"/>
      <c r="E91" s="4"/>
      <c r="F91" s="13"/>
      <c r="G91" s="13"/>
      <c r="H91" s="13"/>
      <c r="I91" s="13"/>
      <c r="J91" s="13"/>
      <c r="K91" s="13"/>
      <c r="L91" s="13"/>
      <c r="M91" s="13"/>
      <c r="U91" s="66" t="s">
        <v>42</v>
      </c>
      <c r="V91" s="40" t="str">
        <f ca="1">'Endrunde 4'!$H39</f>
        <v>SV Oberredenburg</v>
      </c>
      <c r="W91" s="13" t="str">
        <f ca="1">'Endrunde 4'!$J39</f>
        <v>Eintracht Frankfurt</v>
      </c>
      <c r="X91" s="13">
        <f ca="1">IF($AA91=1,'Endrunde 4'!$K39,"")</f>
        <v>19</v>
      </c>
      <c r="Y91" s="35">
        <f ca="1">IF($AA91=1,'Endrunde 4'!$M39,"")</f>
        <v>25</v>
      </c>
      <c r="Z91" s="34" t="str">
        <f t="shared" ca="1" si="3"/>
        <v>SV OberredenburgEintracht Frankfurt</v>
      </c>
      <c r="AA91" s="13">
        <f ca="1">IF(AND('Endrunde 4'!$K39&lt;&gt;"",'Endrunde 4'!$M39&lt;&gt;"",'Endrunde 4'!$K39&lt;&gt;'Endrunde 4'!$M39,OR(AND('Endrunde 4'!$N39="",'Endrunde 4'!$P39=""),AND('Endrunde 4'!$N39&lt;&gt;"",'Endrunde 4'!$P39&lt;&gt;"",'Endrunde 4'!$N39&lt;&gt;'Endrunde 4'!$P39)),'Endrunde 4'!$H39&lt;&gt;"",'Endrunde 4'!$J39&lt;&gt;"",'Endrunde 4'!$H39&lt;&gt;'Endrunde 4'!$J39),1,0)</f>
        <v>1</v>
      </c>
      <c r="AB91" s="13"/>
      <c r="AD91" s="141"/>
      <c r="AE91" s="146">
        <f t="shared" ca="1" si="1"/>
        <v>1</v>
      </c>
      <c r="AF91" s="141">
        <f t="shared" ca="1" si="2"/>
        <v>1</v>
      </c>
      <c r="AG91" s="146">
        <f ca="1">IF($AA91=1,'Endrunde 4'!$N39,"")</f>
        <v>25</v>
      </c>
      <c r="AH91" s="141">
        <f ca="1">IF($AA91=1,'Endrunde 4'!$P39,"")</f>
        <v>20</v>
      </c>
      <c r="AI91" s="141" t="str">
        <f ca="1">IF(AA91&gt;0,AE91&amp;Sprache!$E$90&amp;AF91,"")</f>
        <v>1:1</v>
      </c>
    </row>
    <row r="92" spans="2:35" s="2" customFormat="1" x14ac:dyDescent="0.2">
      <c r="B92" s="4"/>
      <c r="C92" s="4"/>
      <c r="D92" s="4"/>
      <c r="E92" s="4"/>
      <c r="F92" s="13"/>
      <c r="G92" s="13"/>
      <c r="H92" s="13"/>
      <c r="I92" s="13"/>
      <c r="J92" s="13"/>
      <c r="K92" s="13"/>
      <c r="L92" s="13"/>
      <c r="M92" s="13"/>
      <c r="U92" s="66" t="s">
        <v>43</v>
      </c>
      <c r="V92" s="40" t="str">
        <f ca="1">'Endrunde 4'!$H40</f>
        <v>Paris St. Germain</v>
      </c>
      <c r="W92" s="13" t="str">
        <f ca="1">'Endrunde 4'!$J40</f>
        <v>VFB Essenheim</v>
      </c>
      <c r="X92" s="13">
        <f ca="1">IF($AA92=1,'Endrunde 4'!$K40,"")</f>
        <v>17</v>
      </c>
      <c r="Y92" s="35">
        <f ca="1">IF($AA92=1,'Endrunde 4'!$M40,"")</f>
        <v>25</v>
      </c>
      <c r="Z92" s="34" t="str">
        <f t="shared" ca="1" si="3"/>
        <v>Paris St. GermainVFB Essenheim</v>
      </c>
      <c r="AA92" s="13">
        <f ca="1">IF(AND('Endrunde 4'!$K40&lt;&gt;"",'Endrunde 4'!$M40&lt;&gt;"",'Endrunde 4'!$K40&lt;&gt;'Endrunde 4'!$M40,OR(AND('Endrunde 4'!$N40="",'Endrunde 4'!$P40=""),AND('Endrunde 4'!$N40&lt;&gt;"",'Endrunde 4'!$P40&lt;&gt;"",'Endrunde 4'!$N40&lt;&gt;'Endrunde 4'!$P40)),'Endrunde 4'!$H40&lt;&gt;"",'Endrunde 4'!$J40&lt;&gt;"",'Endrunde 4'!$H40&lt;&gt;'Endrunde 4'!$J40),1,0)</f>
        <v>1</v>
      </c>
      <c r="AB92" s="13"/>
      <c r="AD92" s="141"/>
      <c r="AE92" s="146">
        <f t="shared" ca="1" si="1"/>
        <v>0</v>
      </c>
      <c r="AF92" s="141">
        <f t="shared" ca="1" si="2"/>
        <v>2</v>
      </c>
      <c r="AG92" s="146">
        <f ca="1">IF($AA92=1,'Endrunde 4'!$N40,"")</f>
        <v>17</v>
      </c>
      <c r="AH92" s="141">
        <f ca="1">IF($AA92=1,'Endrunde 4'!$P40,"")</f>
        <v>21</v>
      </c>
      <c r="AI92" s="141" t="str">
        <f ca="1">IF(AA92&gt;0,AE92&amp;Sprache!$E$90&amp;AF92,"")</f>
        <v>0:2</v>
      </c>
    </row>
    <row r="93" spans="2:35" s="2" customFormat="1" x14ac:dyDescent="0.2">
      <c r="B93" s="4"/>
      <c r="C93" s="4"/>
      <c r="D93" s="4"/>
      <c r="E93" s="4"/>
      <c r="F93" s="13"/>
      <c r="G93" s="13"/>
      <c r="H93" s="13"/>
      <c r="I93" s="13"/>
      <c r="J93" s="13"/>
      <c r="K93" s="13"/>
      <c r="L93" s="13"/>
      <c r="M93" s="13"/>
      <c r="U93" s="66" t="s">
        <v>44</v>
      </c>
      <c r="V93" s="40" t="str">
        <f ca="1">'Endrunde 4'!$H41</f>
        <v>TSG Saalberg eV</v>
      </c>
      <c r="W93" s="13" t="str">
        <f ca="1">'Endrunde 4'!$J41</f>
        <v>1. FC Riedwald</v>
      </c>
      <c r="X93" s="13">
        <f ca="1">IF($AA93=1,'Endrunde 4'!$K41,"")</f>
        <v>14</v>
      </c>
      <c r="Y93" s="35">
        <f ca="1">IF($AA93=1,'Endrunde 4'!$M41,"")</f>
        <v>25</v>
      </c>
      <c r="Z93" s="34" t="str">
        <f t="shared" ca="1" si="3"/>
        <v>TSG Saalberg eV1. FC Riedwald</v>
      </c>
      <c r="AA93" s="13">
        <f ca="1">IF(AND('Endrunde 4'!$K41&lt;&gt;"",'Endrunde 4'!$M41&lt;&gt;"",'Endrunde 4'!$K41&lt;&gt;'Endrunde 4'!$M41,OR(AND('Endrunde 4'!$N41="",'Endrunde 4'!$P41=""),AND('Endrunde 4'!$N41&lt;&gt;"",'Endrunde 4'!$P41&lt;&gt;"",'Endrunde 4'!$N41&lt;&gt;'Endrunde 4'!$P41)),'Endrunde 4'!$H41&lt;&gt;"",'Endrunde 4'!$J41&lt;&gt;"",'Endrunde 4'!$H41&lt;&gt;'Endrunde 4'!$J41),1,0)</f>
        <v>1</v>
      </c>
      <c r="AB93" s="13"/>
      <c r="AD93" s="141"/>
      <c r="AE93" s="146">
        <f t="shared" ca="1" si="1"/>
        <v>1</v>
      </c>
      <c r="AF93" s="141">
        <f t="shared" ca="1" si="2"/>
        <v>1</v>
      </c>
      <c r="AG93" s="146">
        <f ca="1">IF($AA93=1,'Endrunde 4'!$N41,"")</f>
        <v>25</v>
      </c>
      <c r="AH93" s="141">
        <f ca="1">IF($AA93=1,'Endrunde 4'!$P41,"")</f>
        <v>22</v>
      </c>
      <c r="AI93" s="141" t="str">
        <f ca="1">IF(AA93&gt;0,AE93&amp;Sprache!$E$90&amp;AF93,"")</f>
        <v>1:1</v>
      </c>
    </row>
    <row r="94" spans="2:35" s="2" customFormat="1" x14ac:dyDescent="0.2">
      <c r="B94" s="4"/>
      <c r="C94" s="4"/>
      <c r="D94" s="4"/>
      <c r="E94" s="4"/>
      <c r="F94" s="13"/>
      <c r="G94" s="13"/>
      <c r="H94" s="13"/>
      <c r="I94" s="13"/>
      <c r="J94" s="13"/>
      <c r="K94" s="13"/>
      <c r="L94" s="13"/>
      <c r="M94" s="13"/>
      <c r="U94" s="66" t="s">
        <v>45</v>
      </c>
      <c r="V94" s="40" t="str">
        <f ca="1">'Endrunde 4'!$H42</f>
        <v/>
      </c>
      <c r="W94" s="13" t="str">
        <f ca="1">'Endrunde 4'!$J42</f>
        <v/>
      </c>
      <c r="X94" s="13" t="str">
        <f ca="1">IF($AA94=1,'Endrunde 4'!$K42,"")</f>
        <v/>
      </c>
      <c r="Y94" s="35" t="str">
        <f ca="1">IF($AA94=1,'Endrunde 4'!$M42,"")</f>
        <v/>
      </c>
      <c r="Z94" s="34" t="str">
        <f t="shared" ca="1" si="3"/>
        <v/>
      </c>
      <c r="AA94" s="13">
        <f ca="1">IF(AND('Endrunde 4'!$K42&lt;&gt;"",'Endrunde 4'!$M42&lt;&gt;"",'Endrunde 4'!$K42&lt;&gt;'Endrunde 4'!$M42,OR(AND('Endrunde 4'!$N42="",'Endrunde 4'!$P42=""),AND('Endrunde 4'!$N42&lt;&gt;"",'Endrunde 4'!$P42&lt;&gt;"",'Endrunde 4'!$N42&lt;&gt;'Endrunde 4'!$P42)),'Endrunde 4'!$H42&lt;&gt;"",'Endrunde 4'!$J42&lt;&gt;"",'Endrunde 4'!$H42&lt;&gt;'Endrunde 4'!$J42),1,0)</f>
        <v>0</v>
      </c>
      <c r="AB94" s="13"/>
      <c r="AD94" s="141"/>
      <c r="AE94" s="146">
        <f t="shared" ca="1" si="1"/>
        <v>0</v>
      </c>
      <c r="AF94" s="141">
        <f t="shared" ca="1" si="2"/>
        <v>0</v>
      </c>
      <c r="AG94" s="146" t="str">
        <f ca="1">IF($AA94=1,'Endrunde 4'!$N42,"")</f>
        <v/>
      </c>
      <c r="AH94" s="141" t="str">
        <f ca="1">IF($AA94=1,'Endrunde 4'!$P42,"")</f>
        <v/>
      </c>
      <c r="AI94" s="141" t="str">
        <f ca="1">IF(AA94&gt;0,AE94&amp;Sprache!$E$90&amp;AF94,"")</f>
        <v/>
      </c>
    </row>
    <row r="95" spans="2:35" s="2" customFormat="1" x14ac:dyDescent="0.2">
      <c r="B95" s="4"/>
      <c r="C95" s="4"/>
      <c r="D95" s="4"/>
      <c r="E95" s="4"/>
      <c r="F95" s="13"/>
      <c r="G95" s="13"/>
      <c r="H95" s="13"/>
      <c r="I95" s="13"/>
      <c r="J95" s="13"/>
      <c r="K95" s="13"/>
      <c r="L95" s="13"/>
      <c r="M95" s="13"/>
      <c r="U95" s="66" t="s">
        <v>46</v>
      </c>
      <c r="V95" s="40" t="str">
        <f ca="1">'Endrunde 4'!$H43</f>
        <v>Manchester City</v>
      </c>
      <c r="W95" s="13" t="str">
        <f ca="1">'Endrunde 4'!$J43</f>
        <v>Real Madrid</v>
      </c>
      <c r="X95" s="13">
        <f ca="1">IF($AA95=1,'Endrunde 4'!$K43,"")</f>
        <v>19</v>
      </c>
      <c r="Y95" s="35">
        <f ca="1">IF($AA95=1,'Endrunde 4'!$M43,"")</f>
        <v>25</v>
      </c>
      <c r="Z95" s="34" t="str">
        <f t="shared" ca="1" si="3"/>
        <v>Manchester CityReal Madrid</v>
      </c>
      <c r="AA95" s="13">
        <f ca="1">IF(AND('Endrunde 4'!$K43&lt;&gt;"",'Endrunde 4'!$M43&lt;&gt;"",'Endrunde 4'!$K43&lt;&gt;'Endrunde 4'!$M43,OR(AND('Endrunde 4'!$N43="",'Endrunde 4'!$P43=""),AND('Endrunde 4'!$N43&lt;&gt;"",'Endrunde 4'!$P43&lt;&gt;"",'Endrunde 4'!$N43&lt;&gt;'Endrunde 4'!$P43)),'Endrunde 4'!$H43&lt;&gt;"",'Endrunde 4'!$J43&lt;&gt;"",'Endrunde 4'!$H43&lt;&gt;'Endrunde 4'!$J43),1,0)</f>
        <v>1</v>
      </c>
      <c r="AB95" s="13"/>
      <c r="AD95" s="141"/>
      <c r="AE95" s="146">
        <f t="shared" ca="1" si="1"/>
        <v>1</v>
      </c>
      <c r="AF95" s="141">
        <f t="shared" ca="1" si="2"/>
        <v>1</v>
      </c>
      <c r="AG95" s="146">
        <f ca="1">IF($AA95=1,'Endrunde 4'!$N43,"")</f>
        <v>25</v>
      </c>
      <c r="AH95" s="141">
        <f ca="1">IF($AA95=1,'Endrunde 4'!$P43,"")</f>
        <v>17</v>
      </c>
      <c r="AI95" s="141" t="str">
        <f ca="1">IF(AA95&gt;0,AE95&amp;Sprache!$E$90&amp;AF95,"")</f>
        <v>1:1</v>
      </c>
    </row>
    <row r="96" spans="2:35" s="2" customFormat="1" x14ac:dyDescent="0.2">
      <c r="B96" s="4"/>
      <c r="C96" s="4"/>
      <c r="D96" s="4"/>
      <c r="E96" s="4"/>
      <c r="F96" s="13"/>
      <c r="G96" s="13"/>
      <c r="H96" s="13"/>
      <c r="I96" s="13"/>
      <c r="J96" s="13"/>
      <c r="K96" s="13"/>
      <c r="L96" s="13"/>
      <c r="M96" s="13"/>
      <c r="U96" s="66" t="s">
        <v>47</v>
      </c>
      <c r="V96" s="40" t="str">
        <f ca="1">'Endrunde 4'!$H44</f>
        <v>Inter Mailand</v>
      </c>
      <c r="W96" s="13" t="str">
        <f ca="1">'Endrunde 4'!$J44</f>
        <v>1. FC Nürnberg</v>
      </c>
      <c r="X96" s="13">
        <f ca="1">IF($AA96=1,'Endrunde 4'!$K44,"")</f>
        <v>17</v>
      </c>
      <c r="Y96" s="35">
        <f ca="1">IF($AA96=1,'Endrunde 4'!$M44,"")</f>
        <v>25</v>
      </c>
      <c r="Z96" s="34" t="str">
        <f t="shared" ca="1" si="3"/>
        <v>Inter Mailand1. FC Nürnberg</v>
      </c>
      <c r="AA96" s="13">
        <f ca="1">IF(AND('Endrunde 4'!$K44&lt;&gt;"",'Endrunde 4'!$M44&lt;&gt;"",'Endrunde 4'!$K44&lt;&gt;'Endrunde 4'!$M44,OR(AND('Endrunde 4'!$N44="",'Endrunde 4'!$P44=""),AND('Endrunde 4'!$N44&lt;&gt;"",'Endrunde 4'!$P44&lt;&gt;"",'Endrunde 4'!$N44&lt;&gt;'Endrunde 4'!$P44)),'Endrunde 4'!$H44&lt;&gt;"",'Endrunde 4'!$J44&lt;&gt;"",'Endrunde 4'!$H44&lt;&gt;'Endrunde 4'!$J44),1,0)</f>
        <v>1</v>
      </c>
      <c r="AB96" s="13"/>
      <c r="AD96" s="141"/>
      <c r="AE96" s="146">
        <f t="shared" ca="1" si="1"/>
        <v>1</v>
      </c>
      <c r="AF96" s="141">
        <f t="shared" ca="1" si="2"/>
        <v>1</v>
      </c>
      <c r="AG96" s="146">
        <f ca="1">IF($AA96=1,'Endrunde 4'!$N44,"")</f>
        <v>25</v>
      </c>
      <c r="AH96" s="141">
        <f ca="1">IF($AA96=1,'Endrunde 4'!$P44,"")</f>
        <v>18</v>
      </c>
      <c r="AI96" s="141" t="str">
        <f ca="1">IF(AA96&gt;0,AE96&amp;Sprache!$E$90&amp;AF96,"")</f>
        <v>1:1</v>
      </c>
    </row>
    <row r="97" spans="2:35" s="2" customFormat="1" x14ac:dyDescent="0.2">
      <c r="B97" s="4"/>
      <c r="C97" s="4"/>
      <c r="D97" s="4"/>
      <c r="E97" s="4"/>
      <c r="F97" s="13"/>
      <c r="G97" s="13"/>
      <c r="H97" s="13"/>
      <c r="I97" s="13"/>
      <c r="J97" s="13"/>
      <c r="K97" s="13"/>
      <c r="L97" s="13"/>
      <c r="M97" s="13"/>
      <c r="U97" s="66" t="s">
        <v>48</v>
      </c>
      <c r="V97" s="40" t="str">
        <f ca="1">'Endrunde 4'!$H45</f>
        <v>FC Grönlingen</v>
      </c>
      <c r="W97" s="13" t="str">
        <f ca="1">'Endrunde 4'!$J45</f>
        <v>Borussia Dortmund</v>
      </c>
      <c r="X97" s="13">
        <f ca="1">IF($AA97=1,'Endrunde 4'!$K45,"")</f>
        <v>14</v>
      </c>
      <c r="Y97" s="35">
        <f ca="1">IF($AA97=1,'Endrunde 4'!$M45,"")</f>
        <v>25</v>
      </c>
      <c r="Z97" s="34" t="str">
        <f t="shared" ca="1" si="3"/>
        <v>FC GrönlingenBorussia Dortmund</v>
      </c>
      <c r="AA97" s="13">
        <f ca="1">IF(AND('Endrunde 4'!$K45&lt;&gt;"",'Endrunde 4'!$M45&lt;&gt;"",'Endrunde 4'!$K45&lt;&gt;'Endrunde 4'!$M45,OR(AND('Endrunde 4'!$N45="",'Endrunde 4'!$P45=""),AND('Endrunde 4'!$N45&lt;&gt;"",'Endrunde 4'!$P45&lt;&gt;"",'Endrunde 4'!$N45&lt;&gt;'Endrunde 4'!$P45)),'Endrunde 4'!$H45&lt;&gt;"",'Endrunde 4'!$J45&lt;&gt;"",'Endrunde 4'!$H45&lt;&gt;'Endrunde 4'!$J45),1,0)</f>
        <v>1</v>
      </c>
      <c r="AB97" s="13"/>
      <c r="AD97" s="141"/>
      <c r="AE97" s="146">
        <f t="shared" ca="1" si="1"/>
        <v>1</v>
      </c>
      <c r="AF97" s="141">
        <f t="shared" ca="1" si="2"/>
        <v>1</v>
      </c>
      <c r="AG97" s="146">
        <f ca="1">IF($AA97=1,'Endrunde 4'!$N45,"")</f>
        <v>25</v>
      </c>
      <c r="AH97" s="141">
        <f ca="1">IF($AA97=1,'Endrunde 4'!$P45,"")</f>
        <v>19</v>
      </c>
      <c r="AI97" s="141" t="str">
        <f ca="1">IF(AA97&gt;0,AE97&amp;Sprache!$E$90&amp;AF97,"")</f>
        <v>1:1</v>
      </c>
    </row>
    <row r="98" spans="2:35" s="2" customFormat="1" x14ac:dyDescent="0.2">
      <c r="B98" s="4"/>
      <c r="C98" s="4"/>
      <c r="D98" s="4"/>
      <c r="E98" s="4"/>
      <c r="F98" s="13"/>
      <c r="G98" s="13"/>
      <c r="H98" s="13"/>
      <c r="I98" s="13"/>
      <c r="J98" s="13"/>
      <c r="K98" s="13"/>
      <c r="L98" s="13"/>
      <c r="M98" s="13"/>
      <c r="U98" s="66" t="s">
        <v>49</v>
      </c>
      <c r="V98" s="40" t="str">
        <f ca="1">'Endrunde 4'!$H46</f>
        <v>SSV Wildbach</v>
      </c>
      <c r="W98" s="13" t="str">
        <f ca="1">'Endrunde 4'!$J46</f>
        <v>FSV Rauen</v>
      </c>
      <c r="X98" s="13">
        <f ca="1">IF($AA98=1,'Endrunde 4'!$K46,"")</f>
        <v>25</v>
      </c>
      <c r="Y98" s="35">
        <f ca="1">IF($AA98=1,'Endrunde 4'!$M46,"")</f>
        <v>21</v>
      </c>
      <c r="Z98" s="34" t="str">
        <f t="shared" ca="1" si="3"/>
        <v>SSV WildbachFSV Rauen</v>
      </c>
      <c r="AA98" s="13">
        <f ca="1">IF(AND('Endrunde 4'!$K46&lt;&gt;"",'Endrunde 4'!$M46&lt;&gt;"",'Endrunde 4'!$K46&lt;&gt;'Endrunde 4'!$M46,OR(AND('Endrunde 4'!$N46="",'Endrunde 4'!$P46=""),AND('Endrunde 4'!$N46&lt;&gt;"",'Endrunde 4'!$P46&lt;&gt;"",'Endrunde 4'!$N46&lt;&gt;'Endrunde 4'!$P46)),'Endrunde 4'!$H46&lt;&gt;"",'Endrunde 4'!$J46&lt;&gt;"",'Endrunde 4'!$H46&lt;&gt;'Endrunde 4'!$J46),1,0)</f>
        <v>1</v>
      </c>
      <c r="AB98" s="13"/>
      <c r="AD98" s="141"/>
      <c r="AE98" s="146">
        <f t="shared" ca="1" si="1"/>
        <v>2</v>
      </c>
      <c r="AF98" s="141">
        <f t="shared" ca="1" si="2"/>
        <v>0</v>
      </c>
      <c r="AG98" s="146">
        <f ca="1">IF($AA98=1,'Endrunde 4'!$N46,"")</f>
        <v>25</v>
      </c>
      <c r="AH98" s="141">
        <f ca="1">IF($AA98=1,'Endrunde 4'!$P46,"")</f>
        <v>20</v>
      </c>
      <c r="AI98" s="141" t="str">
        <f ca="1">IF(AA98&gt;0,AE98&amp;Sprache!$E$90&amp;AF98,"")</f>
        <v>2:0</v>
      </c>
    </row>
    <row r="99" spans="2:35" s="2" customFormat="1" ht="12.75" thickBot="1" x14ac:dyDescent="0.25">
      <c r="B99" s="4"/>
      <c r="C99" s="4"/>
      <c r="D99" s="4"/>
      <c r="E99" s="4"/>
      <c r="F99" s="13"/>
      <c r="G99" s="13"/>
      <c r="H99" s="13"/>
      <c r="I99" s="13"/>
      <c r="J99" s="13"/>
      <c r="K99" s="13"/>
      <c r="L99" s="13"/>
      <c r="M99" s="13"/>
      <c r="U99" s="66" t="s">
        <v>50</v>
      </c>
      <c r="V99" s="40" t="str">
        <f ca="1">'Endrunde 4'!$H47</f>
        <v>Mainz 05</v>
      </c>
      <c r="W99" s="13" t="str">
        <f ca="1">'Endrunde 4'!$J47</f>
        <v>Kickers Rodendorf</v>
      </c>
      <c r="X99" s="13">
        <f ca="1">IF($AA99=1,'Endrunde 4'!$K47,"")</f>
        <v>25</v>
      </c>
      <c r="Y99" s="35">
        <f ca="1">IF($AA99=1,'Endrunde 4'!$M47,"")</f>
        <v>19</v>
      </c>
      <c r="Z99" s="34" t="str">
        <f t="shared" ca="1" si="3"/>
        <v>Mainz 05Kickers Rodendorf</v>
      </c>
      <c r="AA99" s="13">
        <f ca="1">IF(AND('Endrunde 4'!$K47&lt;&gt;"",'Endrunde 4'!$M47&lt;&gt;"",'Endrunde 4'!$K47&lt;&gt;'Endrunde 4'!$M47,OR(AND('Endrunde 4'!$N47="",'Endrunde 4'!$P47=""),AND('Endrunde 4'!$N47&lt;&gt;"",'Endrunde 4'!$P47&lt;&gt;"",'Endrunde 4'!$N47&lt;&gt;'Endrunde 4'!$P47)),'Endrunde 4'!$H47&lt;&gt;"",'Endrunde 4'!$J47&lt;&gt;"",'Endrunde 4'!$H47&lt;&gt;'Endrunde 4'!$J47),1,0)</f>
        <v>1</v>
      </c>
      <c r="AB99" s="13"/>
      <c r="AD99" s="141"/>
      <c r="AE99" s="146">
        <f t="shared" ca="1" si="1"/>
        <v>2</v>
      </c>
      <c r="AF99" s="141">
        <f t="shared" ca="1" si="2"/>
        <v>0</v>
      </c>
      <c r="AG99" s="146">
        <f ca="1">IF($AA99=1,'Endrunde 4'!$N47,"")</f>
        <v>25</v>
      </c>
      <c r="AH99" s="141">
        <f ca="1">IF($AA99=1,'Endrunde 4'!$P47,"")</f>
        <v>21</v>
      </c>
      <c r="AI99" s="141" t="str">
        <f ca="1">IF(AA99&gt;0,AE99&amp;Sprache!$E$90&amp;AF99,"")</f>
        <v>2:0</v>
      </c>
    </row>
    <row r="100" spans="2:35" s="2" customFormat="1" ht="12.75" thickTop="1" x14ac:dyDescent="0.2">
      <c r="B100" s="4"/>
      <c r="C100" s="4"/>
      <c r="D100" s="4"/>
      <c r="E100" s="4"/>
      <c r="F100" s="13"/>
      <c r="G100" s="13"/>
      <c r="H100" s="13"/>
      <c r="I100" s="13"/>
      <c r="J100" s="13"/>
      <c r="K100" s="13"/>
      <c r="L100" s="13"/>
      <c r="M100" s="13"/>
      <c r="U100" s="301" t="s">
        <v>58</v>
      </c>
      <c r="V100" s="302" t="str">
        <f>""</f>
        <v/>
      </c>
      <c r="W100" s="303" t="str">
        <f>""</f>
        <v/>
      </c>
      <c r="X100" s="303" t="str">
        <f>""</f>
        <v/>
      </c>
      <c r="Y100" s="304" t="str">
        <f>""</f>
        <v/>
      </c>
      <c r="Z100" s="305" t="str">
        <f>""</f>
        <v/>
      </c>
      <c r="AA100" s="303">
        <v>0</v>
      </c>
      <c r="AB100" s="303"/>
      <c r="AC100" s="306"/>
      <c r="AD100" s="307"/>
      <c r="AE100" s="308"/>
      <c r="AF100" s="307"/>
      <c r="AG100" s="308" t="str">
        <f>""</f>
        <v/>
      </c>
      <c r="AH100" s="307" t="str">
        <f>""</f>
        <v/>
      </c>
      <c r="AI100" s="307"/>
    </row>
    <row r="101" spans="2:35" s="2" customFormat="1" x14ac:dyDescent="0.2">
      <c r="B101" s="4"/>
      <c r="C101" s="4"/>
      <c r="D101" s="4"/>
      <c r="E101" s="4"/>
      <c r="F101" s="13"/>
      <c r="G101" s="13"/>
      <c r="H101" s="13"/>
      <c r="I101" s="13"/>
      <c r="J101" s="13"/>
      <c r="K101" s="13"/>
      <c r="L101" s="13"/>
      <c r="M101" s="13"/>
      <c r="U101" s="66" t="s">
        <v>59</v>
      </c>
      <c r="V101" s="40" t="str">
        <f>""</f>
        <v/>
      </c>
      <c r="W101" s="13" t="str">
        <f>""</f>
        <v/>
      </c>
      <c r="X101" s="13" t="str">
        <f>""</f>
        <v/>
      </c>
      <c r="Y101" s="35" t="str">
        <f>""</f>
        <v/>
      </c>
      <c r="Z101" s="34" t="str">
        <f>""</f>
        <v/>
      </c>
      <c r="AA101" s="13">
        <v>0</v>
      </c>
      <c r="AB101" s="13"/>
      <c r="AD101" s="141"/>
      <c r="AE101" s="146"/>
      <c r="AF101" s="141"/>
      <c r="AG101" s="146" t="str">
        <f>""</f>
        <v/>
      </c>
      <c r="AH101" s="141" t="str">
        <f>""</f>
        <v/>
      </c>
      <c r="AI101" s="141"/>
    </row>
    <row r="102" spans="2:35" s="2" customFormat="1" x14ac:dyDescent="0.2">
      <c r="B102" s="4"/>
      <c r="C102" s="4"/>
      <c r="D102" s="4"/>
      <c r="E102" s="4"/>
      <c r="F102" s="13"/>
      <c r="G102" s="13"/>
      <c r="H102" s="13"/>
      <c r="I102" s="13"/>
      <c r="J102" s="13"/>
      <c r="K102" s="13"/>
      <c r="L102" s="13"/>
      <c r="M102" s="13"/>
      <c r="U102" s="66" t="s">
        <v>60</v>
      </c>
      <c r="V102" s="40" t="str">
        <f>""</f>
        <v/>
      </c>
      <c r="W102" s="13" t="str">
        <f>""</f>
        <v/>
      </c>
      <c r="X102" s="13" t="str">
        <f>""</f>
        <v/>
      </c>
      <c r="Y102" s="35" t="str">
        <f>""</f>
        <v/>
      </c>
      <c r="Z102" s="34" t="str">
        <f>""</f>
        <v/>
      </c>
      <c r="AA102" s="13">
        <v>0</v>
      </c>
      <c r="AB102" s="13"/>
      <c r="AD102" s="141"/>
      <c r="AE102" s="146"/>
      <c r="AF102" s="141"/>
      <c r="AG102" s="146" t="str">
        <f>""</f>
        <v/>
      </c>
      <c r="AH102" s="141" t="str">
        <f>""</f>
        <v/>
      </c>
      <c r="AI102" s="141"/>
    </row>
    <row r="103" spans="2:35" s="2" customFormat="1" x14ac:dyDescent="0.2">
      <c r="B103" s="4"/>
      <c r="C103" s="4"/>
      <c r="D103" s="4"/>
      <c r="E103" s="4"/>
      <c r="F103" s="13"/>
      <c r="G103" s="13"/>
      <c r="H103" s="13"/>
      <c r="I103" s="13"/>
      <c r="J103" s="13"/>
      <c r="K103" s="13"/>
      <c r="L103" s="13"/>
      <c r="M103" s="13"/>
      <c r="U103" s="66" t="s">
        <v>61</v>
      </c>
      <c r="V103" s="40" t="str">
        <f>""</f>
        <v/>
      </c>
      <c r="W103" s="13" t="str">
        <f>""</f>
        <v/>
      </c>
      <c r="X103" s="13" t="str">
        <f>""</f>
        <v/>
      </c>
      <c r="Y103" s="35" t="str">
        <f>""</f>
        <v/>
      </c>
      <c r="Z103" s="34" t="str">
        <f>""</f>
        <v/>
      </c>
      <c r="AA103" s="13">
        <v>0</v>
      </c>
      <c r="AB103" s="13"/>
      <c r="AD103" s="141"/>
      <c r="AE103" s="146"/>
      <c r="AF103" s="141"/>
      <c r="AG103" s="146" t="str">
        <f>""</f>
        <v/>
      </c>
      <c r="AH103" s="141" t="str">
        <f>""</f>
        <v/>
      </c>
      <c r="AI103" s="141"/>
    </row>
    <row r="104" spans="2:35" s="2" customFormat="1" x14ac:dyDescent="0.2">
      <c r="B104" s="4"/>
      <c r="C104" s="4"/>
      <c r="D104" s="4"/>
      <c r="E104" s="4"/>
      <c r="F104" s="13"/>
      <c r="G104" s="13"/>
      <c r="H104" s="13"/>
      <c r="I104" s="13"/>
      <c r="J104" s="13"/>
      <c r="K104" s="13"/>
      <c r="L104" s="13"/>
      <c r="M104" s="13"/>
      <c r="U104" s="66" t="s">
        <v>62</v>
      </c>
      <c r="V104" s="40" t="str">
        <f>""</f>
        <v/>
      </c>
      <c r="W104" s="13" t="str">
        <f>""</f>
        <v/>
      </c>
      <c r="X104" s="13" t="str">
        <f>""</f>
        <v/>
      </c>
      <c r="Y104" s="35" t="str">
        <f>""</f>
        <v/>
      </c>
      <c r="Z104" s="34" t="str">
        <f>""</f>
        <v/>
      </c>
      <c r="AA104" s="13">
        <v>0</v>
      </c>
      <c r="AB104" s="13"/>
      <c r="AD104" s="141"/>
      <c r="AE104" s="146"/>
      <c r="AF104" s="141"/>
      <c r="AG104" s="146" t="str">
        <f>""</f>
        <v/>
      </c>
      <c r="AH104" s="141" t="str">
        <f>""</f>
        <v/>
      </c>
      <c r="AI104" s="141"/>
    </row>
    <row r="105" spans="2:35" s="2" customFormat="1" x14ac:dyDescent="0.2">
      <c r="B105" s="4"/>
      <c r="C105" s="4"/>
      <c r="D105" s="4"/>
      <c r="E105" s="4"/>
      <c r="F105" s="13"/>
      <c r="G105" s="13"/>
      <c r="H105" s="13"/>
      <c r="I105" s="13"/>
      <c r="J105" s="13"/>
      <c r="K105" s="13"/>
      <c r="L105" s="13"/>
      <c r="M105" s="13"/>
      <c r="U105" s="66" t="s">
        <v>63</v>
      </c>
      <c r="V105" s="40" t="str">
        <f>""</f>
        <v/>
      </c>
      <c r="W105" s="13" t="str">
        <f>""</f>
        <v/>
      </c>
      <c r="X105" s="13" t="str">
        <f>""</f>
        <v/>
      </c>
      <c r="Y105" s="35" t="str">
        <f>""</f>
        <v/>
      </c>
      <c r="Z105" s="34" t="str">
        <f>""</f>
        <v/>
      </c>
      <c r="AA105" s="13">
        <v>0</v>
      </c>
      <c r="AB105" s="13"/>
      <c r="AD105" s="141"/>
      <c r="AE105" s="146"/>
      <c r="AF105" s="141"/>
      <c r="AG105" s="146" t="str">
        <f>""</f>
        <v/>
      </c>
      <c r="AH105" s="141" t="str">
        <f>""</f>
        <v/>
      </c>
      <c r="AI105" s="141"/>
    </row>
    <row r="106" spans="2:35" s="2" customFormat="1" x14ac:dyDescent="0.2">
      <c r="B106" s="4"/>
      <c r="C106" s="4"/>
      <c r="D106" s="4"/>
      <c r="E106" s="4"/>
      <c r="F106" s="13"/>
      <c r="G106" s="13"/>
      <c r="H106" s="13"/>
      <c r="I106" s="13"/>
      <c r="J106" s="13"/>
      <c r="K106" s="13"/>
      <c r="L106" s="13"/>
      <c r="M106" s="13"/>
      <c r="U106" s="66" t="s">
        <v>64</v>
      </c>
      <c r="V106" s="40" t="str">
        <f>""</f>
        <v/>
      </c>
      <c r="W106" s="13" t="str">
        <f>""</f>
        <v/>
      </c>
      <c r="X106" s="13" t="str">
        <f>""</f>
        <v/>
      </c>
      <c r="Y106" s="35" t="str">
        <f>""</f>
        <v/>
      </c>
      <c r="Z106" s="34" t="str">
        <f>""</f>
        <v/>
      </c>
      <c r="AA106" s="13">
        <v>0</v>
      </c>
      <c r="AB106" s="13"/>
      <c r="AD106" s="141"/>
      <c r="AE106" s="146"/>
      <c r="AF106" s="141"/>
      <c r="AG106" s="146" t="str">
        <f>""</f>
        <v/>
      </c>
      <c r="AH106" s="141" t="str">
        <f>""</f>
        <v/>
      </c>
      <c r="AI106" s="141"/>
    </row>
    <row r="107" spans="2:35" s="2" customFormat="1" x14ac:dyDescent="0.2">
      <c r="B107" s="4"/>
      <c r="C107" s="4"/>
      <c r="D107" s="4"/>
      <c r="E107" s="4"/>
      <c r="F107" s="13"/>
      <c r="G107" s="13"/>
      <c r="H107" s="13"/>
      <c r="I107" s="13"/>
      <c r="J107" s="13"/>
      <c r="K107" s="13"/>
      <c r="L107" s="13"/>
      <c r="M107" s="13"/>
      <c r="U107" s="66" t="s">
        <v>65</v>
      </c>
      <c r="V107" s="40" t="str">
        <f>""</f>
        <v/>
      </c>
      <c r="W107" s="13" t="str">
        <f>""</f>
        <v/>
      </c>
      <c r="X107" s="13" t="str">
        <f>""</f>
        <v/>
      </c>
      <c r="Y107" s="35" t="str">
        <f>""</f>
        <v/>
      </c>
      <c r="Z107" s="34" t="str">
        <f>""</f>
        <v/>
      </c>
      <c r="AA107" s="13">
        <v>0</v>
      </c>
      <c r="AB107" s="13"/>
      <c r="AD107" s="141"/>
      <c r="AE107" s="146"/>
      <c r="AF107" s="141"/>
      <c r="AG107" s="146" t="str">
        <f>""</f>
        <v/>
      </c>
      <c r="AH107" s="141" t="str">
        <f>""</f>
        <v/>
      </c>
      <c r="AI107" s="141"/>
    </row>
    <row r="108" spans="2:35" s="2" customFormat="1" x14ac:dyDescent="0.2">
      <c r="B108" s="4"/>
      <c r="C108" s="4"/>
      <c r="D108" s="4"/>
      <c r="E108" s="4"/>
      <c r="F108" s="13"/>
      <c r="G108" s="13"/>
      <c r="H108" s="13"/>
      <c r="I108" s="13"/>
      <c r="J108" s="13"/>
      <c r="K108" s="13"/>
      <c r="L108" s="13"/>
      <c r="M108" s="13"/>
      <c r="U108" s="66" t="s">
        <v>66</v>
      </c>
      <c r="V108" s="40" t="str">
        <f>""</f>
        <v/>
      </c>
      <c r="W108" s="13" t="str">
        <f>""</f>
        <v/>
      </c>
      <c r="X108" s="13" t="str">
        <f>""</f>
        <v/>
      </c>
      <c r="Y108" s="35" t="str">
        <f>""</f>
        <v/>
      </c>
      <c r="Z108" s="34" t="str">
        <f>""</f>
        <v/>
      </c>
      <c r="AA108" s="13">
        <v>0</v>
      </c>
      <c r="AB108" s="13"/>
      <c r="AD108" s="141"/>
      <c r="AE108" s="146"/>
      <c r="AF108" s="141"/>
      <c r="AG108" s="146" t="str">
        <f>""</f>
        <v/>
      </c>
      <c r="AH108" s="141" t="str">
        <f>""</f>
        <v/>
      </c>
      <c r="AI108" s="141"/>
    </row>
    <row r="109" spans="2:35" s="2" customFormat="1" x14ac:dyDescent="0.2">
      <c r="B109" s="4"/>
      <c r="C109" s="4"/>
      <c r="D109" s="4"/>
      <c r="E109" s="4"/>
      <c r="F109" s="13"/>
      <c r="G109" s="13"/>
      <c r="H109" s="13"/>
      <c r="I109" s="13"/>
      <c r="J109" s="13"/>
      <c r="K109" s="13"/>
      <c r="L109" s="13"/>
      <c r="M109" s="13"/>
      <c r="U109" s="66" t="s">
        <v>67</v>
      </c>
      <c r="V109" s="40" t="str">
        <f>""</f>
        <v/>
      </c>
      <c r="W109" s="13" t="str">
        <f>""</f>
        <v/>
      </c>
      <c r="X109" s="13" t="str">
        <f>""</f>
        <v/>
      </c>
      <c r="Y109" s="35" t="str">
        <f>""</f>
        <v/>
      </c>
      <c r="Z109" s="34" t="str">
        <f>""</f>
        <v/>
      </c>
      <c r="AA109" s="13">
        <v>0</v>
      </c>
      <c r="AB109" s="13"/>
      <c r="AD109" s="141"/>
      <c r="AE109" s="146"/>
      <c r="AF109" s="141"/>
      <c r="AG109" s="146" t="str">
        <f>""</f>
        <v/>
      </c>
      <c r="AH109" s="141" t="str">
        <f>""</f>
        <v/>
      </c>
      <c r="AI109" s="141"/>
    </row>
    <row r="110" spans="2:35" s="2" customFormat="1" x14ac:dyDescent="0.2">
      <c r="B110" s="4"/>
      <c r="C110" s="4"/>
      <c r="D110" s="4"/>
      <c r="E110" s="4"/>
      <c r="F110" s="13"/>
      <c r="G110" s="13"/>
      <c r="H110" s="13"/>
      <c r="I110" s="13"/>
      <c r="J110" s="13"/>
      <c r="K110" s="13"/>
      <c r="L110" s="13"/>
      <c r="M110" s="13"/>
      <c r="U110" s="66" t="s">
        <v>68</v>
      </c>
      <c r="V110" s="40" t="str">
        <f>""</f>
        <v/>
      </c>
      <c r="W110" s="13" t="str">
        <f>""</f>
        <v/>
      </c>
      <c r="X110" s="13" t="str">
        <f>""</f>
        <v/>
      </c>
      <c r="Y110" s="35" t="str">
        <f>""</f>
        <v/>
      </c>
      <c r="Z110" s="34" t="str">
        <f>""</f>
        <v/>
      </c>
      <c r="AA110" s="13">
        <v>0</v>
      </c>
      <c r="AB110" s="13"/>
      <c r="AD110" s="141"/>
      <c r="AE110" s="146"/>
      <c r="AF110" s="141"/>
      <c r="AG110" s="146" t="str">
        <f>""</f>
        <v/>
      </c>
      <c r="AH110" s="141" t="str">
        <f>""</f>
        <v/>
      </c>
      <c r="AI110" s="141"/>
    </row>
    <row r="111" spans="2:35" s="2" customFormat="1" x14ac:dyDescent="0.2">
      <c r="B111" s="4"/>
      <c r="C111" s="4"/>
      <c r="D111" s="4"/>
      <c r="E111" s="4"/>
      <c r="F111" s="13"/>
      <c r="G111" s="13"/>
      <c r="H111" s="13"/>
      <c r="I111" s="13"/>
      <c r="J111" s="13"/>
      <c r="K111" s="13"/>
      <c r="L111" s="13"/>
      <c r="M111" s="13"/>
      <c r="U111" s="66" t="s">
        <v>69</v>
      </c>
      <c r="V111" s="40" t="str">
        <f>""</f>
        <v/>
      </c>
      <c r="W111" s="13" t="str">
        <f>""</f>
        <v/>
      </c>
      <c r="X111" s="13" t="str">
        <f>""</f>
        <v/>
      </c>
      <c r="Y111" s="35" t="str">
        <f>""</f>
        <v/>
      </c>
      <c r="Z111" s="34" t="str">
        <f>""</f>
        <v/>
      </c>
      <c r="AA111" s="13">
        <v>0</v>
      </c>
      <c r="AB111" s="13"/>
      <c r="AD111" s="141"/>
      <c r="AE111" s="146"/>
      <c r="AF111" s="141"/>
      <c r="AG111" s="146" t="str">
        <f>""</f>
        <v/>
      </c>
      <c r="AH111" s="141" t="str">
        <f>""</f>
        <v/>
      </c>
      <c r="AI111" s="141"/>
    </row>
    <row r="112" spans="2:35" s="2" customFormat="1" x14ac:dyDescent="0.2">
      <c r="B112" s="4"/>
      <c r="C112" s="4"/>
      <c r="D112" s="4"/>
      <c r="E112" s="4"/>
      <c r="F112" s="13"/>
      <c r="G112" s="13"/>
      <c r="H112" s="13"/>
      <c r="I112" s="13"/>
      <c r="J112" s="13"/>
      <c r="K112" s="13"/>
      <c r="L112" s="13"/>
      <c r="M112" s="13"/>
      <c r="U112" s="66" t="s">
        <v>70</v>
      </c>
      <c r="V112" s="40" t="str">
        <f>""</f>
        <v/>
      </c>
      <c r="W112" s="13" t="str">
        <f>""</f>
        <v/>
      </c>
      <c r="X112" s="13" t="str">
        <f>""</f>
        <v/>
      </c>
      <c r="Y112" s="35" t="str">
        <f>""</f>
        <v/>
      </c>
      <c r="Z112" s="34" t="str">
        <f>""</f>
        <v/>
      </c>
      <c r="AA112" s="13">
        <v>0</v>
      </c>
      <c r="AB112" s="13"/>
      <c r="AD112" s="141"/>
      <c r="AE112" s="146"/>
      <c r="AF112" s="141"/>
      <c r="AG112" s="146" t="str">
        <f>""</f>
        <v/>
      </c>
      <c r="AH112" s="141" t="str">
        <f>""</f>
        <v/>
      </c>
      <c r="AI112" s="141"/>
    </row>
    <row r="113" spans="2:35" s="2" customFormat="1" x14ac:dyDescent="0.2">
      <c r="B113" s="4"/>
      <c r="C113" s="4"/>
      <c r="D113" s="4"/>
      <c r="E113" s="4"/>
      <c r="F113" s="13"/>
      <c r="G113" s="13"/>
      <c r="H113" s="13"/>
      <c r="I113" s="13"/>
      <c r="J113" s="13"/>
      <c r="K113" s="13"/>
      <c r="L113" s="13"/>
      <c r="M113" s="13"/>
      <c r="U113" s="66" t="s">
        <v>71</v>
      </c>
      <c r="V113" s="40" t="str">
        <f>""</f>
        <v/>
      </c>
      <c r="W113" s="13" t="str">
        <f>""</f>
        <v/>
      </c>
      <c r="X113" s="13" t="str">
        <f>""</f>
        <v/>
      </c>
      <c r="Y113" s="35" t="str">
        <f>""</f>
        <v/>
      </c>
      <c r="Z113" s="34" t="str">
        <f>""</f>
        <v/>
      </c>
      <c r="AA113" s="13">
        <v>0</v>
      </c>
      <c r="AB113" s="13"/>
      <c r="AD113" s="141"/>
      <c r="AE113" s="146"/>
      <c r="AF113" s="141"/>
      <c r="AG113" s="146" t="str">
        <f>""</f>
        <v/>
      </c>
      <c r="AH113" s="141" t="str">
        <f>""</f>
        <v/>
      </c>
      <c r="AI113" s="141"/>
    </row>
    <row r="114" spans="2:35" s="2" customFormat="1" x14ac:dyDescent="0.2">
      <c r="B114" s="4"/>
      <c r="C114" s="4"/>
      <c r="D114" s="4"/>
      <c r="E114" s="4"/>
      <c r="F114" s="13"/>
      <c r="G114" s="13"/>
      <c r="H114" s="13"/>
      <c r="I114" s="13"/>
      <c r="J114" s="13"/>
      <c r="K114" s="13"/>
      <c r="L114" s="13"/>
      <c r="M114" s="13"/>
      <c r="U114" s="66" t="s">
        <v>72</v>
      </c>
      <c r="V114" s="40" t="str">
        <f>""</f>
        <v/>
      </c>
      <c r="W114" s="13" t="str">
        <f>""</f>
        <v/>
      </c>
      <c r="X114" s="13" t="str">
        <f>""</f>
        <v/>
      </c>
      <c r="Y114" s="35" t="str">
        <f>""</f>
        <v/>
      </c>
      <c r="Z114" s="34" t="str">
        <f>""</f>
        <v/>
      </c>
      <c r="AA114" s="13">
        <v>0</v>
      </c>
      <c r="AB114" s="13"/>
      <c r="AD114" s="141"/>
      <c r="AE114" s="146"/>
      <c r="AF114" s="141"/>
      <c r="AG114" s="146" t="str">
        <f>""</f>
        <v/>
      </c>
      <c r="AH114" s="141" t="str">
        <f>""</f>
        <v/>
      </c>
      <c r="AI114" s="141"/>
    </row>
    <row r="115" spans="2:35" s="2" customFormat="1" x14ac:dyDescent="0.2">
      <c r="B115" s="4"/>
      <c r="C115" s="4"/>
      <c r="D115" s="4"/>
      <c r="E115" s="4"/>
      <c r="F115" s="13"/>
      <c r="G115" s="13"/>
      <c r="H115" s="13"/>
      <c r="I115" s="13"/>
      <c r="J115" s="13"/>
      <c r="K115" s="13"/>
      <c r="L115" s="13"/>
      <c r="M115" s="13"/>
      <c r="U115" s="66" t="s">
        <v>73</v>
      </c>
      <c r="V115" s="40" t="str">
        <f>""</f>
        <v/>
      </c>
      <c r="W115" s="13" t="str">
        <f>""</f>
        <v/>
      </c>
      <c r="X115" s="13" t="str">
        <f>""</f>
        <v/>
      </c>
      <c r="Y115" s="35" t="str">
        <f>""</f>
        <v/>
      </c>
      <c r="Z115" s="34" t="str">
        <f>""</f>
        <v/>
      </c>
      <c r="AA115" s="13">
        <v>0</v>
      </c>
      <c r="AB115" s="13"/>
      <c r="AD115" s="141"/>
      <c r="AE115" s="146"/>
      <c r="AF115" s="141"/>
      <c r="AG115" s="146" t="str">
        <f>""</f>
        <v/>
      </c>
      <c r="AH115" s="141" t="str">
        <f>""</f>
        <v/>
      </c>
      <c r="AI115" s="141"/>
    </row>
    <row r="116" spans="2:35" s="2" customFormat="1" x14ac:dyDescent="0.2">
      <c r="B116" s="4"/>
      <c r="C116" s="4"/>
      <c r="D116" s="4"/>
      <c r="E116" s="4"/>
      <c r="F116" s="13"/>
      <c r="G116" s="13"/>
      <c r="H116" s="13"/>
      <c r="I116" s="13"/>
      <c r="J116" s="13"/>
      <c r="K116" s="13"/>
      <c r="L116" s="13"/>
      <c r="M116" s="13"/>
      <c r="U116" s="66" t="s">
        <v>74</v>
      </c>
      <c r="V116" s="40" t="str">
        <f>""</f>
        <v/>
      </c>
      <c r="W116" s="13" t="str">
        <f>""</f>
        <v/>
      </c>
      <c r="X116" s="13" t="str">
        <f>""</f>
        <v/>
      </c>
      <c r="Y116" s="35" t="str">
        <f>""</f>
        <v/>
      </c>
      <c r="Z116" s="34" t="str">
        <f>""</f>
        <v/>
      </c>
      <c r="AA116" s="13">
        <v>0</v>
      </c>
      <c r="AB116" s="13"/>
      <c r="AD116" s="141"/>
      <c r="AE116" s="146"/>
      <c r="AF116" s="141"/>
      <c r="AG116" s="146" t="str">
        <f>""</f>
        <v/>
      </c>
      <c r="AH116" s="141" t="str">
        <f>""</f>
        <v/>
      </c>
      <c r="AI116" s="141"/>
    </row>
    <row r="117" spans="2:35" s="2" customFormat="1" x14ac:dyDescent="0.2">
      <c r="B117" s="4"/>
      <c r="C117" s="4"/>
      <c r="D117" s="4"/>
      <c r="E117" s="4"/>
      <c r="F117" s="13"/>
      <c r="G117" s="13"/>
      <c r="H117" s="13"/>
      <c r="I117" s="13"/>
      <c r="J117" s="13"/>
      <c r="K117" s="13"/>
      <c r="L117" s="13"/>
      <c r="M117" s="13"/>
      <c r="U117" s="66" t="s">
        <v>75</v>
      </c>
      <c r="V117" s="40" t="str">
        <f>""</f>
        <v/>
      </c>
      <c r="W117" s="13" t="str">
        <f>""</f>
        <v/>
      </c>
      <c r="X117" s="13" t="str">
        <f>""</f>
        <v/>
      </c>
      <c r="Y117" s="35" t="str">
        <f>""</f>
        <v/>
      </c>
      <c r="Z117" s="34" t="str">
        <f>""</f>
        <v/>
      </c>
      <c r="AA117" s="13">
        <v>0</v>
      </c>
      <c r="AB117" s="13"/>
      <c r="AD117" s="141"/>
      <c r="AE117" s="146"/>
      <c r="AF117" s="141"/>
      <c r="AG117" s="146" t="str">
        <f>""</f>
        <v/>
      </c>
      <c r="AH117" s="141" t="str">
        <f>""</f>
        <v/>
      </c>
      <c r="AI117" s="141"/>
    </row>
    <row r="118" spans="2:35" s="2" customFormat="1" x14ac:dyDescent="0.2">
      <c r="B118" s="4"/>
      <c r="C118" s="4"/>
      <c r="D118" s="4"/>
      <c r="E118" s="4"/>
      <c r="F118" s="13"/>
      <c r="G118" s="13"/>
      <c r="H118" s="13"/>
      <c r="I118" s="13"/>
      <c r="J118" s="13"/>
      <c r="K118" s="13"/>
      <c r="L118" s="13"/>
      <c r="M118" s="13"/>
      <c r="U118" s="66" t="s">
        <v>76</v>
      </c>
      <c r="V118" s="40" t="str">
        <f>""</f>
        <v/>
      </c>
      <c r="W118" s="13" t="str">
        <f>""</f>
        <v/>
      </c>
      <c r="X118" s="13" t="str">
        <f>""</f>
        <v/>
      </c>
      <c r="Y118" s="35" t="str">
        <f>""</f>
        <v/>
      </c>
      <c r="Z118" s="34" t="str">
        <f>""</f>
        <v/>
      </c>
      <c r="AA118" s="13">
        <v>0</v>
      </c>
      <c r="AB118" s="13"/>
      <c r="AD118" s="141"/>
      <c r="AE118" s="146"/>
      <c r="AF118" s="141"/>
      <c r="AG118" s="146" t="str">
        <f>""</f>
        <v/>
      </c>
      <c r="AH118" s="141" t="str">
        <f>""</f>
        <v/>
      </c>
      <c r="AI118" s="141"/>
    </row>
    <row r="119" spans="2:35" s="2" customFormat="1" x14ac:dyDescent="0.2">
      <c r="B119" s="4"/>
      <c r="C119" s="4"/>
      <c r="D119" s="4"/>
      <c r="E119" s="4"/>
      <c r="F119" s="13"/>
      <c r="G119" s="13"/>
      <c r="H119" s="13"/>
      <c r="I119" s="13"/>
      <c r="J119" s="13"/>
      <c r="K119" s="13"/>
      <c r="L119" s="13"/>
      <c r="M119" s="13"/>
      <c r="U119" s="66" t="s">
        <v>77</v>
      </c>
      <c r="V119" s="40" t="str">
        <f>""</f>
        <v/>
      </c>
      <c r="W119" s="13" t="str">
        <f>""</f>
        <v/>
      </c>
      <c r="X119" s="13" t="str">
        <f>""</f>
        <v/>
      </c>
      <c r="Y119" s="35" t="str">
        <f>""</f>
        <v/>
      </c>
      <c r="Z119" s="34" t="str">
        <f>""</f>
        <v/>
      </c>
      <c r="AA119" s="13">
        <v>0</v>
      </c>
      <c r="AB119" s="13"/>
      <c r="AD119" s="141"/>
      <c r="AE119" s="146"/>
      <c r="AF119" s="141"/>
      <c r="AG119" s="146" t="str">
        <f>""</f>
        <v/>
      </c>
      <c r="AH119" s="141" t="str">
        <f>""</f>
        <v/>
      </c>
      <c r="AI119" s="141"/>
    </row>
    <row r="120" spans="2:35" s="2" customFormat="1" x14ac:dyDescent="0.2">
      <c r="B120" s="4"/>
      <c r="C120" s="4"/>
      <c r="D120" s="4"/>
      <c r="E120" s="4"/>
      <c r="F120" s="13"/>
      <c r="G120" s="13"/>
      <c r="H120" s="13"/>
      <c r="I120" s="13"/>
      <c r="J120" s="13"/>
      <c r="K120" s="13"/>
      <c r="L120" s="13"/>
      <c r="M120" s="13"/>
      <c r="U120" s="66" t="s">
        <v>78</v>
      </c>
      <c r="V120" s="40" t="str">
        <f>""</f>
        <v/>
      </c>
      <c r="W120" s="13" t="str">
        <f>""</f>
        <v/>
      </c>
      <c r="X120" s="13" t="str">
        <f>""</f>
        <v/>
      </c>
      <c r="Y120" s="35" t="str">
        <f>""</f>
        <v/>
      </c>
      <c r="Z120" s="34" t="str">
        <f>""</f>
        <v/>
      </c>
      <c r="AA120" s="13">
        <v>0</v>
      </c>
      <c r="AB120" s="13"/>
      <c r="AD120" s="141"/>
      <c r="AE120" s="146"/>
      <c r="AF120" s="141"/>
      <c r="AG120" s="146" t="str">
        <f>""</f>
        <v/>
      </c>
      <c r="AH120" s="141" t="str">
        <f>""</f>
        <v/>
      </c>
      <c r="AI120" s="141"/>
    </row>
    <row r="121" spans="2:35" s="2" customFormat="1" x14ac:dyDescent="0.2">
      <c r="B121" s="4"/>
      <c r="C121" s="4"/>
      <c r="D121" s="4"/>
      <c r="E121" s="4"/>
      <c r="F121" s="13"/>
      <c r="G121" s="13"/>
      <c r="H121" s="13"/>
      <c r="I121" s="13"/>
      <c r="J121" s="13"/>
      <c r="K121" s="13"/>
      <c r="L121" s="13"/>
      <c r="M121" s="13"/>
      <c r="U121" s="66" t="s">
        <v>79</v>
      </c>
      <c r="V121" s="40" t="str">
        <f>""</f>
        <v/>
      </c>
      <c r="W121" s="13" t="str">
        <f>""</f>
        <v/>
      </c>
      <c r="X121" s="13" t="str">
        <f>""</f>
        <v/>
      </c>
      <c r="Y121" s="35" t="str">
        <f>""</f>
        <v/>
      </c>
      <c r="Z121" s="34" t="str">
        <f>""</f>
        <v/>
      </c>
      <c r="AA121" s="13">
        <v>0</v>
      </c>
      <c r="AB121" s="13"/>
      <c r="AD121" s="141"/>
      <c r="AE121" s="146"/>
      <c r="AF121" s="141"/>
      <c r="AG121" s="146" t="str">
        <f>""</f>
        <v/>
      </c>
      <c r="AH121" s="141" t="str">
        <f>""</f>
        <v/>
      </c>
      <c r="AI121" s="141"/>
    </row>
    <row r="122" spans="2:35" s="2" customFormat="1" x14ac:dyDescent="0.2">
      <c r="B122" s="4"/>
      <c r="C122" s="4"/>
      <c r="D122" s="4"/>
      <c r="E122" s="4"/>
      <c r="F122" s="13"/>
      <c r="G122" s="13"/>
      <c r="H122" s="13"/>
      <c r="I122" s="13"/>
      <c r="J122" s="13"/>
      <c r="K122" s="13"/>
      <c r="L122" s="13"/>
      <c r="M122" s="13"/>
      <c r="U122" s="66" t="s">
        <v>80</v>
      </c>
      <c r="V122" s="40" t="str">
        <f>""</f>
        <v/>
      </c>
      <c r="W122" s="13" t="str">
        <f>""</f>
        <v/>
      </c>
      <c r="X122" s="13" t="str">
        <f>""</f>
        <v/>
      </c>
      <c r="Y122" s="35" t="str">
        <f>""</f>
        <v/>
      </c>
      <c r="Z122" s="34" t="str">
        <f>""</f>
        <v/>
      </c>
      <c r="AA122" s="13">
        <v>0</v>
      </c>
      <c r="AB122" s="13"/>
      <c r="AD122" s="141"/>
      <c r="AE122" s="146"/>
      <c r="AF122" s="141"/>
      <c r="AG122" s="146" t="str">
        <f>""</f>
        <v/>
      </c>
      <c r="AH122" s="141" t="str">
        <f>""</f>
        <v/>
      </c>
      <c r="AI122" s="141"/>
    </row>
    <row r="123" spans="2:35" s="2" customFormat="1" x14ac:dyDescent="0.2">
      <c r="B123" s="4"/>
      <c r="C123" s="4"/>
      <c r="D123" s="4"/>
      <c r="E123" s="4"/>
      <c r="F123" s="13"/>
      <c r="G123" s="13"/>
      <c r="H123" s="13"/>
      <c r="I123" s="13"/>
      <c r="J123" s="13"/>
      <c r="K123" s="13"/>
      <c r="L123" s="13"/>
      <c r="M123" s="13"/>
      <c r="U123" s="66" t="s">
        <v>81</v>
      </c>
      <c r="V123" s="40" t="str">
        <f>""</f>
        <v/>
      </c>
      <c r="W123" s="13" t="str">
        <f>""</f>
        <v/>
      </c>
      <c r="X123" s="13" t="str">
        <f>""</f>
        <v/>
      </c>
      <c r="Y123" s="35" t="str">
        <f>""</f>
        <v/>
      </c>
      <c r="Z123" s="34" t="str">
        <f>""</f>
        <v/>
      </c>
      <c r="AA123" s="13">
        <v>0</v>
      </c>
      <c r="AB123" s="13"/>
      <c r="AD123" s="141"/>
      <c r="AE123" s="146"/>
      <c r="AF123" s="141"/>
      <c r="AG123" s="146" t="str">
        <f>""</f>
        <v/>
      </c>
      <c r="AH123" s="141" t="str">
        <f>""</f>
        <v/>
      </c>
      <c r="AI123" s="141"/>
    </row>
    <row r="124" spans="2:35" s="2" customFormat="1" x14ac:dyDescent="0.2">
      <c r="B124" s="4"/>
      <c r="C124" s="4"/>
      <c r="D124" s="4"/>
      <c r="E124" s="4"/>
      <c r="F124" s="13"/>
      <c r="G124" s="13"/>
      <c r="H124" s="13"/>
      <c r="I124" s="13"/>
      <c r="J124" s="13"/>
      <c r="K124" s="13"/>
      <c r="L124" s="13"/>
      <c r="M124" s="13"/>
      <c r="U124" s="66" t="s">
        <v>82</v>
      </c>
      <c r="V124" s="40" t="str">
        <f>""</f>
        <v/>
      </c>
      <c r="W124" s="13" t="str">
        <f>""</f>
        <v/>
      </c>
      <c r="X124" s="13" t="str">
        <f>""</f>
        <v/>
      </c>
      <c r="Y124" s="35" t="str">
        <f>""</f>
        <v/>
      </c>
      <c r="Z124" s="34" t="str">
        <f>""</f>
        <v/>
      </c>
      <c r="AA124" s="13">
        <v>0</v>
      </c>
      <c r="AB124" s="13"/>
      <c r="AD124" s="141"/>
      <c r="AE124" s="146"/>
      <c r="AF124" s="141"/>
      <c r="AG124" s="146" t="str">
        <f>""</f>
        <v/>
      </c>
      <c r="AH124" s="141" t="str">
        <f>""</f>
        <v/>
      </c>
      <c r="AI124" s="141"/>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c r="AD125" s="141"/>
      <c r="AE125" s="146"/>
      <c r="AF125" s="141"/>
      <c r="AG125" s="646" t="str">
        <f>""</f>
        <v/>
      </c>
      <c r="AH125" s="647" t="str">
        <f>""</f>
        <v/>
      </c>
      <c r="AI125" s="647"/>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c r="AD126" s="141"/>
      <c r="AE126" s="146"/>
      <c r="AF126" s="141"/>
      <c r="AG126" s="646" t="str">
        <f>""</f>
        <v/>
      </c>
      <c r="AH126" s="647" t="str">
        <f>""</f>
        <v/>
      </c>
      <c r="AI126" s="647"/>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c r="AD127" s="141"/>
      <c r="AE127" s="146"/>
      <c r="AF127" s="141"/>
      <c r="AG127" s="646" t="str">
        <f>""</f>
        <v/>
      </c>
      <c r="AH127" s="647" t="str">
        <f>""</f>
        <v/>
      </c>
      <c r="AI127" s="647"/>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c r="AD128" s="141"/>
      <c r="AE128" s="146"/>
      <c r="AF128" s="141"/>
      <c r="AG128" s="646" t="str">
        <f>""</f>
        <v/>
      </c>
      <c r="AH128" s="647" t="str">
        <f>""</f>
        <v/>
      </c>
      <c r="AI128" s="647"/>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c r="AD129" s="141"/>
      <c r="AE129" s="146"/>
      <c r="AF129" s="141"/>
      <c r="AG129" s="646" t="str">
        <f>""</f>
        <v/>
      </c>
      <c r="AH129" s="647" t="str">
        <f>""</f>
        <v/>
      </c>
      <c r="AI129" s="647"/>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c r="AD130" s="141"/>
      <c r="AE130" s="146"/>
      <c r="AF130" s="141"/>
      <c r="AG130" s="646" t="str">
        <f>""</f>
        <v/>
      </c>
      <c r="AH130" s="647" t="str">
        <f>""</f>
        <v/>
      </c>
      <c r="AI130" s="647"/>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c r="AD131" s="141"/>
      <c r="AE131" s="146"/>
      <c r="AF131" s="141"/>
      <c r="AG131" s="646" t="str">
        <f>""</f>
        <v/>
      </c>
      <c r="AH131" s="647" t="str">
        <f>""</f>
        <v/>
      </c>
      <c r="AI131" s="647"/>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c r="AD132" s="141"/>
      <c r="AE132" s="146"/>
      <c r="AF132" s="141"/>
      <c r="AG132" s="646" t="str">
        <f>""</f>
        <v/>
      </c>
      <c r="AH132" s="647" t="str">
        <f>""</f>
        <v/>
      </c>
      <c r="AI132" s="647"/>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c r="AD133" s="141"/>
      <c r="AE133" s="146"/>
      <c r="AF133" s="141"/>
      <c r="AG133" s="646" t="str">
        <f>""</f>
        <v/>
      </c>
      <c r="AH133" s="647" t="str">
        <f>""</f>
        <v/>
      </c>
      <c r="AI133" s="647"/>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c r="AD134" s="141"/>
      <c r="AE134" s="146"/>
      <c r="AF134" s="141"/>
      <c r="AG134" s="646" t="str">
        <f>""</f>
        <v/>
      </c>
      <c r="AH134" s="647" t="str">
        <f>""</f>
        <v/>
      </c>
      <c r="AI134" s="647"/>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c r="AC135" s="144"/>
      <c r="AD135" s="143"/>
      <c r="AE135" s="147"/>
      <c r="AF135" s="143"/>
      <c r="AG135" s="648" t="str">
        <f>""</f>
        <v/>
      </c>
      <c r="AH135" s="649" t="str">
        <f>""</f>
        <v/>
      </c>
      <c r="AI135" s="649"/>
    </row>
    <row r="136" spans="2:35" s="2" customFormat="1" ht="12.75" thickTop="1" x14ac:dyDescent="0.2">
      <c r="B136" s="4"/>
      <c r="C136" s="4"/>
      <c r="D136" s="4"/>
      <c r="E136" s="4"/>
      <c r="F136" s="13"/>
      <c r="G136" s="13"/>
      <c r="H136" s="13"/>
      <c r="I136" s="13"/>
      <c r="J136" s="13"/>
      <c r="K136" s="13"/>
      <c r="L136" s="13"/>
      <c r="M136" s="13"/>
      <c r="Y136" s="65" t="s">
        <v>6</v>
      </c>
      <c r="Z136" s="31" t="str">
        <f ca="1">W64&amp;V64</f>
        <v/>
      </c>
      <c r="AA136" s="32">
        <f ca="1">AA64</f>
        <v>0</v>
      </c>
      <c r="AB136" s="13"/>
      <c r="AD136" s="141"/>
      <c r="AI136" s="654"/>
    </row>
    <row r="137" spans="2:35" x14ac:dyDescent="0.2">
      <c r="Y137" s="66" t="s">
        <v>7</v>
      </c>
      <c r="Z137" s="34" t="str">
        <f ca="1">W65&amp;V65</f>
        <v>Manchester CityFC Barcelona</v>
      </c>
      <c r="AA137" s="13">
        <f t="shared" ref="AA137:AA171" ca="1" si="4">AA65</f>
        <v>1</v>
      </c>
      <c r="AB137" s="13"/>
      <c r="AC137" s="2"/>
      <c r="AD137" s="141"/>
      <c r="AI137" s="655"/>
    </row>
    <row r="138" spans="2:35" x14ac:dyDescent="0.2">
      <c r="Y138" s="66" t="s">
        <v>8</v>
      </c>
      <c r="Z138" s="34" t="str">
        <f t="shared" ref="Z138:Z171" ca="1" si="5">W66&amp;V66</f>
        <v>Inter MailandMaibach 1822 eV</v>
      </c>
      <c r="AA138" s="13">
        <f t="shared" ca="1" si="4"/>
        <v>1</v>
      </c>
      <c r="AB138" s="13"/>
      <c r="AC138" s="2"/>
      <c r="AD138" s="141"/>
      <c r="AI138" s="655"/>
    </row>
    <row r="139" spans="2:35" x14ac:dyDescent="0.2">
      <c r="Y139" s="66" t="s">
        <v>9</v>
      </c>
      <c r="Z139" s="34" t="str">
        <f t="shared" ca="1" si="5"/>
        <v>FC GrönlingenEintracht Frankfurt</v>
      </c>
      <c r="AA139" s="13">
        <f t="shared" ca="1" si="4"/>
        <v>1</v>
      </c>
      <c r="AB139" s="13"/>
      <c r="AC139" s="2"/>
      <c r="AD139" s="141"/>
      <c r="AI139" s="655"/>
    </row>
    <row r="140" spans="2:35" x14ac:dyDescent="0.2">
      <c r="Y140" s="66" t="s">
        <v>10</v>
      </c>
      <c r="Z140" s="34" t="str">
        <f t="shared" ca="1" si="5"/>
        <v>SSV WildbachVFB Essenheim</v>
      </c>
      <c r="AA140" s="13">
        <f t="shared" ca="1" si="4"/>
        <v>1</v>
      </c>
      <c r="AB140" s="13"/>
      <c r="AC140" s="2"/>
      <c r="AD140" s="141"/>
      <c r="AI140" s="655"/>
    </row>
    <row r="141" spans="2:35" x14ac:dyDescent="0.2">
      <c r="Y141" s="66" t="s">
        <v>11</v>
      </c>
      <c r="Z141" s="34" t="str">
        <f t="shared" ca="1" si="5"/>
        <v>Mainz 051. FC Riedwald</v>
      </c>
      <c r="AA141" s="13">
        <f t="shared" ca="1" si="4"/>
        <v>1</v>
      </c>
      <c r="AB141" s="13"/>
      <c r="AC141" s="2"/>
      <c r="AD141" s="141"/>
      <c r="AI141" s="655"/>
    </row>
    <row r="142" spans="2:35" x14ac:dyDescent="0.2">
      <c r="Y142" s="66" t="s">
        <v>16</v>
      </c>
      <c r="Z142" s="34" t="str">
        <f t="shared" ca="1" si="5"/>
        <v/>
      </c>
      <c r="AA142" s="13">
        <f t="shared" ca="1" si="4"/>
        <v>0</v>
      </c>
      <c r="AB142" s="13"/>
      <c r="AC142" s="2"/>
      <c r="AD142" s="141"/>
      <c r="AI142" s="655"/>
    </row>
    <row r="143" spans="2:35" x14ac:dyDescent="0.2">
      <c r="Y143" s="66" t="s">
        <v>17</v>
      </c>
      <c r="Z143" s="34" t="str">
        <f t="shared" ca="1" si="5"/>
        <v>HSVReal Madrid</v>
      </c>
      <c r="AA143" s="13">
        <f t="shared" ca="1" si="4"/>
        <v>1</v>
      </c>
      <c r="AB143" s="13"/>
      <c r="AC143" s="2"/>
      <c r="AD143" s="141"/>
      <c r="AI143" s="655"/>
    </row>
    <row r="144" spans="2:35" x14ac:dyDescent="0.2">
      <c r="Y144" s="66" t="s">
        <v>18</v>
      </c>
      <c r="Z144" s="34" t="str">
        <f t="shared" ca="1" si="5"/>
        <v>RB Leipzig1. FC Nürnberg</v>
      </c>
      <c r="AA144" s="13">
        <f t="shared" ca="1" si="4"/>
        <v>1</v>
      </c>
      <c r="AB144" s="13"/>
      <c r="AC144" s="2"/>
      <c r="AD144" s="141"/>
      <c r="AI144" s="655"/>
    </row>
    <row r="145" spans="25:35" x14ac:dyDescent="0.2">
      <c r="Y145" s="66" t="s">
        <v>24</v>
      </c>
      <c r="Z145" s="34" t="str">
        <f t="shared" ca="1" si="5"/>
        <v>SV OberredenburgBorussia Dortmund</v>
      </c>
      <c r="AA145" s="13">
        <f t="shared" ca="1" si="4"/>
        <v>1</v>
      </c>
      <c r="AB145" s="13"/>
      <c r="AC145" s="2"/>
      <c r="AD145" s="141"/>
      <c r="AI145" s="655"/>
    </row>
    <row r="146" spans="25:35" x14ac:dyDescent="0.2">
      <c r="Y146" s="66" t="s">
        <v>25</v>
      </c>
      <c r="Z146" s="34" t="str">
        <f t="shared" ca="1" si="5"/>
        <v>Paris St. GermainFSV Rauen</v>
      </c>
      <c r="AA146" s="13">
        <f t="shared" ca="1" si="4"/>
        <v>1</v>
      </c>
      <c r="AB146" s="13"/>
      <c r="AC146" s="2"/>
      <c r="AD146" s="141"/>
      <c r="AI146" s="655"/>
    </row>
    <row r="147" spans="25:35" x14ac:dyDescent="0.2">
      <c r="Y147" s="66" t="s">
        <v>26</v>
      </c>
      <c r="Z147" s="34" t="str">
        <f t="shared" ca="1" si="5"/>
        <v>TSG Saalberg eVKickers Rodendorf</v>
      </c>
      <c r="AA147" s="13">
        <f t="shared" ca="1" si="4"/>
        <v>1</v>
      </c>
      <c r="AB147" s="13"/>
      <c r="AC147" s="2"/>
      <c r="AD147" s="141"/>
      <c r="AI147" s="655"/>
    </row>
    <row r="148" spans="25:35" x14ac:dyDescent="0.2">
      <c r="Y148" s="66" t="s">
        <v>27</v>
      </c>
      <c r="Z148" s="34" t="str">
        <f t="shared" ca="1" si="5"/>
        <v/>
      </c>
      <c r="AA148" s="13">
        <f t="shared" ca="1" si="4"/>
        <v>0</v>
      </c>
      <c r="AB148" s="13"/>
      <c r="AC148" s="2"/>
      <c r="AD148" s="141"/>
      <c r="AI148" s="655"/>
    </row>
    <row r="149" spans="25:35" x14ac:dyDescent="0.2">
      <c r="Y149" s="66" t="s">
        <v>28</v>
      </c>
      <c r="Z149" s="34" t="str">
        <f t="shared" ca="1" si="5"/>
        <v>Real MadridFC Barcelona</v>
      </c>
      <c r="AA149" s="13">
        <f t="shared" ca="1" si="4"/>
        <v>1</v>
      </c>
      <c r="AB149" s="13"/>
      <c r="AC149" s="2"/>
      <c r="AD149" s="141"/>
      <c r="AI149" s="655"/>
    </row>
    <row r="150" spans="25:35" x14ac:dyDescent="0.2">
      <c r="Y150" s="66" t="s">
        <v>29</v>
      </c>
      <c r="Z150" s="34" t="str">
        <f t="shared" ca="1" si="5"/>
        <v>1. FC NürnbergMaibach 1822 eV</v>
      </c>
      <c r="AA150" s="13">
        <f t="shared" ca="1" si="4"/>
        <v>1</v>
      </c>
      <c r="AB150" s="13"/>
      <c r="AC150" s="2"/>
      <c r="AD150" s="141"/>
      <c r="AI150" s="655"/>
    </row>
    <row r="151" spans="25:35" x14ac:dyDescent="0.2">
      <c r="Y151" s="66" t="s">
        <v>30</v>
      </c>
      <c r="Z151" s="34" t="str">
        <f t="shared" ca="1" si="5"/>
        <v>Borussia DortmundEintracht Frankfurt</v>
      </c>
      <c r="AA151" s="13">
        <f t="shared" ca="1" si="4"/>
        <v>1</v>
      </c>
      <c r="AB151" s="13"/>
      <c r="AC151" s="2"/>
      <c r="AD151" s="141"/>
      <c r="AI151" s="655"/>
    </row>
    <row r="152" spans="25:35" x14ac:dyDescent="0.2">
      <c r="Y152" s="66" t="s">
        <v>31</v>
      </c>
      <c r="Z152" s="34" t="str">
        <f t="shared" ca="1" si="5"/>
        <v>FSV RauenVFB Essenheim</v>
      </c>
      <c r="AA152" s="13">
        <f t="shared" ca="1" si="4"/>
        <v>1</v>
      </c>
      <c r="AB152" s="13"/>
      <c r="AC152" s="2"/>
      <c r="AD152" s="141"/>
      <c r="AI152" s="655"/>
    </row>
    <row r="153" spans="25:35" x14ac:dyDescent="0.2">
      <c r="Y153" s="66" t="s">
        <v>32</v>
      </c>
      <c r="Z153" s="34" t="str">
        <f t="shared" ca="1" si="5"/>
        <v>Kickers Rodendorf1. FC Riedwald</v>
      </c>
      <c r="AA153" s="13">
        <f t="shared" ca="1" si="4"/>
        <v>1</v>
      </c>
      <c r="AB153" s="13"/>
      <c r="AC153" s="2"/>
      <c r="AD153" s="141"/>
      <c r="AI153" s="655"/>
    </row>
    <row r="154" spans="25:35" x14ac:dyDescent="0.2">
      <c r="Y154" s="66" t="s">
        <v>33</v>
      </c>
      <c r="Z154" s="34" t="str">
        <f t="shared" ca="1" si="5"/>
        <v/>
      </c>
      <c r="AA154" s="13">
        <f t="shared" ca="1" si="4"/>
        <v>0</v>
      </c>
      <c r="AB154" s="13"/>
      <c r="AC154" s="2"/>
      <c r="AD154" s="141"/>
      <c r="AI154" s="655"/>
    </row>
    <row r="155" spans="25:35" x14ac:dyDescent="0.2">
      <c r="Y155" s="66" t="s">
        <v>34</v>
      </c>
      <c r="Z155" s="34" t="str">
        <f t="shared" ca="1" si="5"/>
        <v>Manchester CityHSV</v>
      </c>
      <c r="AA155" s="13">
        <f t="shared" ca="1" si="4"/>
        <v>1</v>
      </c>
      <c r="AB155" s="13"/>
      <c r="AC155" s="2"/>
      <c r="AD155" s="141"/>
      <c r="AI155" s="655"/>
    </row>
    <row r="156" spans="25:35" x14ac:dyDescent="0.2">
      <c r="Y156" s="66" t="s">
        <v>35</v>
      </c>
      <c r="Z156" s="34" t="str">
        <f t="shared" ca="1" si="5"/>
        <v>Inter MailandRB Leipzig</v>
      </c>
      <c r="AA156" s="13">
        <f t="shared" ca="1" si="4"/>
        <v>1</v>
      </c>
      <c r="AB156" s="13"/>
      <c r="AC156" s="2"/>
      <c r="AD156" s="141"/>
      <c r="AI156" s="655"/>
    </row>
    <row r="157" spans="25:35" x14ac:dyDescent="0.2">
      <c r="Y157" s="66" t="s">
        <v>36</v>
      </c>
      <c r="Z157" s="34" t="str">
        <f t="shared" ca="1" si="5"/>
        <v>FC GrönlingenSV Oberredenburg</v>
      </c>
      <c r="AA157" s="13">
        <f t="shared" ca="1" si="4"/>
        <v>1</v>
      </c>
      <c r="AB157" s="13"/>
      <c r="AC157" s="2"/>
      <c r="AD157" s="141"/>
      <c r="AI157" s="655"/>
    </row>
    <row r="158" spans="25:35" x14ac:dyDescent="0.2">
      <c r="Y158" s="66" t="s">
        <v>37</v>
      </c>
      <c r="Z158" s="34" t="str">
        <f t="shared" ca="1" si="5"/>
        <v>SSV WildbachParis St. Germain</v>
      </c>
      <c r="AA158" s="13">
        <f t="shared" ca="1" si="4"/>
        <v>1</v>
      </c>
      <c r="AB158" s="13"/>
      <c r="AC158" s="2"/>
      <c r="AD158" s="141"/>
      <c r="AI158" s="655"/>
    </row>
    <row r="159" spans="25:35" x14ac:dyDescent="0.2">
      <c r="Y159" s="66" t="s">
        <v>38</v>
      </c>
      <c r="Z159" s="34" t="str">
        <f t="shared" ca="1" si="5"/>
        <v>Mainz 05TSG Saalberg eV</v>
      </c>
      <c r="AA159" s="13">
        <f t="shared" ca="1" si="4"/>
        <v>1</v>
      </c>
      <c r="AB159" s="13"/>
      <c r="AC159" s="2"/>
      <c r="AD159" s="141"/>
      <c r="AI159" s="655"/>
    </row>
    <row r="160" spans="25:35" x14ac:dyDescent="0.2">
      <c r="Y160" s="66" t="s">
        <v>39</v>
      </c>
      <c r="Z160" s="34" t="str">
        <f t="shared" ca="1" si="5"/>
        <v/>
      </c>
      <c r="AA160" s="13">
        <f t="shared" ca="1" si="4"/>
        <v>0</v>
      </c>
      <c r="AB160" s="13"/>
      <c r="AC160" s="2"/>
      <c r="AD160" s="141"/>
      <c r="AI160" s="655"/>
    </row>
    <row r="161" spans="25:35" x14ac:dyDescent="0.2">
      <c r="Y161" s="66" t="s">
        <v>40</v>
      </c>
      <c r="Z161" s="34" t="str">
        <f t="shared" ca="1" si="5"/>
        <v>FC BarcelonaHSV</v>
      </c>
      <c r="AA161" s="13">
        <f t="shared" ca="1" si="4"/>
        <v>1</v>
      </c>
      <c r="AB161" s="13"/>
      <c r="AC161" s="2"/>
      <c r="AD161" s="141"/>
      <c r="AI161" s="655"/>
    </row>
    <row r="162" spans="25:35" x14ac:dyDescent="0.2">
      <c r="Y162" s="66" t="s">
        <v>41</v>
      </c>
      <c r="Z162" s="34" t="str">
        <f t="shared" ca="1" si="5"/>
        <v>Maibach 1822 eVRB Leipzig</v>
      </c>
      <c r="AA162" s="13">
        <f t="shared" ca="1" si="4"/>
        <v>1</v>
      </c>
      <c r="AB162" s="13"/>
      <c r="AC162" s="2"/>
      <c r="AD162" s="141"/>
      <c r="AI162" s="655"/>
    </row>
    <row r="163" spans="25:35" x14ac:dyDescent="0.2">
      <c r="Y163" s="66" t="s">
        <v>42</v>
      </c>
      <c r="Z163" s="34" t="str">
        <f t="shared" ca="1" si="5"/>
        <v>Eintracht FrankfurtSV Oberredenburg</v>
      </c>
      <c r="AA163" s="13">
        <f t="shared" ca="1" si="4"/>
        <v>1</v>
      </c>
      <c r="AB163" s="13"/>
      <c r="AC163" s="2"/>
      <c r="AD163" s="141"/>
      <c r="AI163" s="655"/>
    </row>
    <row r="164" spans="25:35" x14ac:dyDescent="0.2">
      <c r="Y164" s="66" t="s">
        <v>43</v>
      </c>
      <c r="Z164" s="34" t="str">
        <f t="shared" ca="1" si="5"/>
        <v>VFB EssenheimParis St. Germain</v>
      </c>
      <c r="AA164" s="13">
        <f t="shared" ca="1" si="4"/>
        <v>1</v>
      </c>
      <c r="AB164" s="13"/>
      <c r="AC164" s="2"/>
      <c r="AD164" s="141"/>
      <c r="AI164" s="655"/>
    </row>
    <row r="165" spans="25:35" x14ac:dyDescent="0.2">
      <c r="Y165" s="66" t="s">
        <v>44</v>
      </c>
      <c r="Z165" s="34" t="str">
        <f t="shared" ca="1" si="5"/>
        <v>1. FC RiedwaldTSG Saalberg eV</v>
      </c>
      <c r="AA165" s="13">
        <f t="shared" ca="1" si="4"/>
        <v>1</v>
      </c>
      <c r="AB165" s="13"/>
      <c r="AC165" s="2"/>
      <c r="AD165" s="141"/>
      <c r="AI165" s="655"/>
    </row>
    <row r="166" spans="25:35" x14ac:dyDescent="0.2">
      <c r="Y166" s="66" t="s">
        <v>45</v>
      </c>
      <c r="Z166" s="34" t="str">
        <f t="shared" ca="1" si="5"/>
        <v/>
      </c>
      <c r="AA166" s="13">
        <f t="shared" ca="1" si="4"/>
        <v>0</v>
      </c>
      <c r="AB166" s="13"/>
      <c r="AC166" s="2"/>
      <c r="AD166" s="141"/>
      <c r="AI166" s="655"/>
    </row>
    <row r="167" spans="25:35" x14ac:dyDescent="0.2">
      <c r="Y167" s="66" t="s">
        <v>46</v>
      </c>
      <c r="Z167" s="34" t="str">
        <f t="shared" ca="1" si="5"/>
        <v>Real MadridManchester City</v>
      </c>
      <c r="AA167" s="13">
        <f t="shared" ca="1" si="4"/>
        <v>1</v>
      </c>
      <c r="AB167" s="13"/>
      <c r="AC167" s="2"/>
      <c r="AD167" s="141"/>
      <c r="AI167" s="655"/>
    </row>
    <row r="168" spans="25:35" x14ac:dyDescent="0.2">
      <c r="Y168" s="66" t="s">
        <v>47</v>
      </c>
      <c r="Z168" s="34" t="str">
        <f t="shared" ca="1" si="5"/>
        <v>1. FC NürnbergInter Mailand</v>
      </c>
      <c r="AA168" s="13">
        <f t="shared" ca="1" si="4"/>
        <v>1</v>
      </c>
      <c r="AB168" s="13"/>
      <c r="AC168" s="2"/>
      <c r="AD168" s="141"/>
      <c r="AI168" s="655"/>
    </row>
    <row r="169" spans="25:35" x14ac:dyDescent="0.2">
      <c r="Y169" s="66" t="s">
        <v>48</v>
      </c>
      <c r="Z169" s="34" t="str">
        <f t="shared" ca="1" si="5"/>
        <v>Borussia DortmundFC Grönlingen</v>
      </c>
      <c r="AA169" s="13">
        <f t="shared" ca="1" si="4"/>
        <v>1</v>
      </c>
      <c r="AB169" s="13"/>
      <c r="AC169" s="2"/>
      <c r="AD169" s="141"/>
      <c r="AI169" s="655"/>
    </row>
    <row r="170" spans="25:35" x14ac:dyDescent="0.2">
      <c r="Y170" s="66" t="s">
        <v>49</v>
      </c>
      <c r="Z170" s="34" t="str">
        <f t="shared" ca="1" si="5"/>
        <v>FSV RauenSSV Wildbach</v>
      </c>
      <c r="AA170" s="13">
        <f t="shared" ca="1" si="4"/>
        <v>1</v>
      </c>
      <c r="AB170" s="13"/>
      <c r="AC170" s="2"/>
      <c r="AD170" s="141"/>
      <c r="AI170" s="655"/>
    </row>
    <row r="171" spans="25:35" ht="12.75" thickBot="1" x14ac:dyDescent="0.25">
      <c r="Y171" s="66" t="s">
        <v>50</v>
      </c>
      <c r="Z171" s="34" t="str">
        <f t="shared" ca="1" si="5"/>
        <v>Kickers RodendorfMainz 05</v>
      </c>
      <c r="AA171" s="13">
        <f t="shared" ca="1" si="4"/>
        <v>1</v>
      </c>
      <c r="AB171" s="13"/>
      <c r="AC171" s="2"/>
      <c r="AD171" s="141"/>
      <c r="AI171" s="655"/>
    </row>
    <row r="172" spans="25:35" ht="12.75" thickTop="1" x14ac:dyDescent="0.2">
      <c r="Y172" s="301" t="s">
        <v>58</v>
      </c>
      <c r="Z172" s="305" t="str">
        <f>""</f>
        <v/>
      </c>
      <c r="AA172" s="303">
        <v>0</v>
      </c>
      <c r="AB172" s="303"/>
      <c r="AC172" s="306"/>
      <c r="AD172" s="307"/>
      <c r="AE172" s="308"/>
      <c r="AF172" s="303"/>
      <c r="AG172" s="303"/>
      <c r="AH172" s="307"/>
      <c r="AI172" s="307"/>
    </row>
    <row r="173" spans="25:35" x14ac:dyDescent="0.2">
      <c r="Y173" s="66" t="s">
        <v>59</v>
      </c>
      <c r="Z173" s="34" t="str">
        <f>""</f>
        <v/>
      </c>
      <c r="AA173" s="13">
        <v>0</v>
      </c>
      <c r="AB173" s="13"/>
      <c r="AC173" s="2"/>
      <c r="AD173" s="141"/>
      <c r="AI173" s="655"/>
    </row>
    <row r="174" spans="25:35" x14ac:dyDescent="0.2">
      <c r="Y174" s="66" t="s">
        <v>60</v>
      </c>
      <c r="Z174" s="34" t="str">
        <f>""</f>
        <v/>
      </c>
      <c r="AA174" s="13">
        <v>0</v>
      </c>
      <c r="AB174" s="13"/>
      <c r="AC174" s="2"/>
      <c r="AD174" s="141"/>
      <c r="AI174" s="655"/>
    </row>
    <row r="175" spans="25:35" x14ac:dyDescent="0.2">
      <c r="Y175" s="66" t="s">
        <v>61</v>
      </c>
      <c r="Z175" s="34" t="str">
        <f>""</f>
        <v/>
      </c>
      <c r="AA175" s="13">
        <v>0</v>
      </c>
      <c r="AB175" s="13"/>
      <c r="AC175" s="2"/>
      <c r="AD175" s="141"/>
      <c r="AI175" s="655"/>
    </row>
    <row r="176" spans="25:35" x14ac:dyDescent="0.2">
      <c r="Y176" s="66" t="s">
        <v>62</v>
      </c>
      <c r="Z176" s="34" t="str">
        <f>""</f>
        <v/>
      </c>
      <c r="AA176" s="13">
        <v>0</v>
      </c>
      <c r="AB176" s="13"/>
      <c r="AC176" s="2"/>
      <c r="AD176" s="141"/>
      <c r="AI176" s="655"/>
    </row>
    <row r="177" spans="25:35" x14ac:dyDescent="0.2">
      <c r="Y177" s="66" t="s">
        <v>63</v>
      </c>
      <c r="Z177" s="34" t="str">
        <f>""</f>
        <v/>
      </c>
      <c r="AA177" s="13">
        <v>0</v>
      </c>
      <c r="AB177" s="13"/>
      <c r="AC177" s="2"/>
      <c r="AD177" s="141"/>
      <c r="AI177" s="655"/>
    </row>
    <row r="178" spans="25:35" x14ac:dyDescent="0.2">
      <c r="Y178" s="66" t="s">
        <v>64</v>
      </c>
      <c r="Z178" s="34" t="str">
        <f>""</f>
        <v/>
      </c>
      <c r="AA178" s="13">
        <v>0</v>
      </c>
      <c r="AB178" s="13"/>
      <c r="AC178" s="2"/>
      <c r="AD178" s="141"/>
      <c r="AI178" s="655"/>
    </row>
    <row r="179" spans="25:35" x14ac:dyDescent="0.2">
      <c r="Y179" s="66" t="s">
        <v>65</v>
      </c>
      <c r="Z179" s="34" t="str">
        <f>""</f>
        <v/>
      </c>
      <c r="AA179" s="13">
        <v>0</v>
      </c>
      <c r="AB179" s="13"/>
      <c r="AC179" s="2"/>
      <c r="AD179" s="141"/>
      <c r="AI179" s="655"/>
    </row>
    <row r="180" spans="25:35" x14ac:dyDescent="0.2">
      <c r="Y180" s="66" t="s">
        <v>66</v>
      </c>
      <c r="Z180" s="34" t="str">
        <f>""</f>
        <v/>
      </c>
      <c r="AA180" s="13">
        <v>0</v>
      </c>
      <c r="AB180" s="13"/>
      <c r="AC180" s="2"/>
      <c r="AD180" s="141"/>
      <c r="AI180" s="655"/>
    </row>
    <row r="181" spans="25:35" x14ac:dyDescent="0.2">
      <c r="Y181" s="66" t="s">
        <v>67</v>
      </c>
      <c r="Z181" s="34" t="str">
        <f>""</f>
        <v/>
      </c>
      <c r="AA181" s="13">
        <v>0</v>
      </c>
      <c r="AB181" s="13"/>
      <c r="AC181" s="2"/>
      <c r="AD181" s="141"/>
      <c r="AI181" s="655"/>
    </row>
    <row r="182" spans="25:35" x14ac:dyDescent="0.2">
      <c r="Y182" s="66" t="s">
        <v>68</v>
      </c>
      <c r="Z182" s="34" t="str">
        <f>""</f>
        <v/>
      </c>
      <c r="AA182" s="13">
        <v>0</v>
      </c>
      <c r="AB182" s="13"/>
      <c r="AC182" s="2"/>
      <c r="AD182" s="141"/>
      <c r="AI182" s="655"/>
    </row>
    <row r="183" spans="25:35" x14ac:dyDescent="0.2">
      <c r="Y183" s="66" t="s">
        <v>69</v>
      </c>
      <c r="Z183" s="34" t="str">
        <f>""</f>
        <v/>
      </c>
      <c r="AA183" s="13">
        <v>0</v>
      </c>
      <c r="AB183" s="13"/>
      <c r="AC183" s="2"/>
      <c r="AD183" s="141"/>
      <c r="AI183" s="655"/>
    </row>
    <row r="184" spans="25:35" x14ac:dyDescent="0.2">
      <c r="Y184" s="66" t="s">
        <v>70</v>
      </c>
      <c r="Z184" s="34" t="str">
        <f>""</f>
        <v/>
      </c>
      <c r="AA184" s="13">
        <v>0</v>
      </c>
      <c r="AB184" s="13"/>
      <c r="AC184" s="2"/>
      <c r="AD184" s="141"/>
      <c r="AI184" s="655"/>
    </row>
    <row r="185" spans="25:35" x14ac:dyDescent="0.2">
      <c r="Y185" s="66" t="s">
        <v>71</v>
      </c>
      <c r="Z185" s="34" t="str">
        <f>""</f>
        <v/>
      </c>
      <c r="AA185" s="13">
        <v>0</v>
      </c>
      <c r="AB185" s="13"/>
      <c r="AC185" s="2"/>
      <c r="AD185" s="141"/>
      <c r="AI185" s="655"/>
    </row>
    <row r="186" spans="25:35" x14ac:dyDescent="0.2">
      <c r="Y186" s="66" t="s">
        <v>72</v>
      </c>
      <c r="Z186" s="34" t="str">
        <f>""</f>
        <v/>
      </c>
      <c r="AA186" s="13">
        <v>0</v>
      </c>
      <c r="AB186" s="13"/>
      <c r="AC186" s="2"/>
      <c r="AD186" s="141"/>
      <c r="AI186" s="655"/>
    </row>
    <row r="187" spans="25:35" x14ac:dyDescent="0.2">
      <c r="Y187" s="66" t="s">
        <v>73</v>
      </c>
      <c r="Z187" s="34" t="str">
        <f>""</f>
        <v/>
      </c>
      <c r="AA187" s="13">
        <v>0</v>
      </c>
      <c r="AB187" s="13"/>
      <c r="AC187" s="2"/>
      <c r="AD187" s="141"/>
      <c r="AI187" s="655"/>
    </row>
    <row r="188" spans="25:35" x14ac:dyDescent="0.2">
      <c r="Y188" s="66" t="s">
        <v>74</v>
      </c>
      <c r="Z188" s="34" t="str">
        <f>""</f>
        <v/>
      </c>
      <c r="AA188" s="13">
        <v>0</v>
      </c>
      <c r="AB188" s="13"/>
      <c r="AC188" s="2"/>
      <c r="AD188" s="141"/>
      <c r="AI188" s="655"/>
    </row>
    <row r="189" spans="25:35" x14ac:dyDescent="0.2">
      <c r="Y189" s="66" t="s">
        <v>75</v>
      </c>
      <c r="Z189" s="34" t="str">
        <f>""</f>
        <v/>
      </c>
      <c r="AA189" s="13">
        <v>0</v>
      </c>
      <c r="AB189" s="13"/>
      <c r="AC189" s="2"/>
      <c r="AD189" s="141"/>
      <c r="AI189" s="655"/>
    </row>
    <row r="190" spans="25:35" x14ac:dyDescent="0.2">
      <c r="Y190" s="66" t="s">
        <v>76</v>
      </c>
      <c r="Z190" s="34" t="str">
        <f>""</f>
        <v/>
      </c>
      <c r="AA190" s="13">
        <v>0</v>
      </c>
      <c r="AB190" s="13"/>
      <c r="AC190" s="2"/>
      <c r="AD190" s="141"/>
      <c r="AI190" s="655"/>
    </row>
    <row r="191" spans="25:35" x14ac:dyDescent="0.2">
      <c r="Y191" s="66" t="s">
        <v>77</v>
      </c>
      <c r="Z191" s="34" t="str">
        <f>""</f>
        <v/>
      </c>
      <c r="AA191" s="13">
        <v>0</v>
      </c>
      <c r="AB191" s="13"/>
      <c r="AC191" s="2"/>
      <c r="AD191" s="141"/>
      <c r="AI191" s="655"/>
    </row>
    <row r="192" spans="25:35" x14ac:dyDescent="0.2">
      <c r="Y192" s="66" t="s">
        <v>78</v>
      </c>
      <c r="Z192" s="34" t="str">
        <f>""</f>
        <v/>
      </c>
      <c r="AA192" s="13">
        <v>0</v>
      </c>
      <c r="AB192" s="13"/>
      <c r="AC192" s="2"/>
      <c r="AD192" s="141"/>
      <c r="AI192" s="655"/>
    </row>
    <row r="193" spans="25:35" x14ac:dyDescent="0.2">
      <c r="Y193" s="66" t="s">
        <v>79</v>
      </c>
      <c r="Z193" s="34" t="str">
        <f>""</f>
        <v/>
      </c>
      <c r="AA193" s="13">
        <v>0</v>
      </c>
      <c r="AB193" s="13"/>
      <c r="AC193" s="2"/>
      <c r="AD193" s="141"/>
      <c r="AI193" s="655"/>
    </row>
    <row r="194" spans="25:35" x14ac:dyDescent="0.2">
      <c r="Y194" s="66" t="s">
        <v>80</v>
      </c>
      <c r="Z194" s="34" t="str">
        <f>""</f>
        <v/>
      </c>
      <c r="AA194" s="13">
        <v>0</v>
      </c>
      <c r="AB194" s="13"/>
      <c r="AC194" s="2"/>
      <c r="AD194" s="141"/>
      <c r="AI194" s="655"/>
    </row>
    <row r="195" spans="25:35" x14ac:dyDescent="0.2">
      <c r="Y195" s="66" t="s">
        <v>81</v>
      </c>
      <c r="Z195" s="34" t="str">
        <f>""</f>
        <v/>
      </c>
      <c r="AA195" s="13">
        <v>0</v>
      </c>
      <c r="AB195" s="13"/>
      <c r="AC195" s="2"/>
      <c r="AD195" s="141"/>
      <c r="AI195" s="655"/>
    </row>
    <row r="196" spans="25:35" x14ac:dyDescent="0.2">
      <c r="Y196" s="66" t="s">
        <v>82</v>
      </c>
      <c r="Z196" s="34" t="str">
        <f>""</f>
        <v/>
      </c>
      <c r="AA196" s="13">
        <v>0</v>
      </c>
      <c r="AB196" s="13"/>
      <c r="AC196" s="2"/>
      <c r="AD196" s="141"/>
      <c r="AI196" s="655"/>
    </row>
    <row r="197" spans="25:35" x14ac:dyDescent="0.2">
      <c r="Y197" s="66" t="s">
        <v>83</v>
      </c>
      <c r="Z197" s="34" t="str">
        <f>""</f>
        <v/>
      </c>
      <c r="AA197" s="13">
        <v>0</v>
      </c>
      <c r="AB197" s="13"/>
      <c r="AC197" s="2"/>
      <c r="AD197" s="141"/>
      <c r="AI197" s="656"/>
    </row>
    <row r="198" spans="25:35" x14ac:dyDescent="0.2">
      <c r="Y198" s="66" t="s">
        <v>84</v>
      </c>
      <c r="Z198" s="34" t="str">
        <f>""</f>
        <v/>
      </c>
      <c r="AA198" s="13">
        <v>0</v>
      </c>
      <c r="AB198" s="13"/>
      <c r="AC198" s="2"/>
      <c r="AD198" s="141"/>
      <c r="AI198" s="656"/>
    </row>
    <row r="199" spans="25:35" x14ac:dyDescent="0.2">
      <c r="Y199" s="66" t="s">
        <v>85</v>
      </c>
      <c r="Z199" s="34" t="str">
        <f>""</f>
        <v/>
      </c>
      <c r="AA199" s="13">
        <v>0</v>
      </c>
      <c r="AB199" s="13"/>
      <c r="AC199" s="2"/>
      <c r="AD199" s="141"/>
      <c r="AI199" s="656"/>
    </row>
    <row r="200" spans="25:35" x14ac:dyDescent="0.2">
      <c r="Y200" s="66" t="s">
        <v>86</v>
      </c>
      <c r="Z200" s="34" t="str">
        <f>""</f>
        <v/>
      </c>
      <c r="AA200" s="13">
        <v>0</v>
      </c>
      <c r="AB200" s="13"/>
      <c r="AC200" s="2"/>
      <c r="AD200" s="141"/>
      <c r="AI200" s="656"/>
    </row>
    <row r="201" spans="25:35" x14ac:dyDescent="0.2">
      <c r="Y201" s="66" t="s">
        <v>87</v>
      </c>
      <c r="Z201" s="34" t="str">
        <f>""</f>
        <v/>
      </c>
      <c r="AA201" s="13">
        <v>0</v>
      </c>
      <c r="AB201" s="13"/>
      <c r="AC201" s="2"/>
      <c r="AD201" s="141"/>
      <c r="AI201" s="656"/>
    </row>
    <row r="202" spans="25:35" x14ac:dyDescent="0.2">
      <c r="Y202" s="66" t="s">
        <v>88</v>
      </c>
      <c r="Z202" s="34" t="str">
        <f>""</f>
        <v/>
      </c>
      <c r="AA202" s="13">
        <v>0</v>
      </c>
      <c r="AB202" s="13"/>
      <c r="AC202" s="2"/>
      <c r="AD202" s="141"/>
      <c r="AE202" s="658"/>
      <c r="AF202" s="659"/>
      <c r="AG202" s="659"/>
      <c r="AH202" s="660"/>
      <c r="AI202" s="656"/>
    </row>
    <row r="203" spans="25:35" x14ac:dyDescent="0.2">
      <c r="Y203" s="66" t="s">
        <v>89</v>
      </c>
      <c r="Z203" s="34" t="str">
        <f>""</f>
        <v/>
      </c>
      <c r="AA203" s="13">
        <v>0</v>
      </c>
      <c r="AB203" s="13"/>
      <c r="AC203" s="2"/>
      <c r="AD203" s="141"/>
      <c r="AE203" s="658"/>
      <c r="AF203" s="659"/>
      <c r="AG203" s="659"/>
      <c r="AH203" s="660"/>
      <c r="AI203" s="656"/>
    </row>
    <row r="204" spans="25:35" x14ac:dyDescent="0.2">
      <c r="Y204" s="66" t="s">
        <v>90</v>
      </c>
      <c r="Z204" s="34" t="str">
        <f>""</f>
        <v/>
      </c>
      <c r="AA204" s="13">
        <v>0</v>
      </c>
      <c r="AB204" s="13"/>
      <c r="AC204" s="2"/>
      <c r="AD204" s="141"/>
      <c r="AE204" s="658"/>
      <c r="AF204" s="659"/>
      <c r="AG204" s="659"/>
      <c r="AH204" s="660"/>
      <c r="AI204" s="656"/>
    </row>
    <row r="205" spans="25:35" x14ac:dyDescent="0.2">
      <c r="Y205" s="66" t="s">
        <v>91</v>
      </c>
      <c r="Z205" s="34" t="str">
        <f>""</f>
        <v/>
      </c>
      <c r="AA205" s="13">
        <v>0</v>
      </c>
      <c r="AB205" s="13"/>
      <c r="AC205" s="2"/>
      <c r="AD205" s="141"/>
      <c r="AE205" s="658"/>
      <c r="AF205" s="659"/>
      <c r="AG205" s="659"/>
      <c r="AH205" s="660"/>
      <c r="AI205" s="656"/>
    </row>
    <row r="206" spans="25:35" x14ac:dyDescent="0.2">
      <c r="Y206" s="66" t="s">
        <v>92</v>
      </c>
      <c r="Z206" s="34" t="str">
        <f>""</f>
        <v/>
      </c>
      <c r="AA206" s="13">
        <v>0</v>
      </c>
      <c r="AB206" s="13"/>
      <c r="AC206" s="2"/>
      <c r="AD206" s="141"/>
      <c r="AE206" s="658"/>
      <c r="AF206" s="659"/>
      <c r="AG206" s="659"/>
      <c r="AH206" s="660"/>
      <c r="AI206" s="656"/>
    </row>
    <row r="207" spans="25:35" ht="12.75" thickBot="1" x14ac:dyDescent="0.25">
      <c r="Y207" s="67" t="s">
        <v>93</v>
      </c>
      <c r="Z207" s="36" t="str">
        <f>""</f>
        <v/>
      </c>
      <c r="AA207" s="37">
        <v>0</v>
      </c>
      <c r="AB207" s="142"/>
      <c r="AC207" s="144"/>
      <c r="AD207" s="143"/>
      <c r="AE207" s="661"/>
      <c r="AF207" s="662"/>
      <c r="AG207" s="662"/>
      <c r="AH207" s="663"/>
      <c r="AI207" s="657"/>
    </row>
    <row r="208" spans="25:35" ht="12.75" thickTop="1" x14ac:dyDescent="0.2"/>
  </sheetData>
  <mergeCells count="16">
    <mergeCell ref="AS29:AZ29"/>
    <mergeCell ref="BA29:BH29"/>
    <mergeCell ref="BI29:BP29"/>
    <mergeCell ref="X63:Y63"/>
    <mergeCell ref="AE63:AF63"/>
    <mergeCell ref="AG63:AH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70"/>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13"/>
      <c r="C2" s="13"/>
      <c r="D2" s="13"/>
      <c r="E2" s="13"/>
      <c r="F2" s="1"/>
      <c r="G2" s="1"/>
      <c r="H2" s="1"/>
      <c r="I2" s="1"/>
      <c r="J2" s="1" t="s">
        <v>376</v>
      </c>
      <c r="K2" s="1"/>
      <c r="L2" s="1"/>
      <c r="M2" s="1"/>
      <c r="N2" s="13"/>
      <c r="O2" s="1"/>
      <c r="P2" s="1"/>
      <c r="Q2" s="1"/>
    </row>
    <row r="3" spans="1:44" s="2" customFormat="1" ht="13.5" customHeight="1" thickBot="1" x14ac:dyDescent="0.25">
      <c r="B3" s="1"/>
      <c r="C3" s="13"/>
      <c r="D3" s="13"/>
      <c r="E3" s="13"/>
      <c r="F3" s="13"/>
      <c r="G3" s="69" t="s">
        <v>106</v>
      </c>
      <c r="H3" s="69" t="s">
        <v>107</v>
      </c>
      <c r="I3" s="720" t="s">
        <v>108</v>
      </c>
      <c r="J3" s="27" t="s">
        <v>109</v>
      </c>
      <c r="K3" s="720" t="s">
        <v>102</v>
      </c>
      <c r="L3" s="27" t="s">
        <v>103</v>
      </c>
      <c r="M3" s="27" t="s">
        <v>104</v>
      </c>
      <c r="N3" s="27" t="s">
        <v>105</v>
      </c>
      <c r="O3" s="13"/>
      <c r="P3" s="13"/>
      <c r="Q3" s="13"/>
      <c r="R3" s="13"/>
      <c r="S3" s="13"/>
      <c r="T3" s="13"/>
      <c r="U3" s="13"/>
      <c r="V3" s="13"/>
      <c r="W3" s="1009"/>
      <c r="X3" s="1010"/>
      <c r="Y3" s="1010"/>
      <c r="Z3" s="1010"/>
      <c r="AA3" s="1010"/>
      <c r="AB3" s="1009"/>
      <c r="AC3" s="1010"/>
      <c r="AD3" s="1010"/>
      <c r="AE3" s="1010"/>
      <c r="AF3" s="1010"/>
      <c r="AG3" s="1009"/>
      <c r="AH3" s="1010"/>
      <c r="AI3" s="1010"/>
      <c r="AJ3" s="1010"/>
      <c r="AK3" s="1010"/>
      <c r="AL3" s="1009"/>
      <c r="AM3" s="1010"/>
      <c r="AN3" s="1010"/>
      <c r="AO3" s="1010"/>
      <c r="AP3" s="1010"/>
    </row>
    <row r="4" spans="1:44" s="2" customFormat="1" ht="12.75" thickTop="1" x14ac:dyDescent="0.2">
      <c r="A4" s="251"/>
      <c r="B4" s="1">
        <v>1</v>
      </c>
      <c r="C4" s="21">
        <f ca="1">RANK(D4,$D$4:$D$12,1)</f>
        <v>1</v>
      </c>
      <c r="D4" s="13">
        <f ca="1">E4+ROW()/1000+(F4="")*10</f>
        <v>1.004</v>
      </c>
      <c r="E4" s="263">
        <f ca="1">IF($AI$15,RANK(AH17,AH$17:AH$25,1),RANK(X17,X$17:X$25,1))</f>
        <v>1</v>
      </c>
      <c r="F4" s="1" t="str">
        <f ca="1">$C62</f>
        <v>1. FC Riedwald</v>
      </c>
      <c r="G4" s="1">
        <f ca="1">SUMIFS(CalcE!$X$64:$X$99,CalcE!$V$64:$V$99,$F4)+SUMIFS(CalcE!$Y$64:$Y$99,CalcE!$W$64:$W$99,$F4)+SUMIFS(CalcE!$AG$64:$AG$99,CalcE!$V$64:$V$99,$F4)+SUMIFS(CalcE!$AH$64:$AH$99,CalcE!$W$64:$W$99,$F4)</f>
        <v>147</v>
      </c>
      <c r="H4" s="1">
        <f ca="1">SUMIFS(CalcE!$Y$64:$Y$99,CalcE!$V$64:$V$99,$F4)+SUMIFS(CalcE!$X$64:$X$99,CalcE!$W$64:$W$99,$F4)+SUMIFS(CalcE!$AH$64:$AH$99,CalcE!$V$64:$V$99,$F4)+SUMIFS(CalcE!$AG$64:$AG$99,CalcE!$W$64:$W$99,$F4)</f>
        <v>104</v>
      </c>
      <c r="I4" s="736">
        <f ca="1">IF(Einstellungen!$G$7,G4-H4,IF(H4=0,IF(G4=0,0,Einstellungen!$F$7),G4/H4))</f>
        <v>43</v>
      </c>
      <c r="J4" s="1">
        <f ca="1">SUMPRODUCT((CalcE!$V$64:$V$135=F4)*CalcE!$AE$64:$AE$135*CalcE!$AA$64:$AA$135)+SUMPRODUCT((CalcE!$W$64:$W$135=F4)*CalcE!$AF$64:$AF$135*CalcE!$AA$64:$AA$135)</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24"/>
      <c r="P4" s="724"/>
      <c r="Q4" s="724"/>
      <c r="R4" s="724"/>
      <c r="S4" s="4"/>
      <c r="T4" s="4"/>
      <c r="U4" s="4"/>
      <c r="V4" s="13"/>
      <c r="W4" s="635"/>
      <c r="X4" s="635"/>
      <c r="Y4" s="632"/>
      <c r="Z4" s="632"/>
      <c r="AA4" s="632"/>
      <c r="AB4" s="635"/>
      <c r="AC4" s="635"/>
      <c r="AD4" s="636"/>
      <c r="AE4" s="632"/>
      <c r="AF4" s="632"/>
      <c r="AG4" s="635"/>
      <c r="AH4" s="635"/>
      <c r="AI4" s="636"/>
      <c r="AJ4" s="632"/>
      <c r="AK4" s="632"/>
      <c r="AL4" s="635"/>
      <c r="AM4" s="635"/>
      <c r="AN4" s="636"/>
      <c r="AO4" s="632"/>
      <c r="AP4" s="632"/>
      <c r="AR4" s="2">
        <f ca="1">IF(Einstellungen!$G$7,$I4,ROUND($I4,Einstellungen!$H$7))</f>
        <v>43</v>
      </c>
    </row>
    <row r="5" spans="1:44" s="2" customFormat="1" x14ac:dyDescent="0.2">
      <c r="A5" s="251"/>
      <c r="B5" s="1">
        <v>2</v>
      </c>
      <c r="C5" s="22">
        <f t="shared" ref="C5:C12" ca="1" si="0">RANK(D5,$D$4:$D$12,1)</f>
        <v>2</v>
      </c>
      <c r="D5" s="13">
        <f t="shared" ref="D5:D12" ca="1" si="1">E5+ROW()/1000+(F5="")*10</f>
        <v>2.0049999999999999</v>
      </c>
      <c r="E5" s="263">
        <f t="shared" ref="E5:E12" ca="1" si="2">IF($AI$15,RANK(AH18,AH$17:AH$25,1),RANK(X18,X$17:X$25,1))</f>
        <v>2</v>
      </c>
      <c r="F5" s="1" t="str">
        <f ca="1">$C63</f>
        <v>Mainz 05</v>
      </c>
      <c r="G5" s="1">
        <f ca="1">SUMIFS(CalcE!$X$64:$X$99,CalcE!$V$64:$V$99,$F5)+SUMIFS(CalcE!$Y$64:$Y$99,CalcE!$W$64:$W$99,$F5)+SUMIFS(CalcE!$AG$64:$AG$99,CalcE!$V$64:$V$99,$F5)+SUMIFS(CalcE!$AH$64:$AH$99,CalcE!$W$64:$W$99,$F5)</f>
        <v>134</v>
      </c>
      <c r="H5" s="1">
        <f ca="1">SUMIFS(CalcE!$Y$64:$Y$99,CalcE!$V$64:$V$99,$F5)+SUMIFS(CalcE!$X$64:$X$99,CalcE!$W$64:$W$99,$F5)+SUMIFS(CalcE!$AH$64:$AH$99,CalcE!$V$64:$V$99,$F5)+SUMIFS(CalcE!$AG$64:$AG$99,CalcE!$W$64:$W$99,$F5)</f>
        <v>129</v>
      </c>
      <c r="I5" s="736">
        <f ca="1">IF(Einstellungen!$G$7,G5-H5,IF(H5=0,IF(G5=0,0,Einstellungen!$F$7),G5/H5))</f>
        <v>5</v>
      </c>
      <c r="J5" s="1">
        <f ca="1">SUMPRODUCT((CalcE!$V$64:$V$135=F5)*CalcE!$AE$64:$AE$135*CalcE!$AA$64:$AA$135)+SUMPRODUCT((CalcE!$W$64:$W$135=F5)*CalcE!$AF$64:$AF$135*CalcE!$AA$64:$AA$135)</f>
        <v>3</v>
      </c>
      <c r="K5" s="1">
        <f ca="1">SUMPRODUCT((CalcE!$V$64:$V$99=F5)*CalcE!$AA$64:$AA$99)+SUMPRODUCT((CalcE!$W$64:$W$99=F5)*CalcE!$AA$64:$AA$99)</f>
        <v>3</v>
      </c>
      <c r="L5" s="1">
        <f t="shared" ref="L5:L7" ca="1" si="3">K5-M5-N5</f>
        <v>1</v>
      </c>
      <c r="M5" s="1">
        <f ca="1">SUMPRODUCT((CalcE!$V$64:$W$99=F5)*(CalcE!$AE$64:$AE$99=CalcE!$AF$64:$AF$99)*CalcE!$AA$64:$AA$99)</f>
        <v>1</v>
      </c>
      <c r="N5" s="1">
        <f ca="1">SUMPRODUCT((CalcE!$V$64:$V$99=F5)*(CalcE!$AE$64:$AE$99&lt;CalcE!$AF$64:$AF$99)*CalcE!$AA$64:$AA$99)+SUMPRODUCT((CalcE!$W$64:$W$99=F5)*(CalcE!$AE$64:$AE$99&gt;CalcE!$AF$64:$AF$99)*CalcE!$AA$64:$AA$99)</f>
        <v>1</v>
      </c>
      <c r="O5" s="725"/>
      <c r="P5" s="726"/>
      <c r="Q5" s="4"/>
      <c r="R5" s="4"/>
      <c r="S5" s="4"/>
      <c r="T5" s="4"/>
      <c r="U5" s="4"/>
      <c r="V5" s="13"/>
      <c r="W5" s="635"/>
      <c r="X5" s="635"/>
      <c r="Y5" s="632"/>
      <c r="Z5" s="632"/>
      <c r="AA5" s="632"/>
      <c r="AB5" s="635"/>
      <c r="AC5" s="635"/>
      <c r="AD5" s="636"/>
      <c r="AE5" s="632"/>
      <c r="AF5" s="632"/>
      <c r="AG5" s="635"/>
      <c r="AH5" s="635"/>
      <c r="AI5" s="636"/>
      <c r="AJ5" s="632"/>
      <c r="AK5" s="632"/>
      <c r="AL5" s="635"/>
      <c r="AM5" s="635"/>
      <c r="AN5" s="636"/>
      <c r="AO5" s="632"/>
      <c r="AP5" s="632"/>
      <c r="AR5" s="2">
        <f ca="1">IF(Einstellungen!$G$7,$I5,ROUND($I5,Einstellungen!$H$7))</f>
        <v>5</v>
      </c>
    </row>
    <row r="6" spans="1:44" s="2" customFormat="1" x14ac:dyDescent="0.2">
      <c r="A6" s="251"/>
      <c r="B6" s="1">
        <v>3</v>
      </c>
      <c r="C6" s="22">
        <f t="shared" ca="1" si="0"/>
        <v>4</v>
      </c>
      <c r="D6" s="13">
        <f t="shared" ca="1" si="1"/>
        <v>4.0060000000000002</v>
      </c>
      <c r="E6" s="263">
        <f t="shared" ca="1" si="2"/>
        <v>4</v>
      </c>
      <c r="F6" s="1" t="str">
        <f ca="1">$C64</f>
        <v>Kickers Rodendorf</v>
      </c>
      <c r="G6" s="1">
        <f ca="1">SUMIFS(CalcE!$X$64:$X$99,CalcE!$V$64:$V$99,$F6)+SUMIFS(CalcE!$Y$64:$Y$99,CalcE!$W$64:$W$99,$F6)+SUMIFS(CalcE!$AG$64:$AG$99,CalcE!$V$64:$V$99,$F6)+SUMIFS(CalcE!$AH$64:$AH$99,CalcE!$W$64:$W$99,$F6)</f>
        <v>113</v>
      </c>
      <c r="H6" s="1">
        <f ca="1">SUMIFS(CalcE!$Y$64:$Y$99,CalcE!$V$64:$V$99,$F6)+SUMIFS(CalcE!$X$64:$X$99,CalcE!$W$64:$W$99,$F6)+SUMIFS(CalcE!$AH$64:$AH$99,CalcE!$V$64:$V$99,$F6)+SUMIFS(CalcE!$AG$64:$AG$99,CalcE!$W$64:$W$99,$F6)</f>
        <v>143</v>
      </c>
      <c r="I6" s="736">
        <f ca="1">IF(Einstellungen!$G$7,G6-H6,IF(H6=0,IF(G6=0,0,Einstellungen!$F$7),G6/H6))</f>
        <v>-30</v>
      </c>
      <c r="J6" s="1">
        <f ca="1">SUMPRODUCT((CalcE!$V$64:$V$135=F6)*CalcE!$AE$64:$AE$135*CalcE!$AA$64:$AA$135)+SUMPRODUCT((CalcE!$W$64:$W$135=F6)*CalcE!$AF$64:$AF$135*CalcE!$AA$64:$AA$135)</f>
        <v>1</v>
      </c>
      <c r="K6" s="1">
        <f ca="1">SUMPRODUCT((CalcE!$V$64:$V$99=F6)*CalcE!$AA$64:$AA$99)+SUMPRODUCT((CalcE!$W$64:$W$99=F6)*CalcE!$AA$64:$AA$99)</f>
        <v>3</v>
      </c>
      <c r="L6" s="1">
        <f t="shared" ca="1" si="3"/>
        <v>0</v>
      </c>
      <c r="M6" s="1">
        <f ca="1">SUMPRODUCT((CalcE!$V$64:$W$99=F6)*(CalcE!$AE$64:$AE$99=CalcE!$AF$64:$AF$99)*CalcE!$AA$64:$AA$99)</f>
        <v>1</v>
      </c>
      <c r="N6" s="1">
        <f ca="1">SUMPRODUCT((CalcE!$V$64:$V$99=F6)*(CalcE!$AE$64:$AE$99&lt;CalcE!$AF$64:$AF$99)*CalcE!$AA$64:$AA$99)+SUMPRODUCT((CalcE!$W$64:$W$99=F6)*(CalcE!$AE$64:$AE$99&gt;CalcE!$AF$64:$AF$99)*CalcE!$AA$64:$AA$99)</f>
        <v>2</v>
      </c>
      <c r="O6" s="725"/>
      <c r="P6" s="726"/>
      <c r="Q6" s="4"/>
      <c r="R6" s="4"/>
      <c r="S6" s="4"/>
      <c r="T6" s="4"/>
      <c r="U6" s="4"/>
      <c r="V6" s="13"/>
      <c r="W6" s="635"/>
      <c r="X6" s="635"/>
      <c r="Y6" s="632"/>
      <c r="Z6" s="632"/>
      <c r="AA6" s="632"/>
      <c r="AB6" s="635"/>
      <c r="AC6" s="635"/>
      <c r="AD6" s="636"/>
      <c r="AE6" s="632"/>
      <c r="AF6" s="632"/>
      <c r="AG6" s="635"/>
      <c r="AH6" s="635"/>
      <c r="AI6" s="636"/>
      <c r="AJ6" s="632"/>
      <c r="AK6" s="632"/>
      <c r="AL6" s="635"/>
      <c r="AM6" s="635"/>
      <c r="AN6" s="636"/>
      <c r="AO6" s="632"/>
      <c r="AP6" s="632"/>
      <c r="AR6" s="2">
        <f ca="1">IF(Einstellungen!$G$7,$I6,ROUND($I6,Einstellungen!$H$7))</f>
        <v>-30</v>
      </c>
    </row>
    <row r="7" spans="1:44" s="2" customFormat="1" x14ac:dyDescent="0.2">
      <c r="A7" s="251"/>
      <c r="B7" s="1">
        <v>4</v>
      </c>
      <c r="C7" s="22">
        <f t="shared" ca="1" si="0"/>
        <v>3</v>
      </c>
      <c r="D7" s="13">
        <f t="shared" ca="1" si="1"/>
        <v>3.0070000000000001</v>
      </c>
      <c r="E7" s="263">
        <f t="shared" ca="1" si="2"/>
        <v>3</v>
      </c>
      <c r="F7" s="1" t="str">
        <f ca="1">$C65</f>
        <v>TSG Saalberg eV</v>
      </c>
      <c r="G7" s="1">
        <f ca="1">SUMIFS(CalcE!$X$64:$X$99,CalcE!$V$64:$V$99,$F7)+SUMIFS(CalcE!$Y$64:$Y$99,CalcE!$W$64:$W$99,$F7)+SUMIFS(CalcE!$AG$64:$AG$99,CalcE!$V$64:$V$99,$F7)+SUMIFS(CalcE!$AH$64:$AH$99,CalcE!$W$64:$W$99,$F7)</f>
        <v>121</v>
      </c>
      <c r="H7" s="1">
        <f ca="1">SUMIFS(CalcE!$Y$64:$Y$99,CalcE!$V$64:$V$99,$F7)+SUMIFS(CalcE!$X$64:$X$99,CalcE!$W$64:$W$99,$F7)+SUMIFS(CalcE!$AH$64:$AH$99,CalcE!$V$64:$V$99,$F7)+SUMIFS(CalcE!$AG$64:$AG$99,CalcE!$W$64:$W$99,$F7)</f>
        <v>139</v>
      </c>
      <c r="I7" s="736">
        <f ca="1">IF(Einstellungen!$G$7,G7-H7,IF(H7=0,IF(G7=0,0,Einstellungen!$F$7),G7/H7))</f>
        <v>-18</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25"/>
      <c r="P7" s="726"/>
      <c r="Q7" s="4"/>
      <c r="R7" s="4"/>
      <c r="S7" s="4"/>
      <c r="T7" s="4"/>
      <c r="U7" s="4"/>
      <c r="V7" s="13"/>
      <c r="W7" s="635"/>
      <c r="X7" s="635"/>
      <c r="Y7" s="632"/>
      <c r="Z7" s="632"/>
      <c r="AA7" s="632"/>
      <c r="AB7" s="635"/>
      <c r="AC7" s="635"/>
      <c r="AD7" s="636"/>
      <c r="AE7" s="632"/>
      <c r="AF7" s="632"/>
      <c r="AG7" s="635"/>
      <c r="AH7" s="635"/>
      <c r="AI7" s="636"/>
      <c r="AJ7" s="632"/>
      <c r="AK7" s="632"/>
      <c r="AL7" s="635"/>
      <c r="AM7" s="635"/>
      <c r="AN7" s="636"/>
      <c r="AO7" s="632"/>
      <c r="AP7" s="632"/>
      <c r="AR7" s="2">
        <f ca="1">IF(Einstellungen!$G$7,$I7,ROUND($I7,Einstellungen!$H$7))</f>
        <v>-18</v>
      </c>
    </row>
    <row r="8" spans="1:44" s="2" customFormat="1" x14ac:dyDescent="0.2">
      <c r="A8" s="251"/>
      <c r="B8" s="1">
        <v>5</v>
      </c>
      <c r="C8" s="22">
        <f t="shared" ca="1" si="0"/>
        <v>5</v>
      </c>
      <c r="D8" s="13">
        <f t="shared" ca="1" si="1"/>
        <v>15.007999999999999</v>
      </c>
      <c r="E8" s="263">
        <f t="shared" ca="1" si="2"/>
        <v>5</v>
      </c>
      <c r="F8" s="1" t="str">
        <f>""</f>
        <v/>
      </c>
      <c r="G8" s="1">
        <v>0</v>
      </c>
      <c r="H8" s="1">
        <v>0</v>
      </c>
      <c r="I8" s="736">
        <f>IF(Einstellungen!$G$7,G8-H8,IF(H8=0,IF(G8=0,0,Einstellungen!$F$7),G8/H8))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IF(Einstellungen!$G$7,$I8,ROUND($I8,Einstellungen!$H$7))</f>
        <v>0</v>
      </c>
    </row>
    <row r="9" spans="1:44" s="2" customFormat="1" x14ac:dyDescent="0.2">
      <c r="A9" s="251"/>
      <c r="B9" s="1">
        <v>6</v>
      </c>
      <c r="C9" s="22">
        <f t="shared" ca="1" si="0"/>
        <v>6</v>
      </c>
      <c r="D9" s="13">
        <f t="shared" ca="1" si="1"/>
        <v>15.009</v>
      </c>
      <c r="E9" s="263">
        <f t="shared" ca="1" si="2"/>
        <v>5</v>
      </c>
      <c r="F9" s="1" t="str">
        <f>""</f>
        <v/>
      </c>
      <c r="G9" s="1">
        <v>0</v>
      </c>
      <c r="H9" s="1">
        <v>0</v>
      </c>
      <c r="I9" s="736">
        <f>IF(Einstellungen!$G$7,G9-H9,IF(H9=0,IF(G9=0,0,Einstellungen!$F$7),G9/H9))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IF(Einstellungen!$G$7,$I9,ROUND($I9,Einstellungen!$H$7))</f>
        <v>0</v>
      </c>
    </row>
    <row r="10" spans="1:44" s="2" customFormat="1" x14ac:dyDescent="0.2">
      <c r="A10" s="251"/>
      <c r="B10" s="1">
        <v>7</v>
      </c>
      <c r="C10" s="22">
        <f t="shared" ca="1" si="0"/>
        <v>7</v>
      </c>
      <c r="D10" s="13">
        <f t="shared" ca="1" si="1"/>
        <v>15.01</v>
      </c>
      <c r="E10" s="263">
        <f t="shared" ca="1" si="2"/>
        <v>5</v>
      </c>
      <c r="F10" s="1" t="str">
        <f>""</f>
        <v/>
      </c>
      <c r="G10" s="1">
        <v>0</v>
      </c>
      <c r="H10" s="1">
        <v>0</v>
      </c>
      <c r="I10" s="736">
        <f>IF(Einstellungen!$G$7,G10-H10,IF(H10=0,IF(G10=0,0,Einstellungen!$F$7),G10/H10))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IF(Einstellungen!$G$7,$I10,ROUND($I10,Einstellungen!$H$7))</f>
        <v>0</v>
      </c>
    </row>
    <row r="11" spans="1:44" s="2" customFormat="1" x14ac:dyDescent="0.2">
      <c r="A11" s="251"/>
      <c r="B11" s="1">
        <v>8</v>
      </c>
      <c r="C11" s="22">
        <f t="shared" ca="1" si="0"/>
        <v>8</v>
      </c>
      <c r="D11" s="13">
        <f t="shared" ca="1" si="1"/>
        <v>15.010999999999999</v>
      </c>
      <c r="E11" s="263">
        <f t="shared" ca="1" si="2"/>
        <v>5</v>
      </c>
      <c r="F11" s="1" t="str">
        <f>""</f>
        <v/>
      </c>
      <c r="G11" s="1">
        <v>0</v>
      </c>
      <c r="H11" s="1">
        <v>0</v>
      </c>
      <c r="I11" s="736">
        <f>IF(Einstellungen!$G$7,G11-H11,IF(H11=0,IF(G11=0,0,Einstellungen!$F$7),G11/H11))</f>
        <v>0</v>
      </c>
      <c r="J11" s="1">
        <f ca="1">SUMPRODUCT((CalcE!$V$64:$V$135=F11)*CalcE!$AE$64:$AE$135*CalcE!$AA$64:$AA$135)+SUMPRODUCT((CalcE!$W$64:$W$135=F11)*CalcE!$AF$64:$AF$135*CalcE!$AA$64:$AA$135)</f>
        <v>0</v>
      </c>
      <c r="K11" s="1">
        <v>0</v>
      </c>
      <c r="L11" s="1">
        <v>0</v>
      </c>
      <c r="M11" s="1">
        <v>0</v>
      </c>
      <c r="N11" s="1">
        <v>0</v>
      </c>
      <c r="O11" s="13"/>
      <c r="P11" s="13"/>
      <c r="Q11" s="13"/>
      <c r="R11" s="13"/>
      <c r="S11" s="13"/>
      <c r="T11" s="13"/>
      <c r="U11" s="13"/>
      <c r="V11" s="13"/>
      <c r="W11" s="635"/>
      <c r="X11" s="635"/>
      <c r="Y11" s="632"/>
      <c r="Z11" s="632"/>
      <c r="AA11" s="632"/>
      <c r="AB11" s="635"/>
      <c r="AC11" s="635"/>
      <c r="AD11" s="636"/>
      <c r="AE11" s="632"/>
      <c r="AF11" s="632"/>
      <c r="AG11" s="635"/>
      <c r="AH11" s="635"/>
      <c r="AI11" s="636"/>
      <c r="AJ11" s="632"/>
      <c r="AK11" s="632"/>
      <c r="AL11" s="635"/>
      <c r="AM11" s="635"/>
      <c r="AN11" s="636"/>
      <c r="AO11" s="632"/>
      <c r="AP11" s="632"/>
      <c r="AR11" s="2">
        <f>IF(Einstellungen!$G$7,$I11,ROUND($I11,Einstellungen!$H$7))</f>
        <v>0</v>
      </c>
    </row>
    <row r="12" spans="1:44" s="2" customFormat="1" ht="12.75" thickBot="1" x14ac:dyDescent="0.25">
      <c r="A12" s="251"/>
      <c r="B12" s="1">
        <v>9</v>
      </c>
      <c r="C12" s="23">
        <f t="shared" ca="1" si="0"/>
        <v>9</v>
      </c>
      <c r="D12" s="13">
        <f t="shared" ca="1" si="1"/>
        <v>15.012</v>
      </c>
      <c r="E12" s="263">
        <f t="shared" ca="1" si="2"/>
        <v>5</v>
      </c>
      <c r="F12" s="1" t="str">
        <f>""</f>
        <v/>
      </c>
      <c r="G12" s="1">
        <v>0</v>
      </c>
      <c r="H12" s="1">
        <v>0</v>
      </c>
      <c r="I12" s="736">
        <f>IF(Einstellungen!$G$7,G12-H12,IF(H12=0,IF(G12=0,0,Einstellungen!$F$7),G12/H12))</f>
        <v>0</v>
      </c>
      <c r="J12" s="1">
        <f ca="1">SUMPRODUCT((CalcE!$V$64:$V$135=F12)*CalcE!$AE$64:$AE$135*CalcE!$AA$64:$AA$135)+SUMPRODUCT((CalcE!$W$64:$W$135=F12)*CalcE!$AF$64:$AF$135*CalcE!$AA$64:$AA$135)</f>
        <v>0</v>
      </c>
      <c r="K12" s="28">
        <v>0</v>
      </c>
      <c r="L12" s="1">
        <v>0</v>
      </c>
      <c r="M12" s="1">
        <v>0</v>
      </c>
      <c r="N12" s="1">
        <v>0</v>
      </c>
      <c r="O12" s="13"/>
      <c r="P12" s="13"/>
      <c r="Q12" s="13"/>
      <c r="R12" s="13"/>
      <c r="S12" s="13"/>
      <c r="T12" s="13"/>
      <c r="U12" s="13"/>
      <c r="V12" s="13"/>
      <c r="W12" s="635"/>
      <c r="X12" s="635"/>
      <c r="Y12" s="632"/>
      <c r="Z12" s="632"/>
      <c r="AA12" s="632"/>
      <c r="AB12" s="635"/>
      <c r="AC12" s="635"/>
      <c r="AD12" s="636"/>
      <c r="AE12" s="632"/>
      <c r="AF12" s="632"/>
      <c r="AG12" s="635"/>
      <c r="AH12" s="635"/>
      <c r="AI12" s="636"/>
      <c r="AJ12" s="632"/>
      <c r="AK12" s="632"/>
      <c r="AL12" s="635"/>
      <c r="AM12" s="635"/>
      <c r="AN12" s="636"/>
      <c r="AO12" s="632"/>
      <c r="AP12" s="632"/>
      <c r="AR12" s="2">
        <f>IF(Einstellungen!$G$7,$I12,ROUND($I12,Einstellungen!$H$7))</f>
        <v>0</v>
      </c>
    </row>
    <row r="13" spans="1:44"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4" s="2" customFormat="1" x14ac:dyDescent="0.2">
      <c r="B14" s="13"/>
      <c r="C14" s="4"/>
      <c r="D14" s="13"/>
      <c r="E14" s="4"/>
      <c r="F14" s="13"/>
      <c r="O14" s="1"/>
      <c r="P14" s="1"/>
      <c r="Q14" s="1"/>
      <c r="R14" s="1"/>
      <c r="S14" s="1"/>
      <c r="T14" s="1"/>
      <c r="U14" s="1"/>
      <c r="V14" s="1"/>
      <c r="W14" s="1"/>
      <c r="Y14" s="1"/>
      <c r="Z14" s="1"/>
    </row>
    <row r="15" spans="1:44" s="2" customFormat="1" x14ac:dyDescent="0.2">
      <c r="O15" s="12"/>
      <c r="AD15" s="997" t="s">
        <v>179</v>
      </c>
      <c r="AE15" s="998"/>
      <c r="AF15" s="998"/>
      <c r="AG15" s="998"/>
      <c r="AH15" s="999"/>
      <c r="AI15" s="2" t="b">
        <v>0</v>
      </c>
      <c r="AK15" s="251"/>
    </row>
    <row r="16" spans="1:44" s="2" customFormat="1" ht="15.75" thickBot="1" x14ac:dyDescent="0.25">
      <c r="B16" s="13" t="s">
        <v>5</v>
      </c>
      <c r="C16" s="720" t="s">
        <v>97</v>
      </c>
      <c r="D16" s="720" t="s">
        <v>102</v>
      </c>
      <c r="E16" s="720" t="s">
        <v>103</v>
      </c>
      <c r="F16" s="720" t="s">
        <v>104</v>
      </c>
      <c r="G16" s="720" t="s">
        <v>105</v>
      </c>
      <c r="H16" s="720" t="s">
        <v>106</v>
      </c>
      <c r="I16" s="720" t="s">
        <v>107</v>
      </c>
      <c r="J16" s="720" t="s">
        <v>108</v>
      </c>
      <c r="K16" s="720"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1. FC Riedwald</v>
      </c>
      <c r="D17" s="1">
        <f t="shared" ref="D17:G20" ca="1" si="4">K4</f>
        <v>3</v>
      </c>
      <c r="E17" s="1">
        <f t="shared" ca="1" si="4"/>
        <v>2</v>
      </c>
      <c r="F17" s="1">
        <f t="shared" ca="1" si="4"/>
        <v>1</v>
      </c>
      <c r="G17" s="1">
        <f t="shared" ca="1" si="4"/>
        <v>0</v>
      </c>
      <c r="H17" s="1">
        <f t="shared" ref="H17:K20" ca="1" si="5">G4</f>
        <v>147</v>
      </c>
      <c r="I17" s="1">
        <f t="shared" ca="1" si="5"/>
        <v>104</v>
      </c>
      <c r="J17" s="13">
        <f t="shared" ca="1" si="5"/>
        <v>43</v>
      </c>
      <c r="K17" s="1">
        <f t="shared" ca="1" si="5"/>
        <v>5</v>
      </c>
      <c r="L17" s="29">
        <f ca="1">K17*CalcE!$F$64+(J17+CalcE!$H$65)*CalcE!$F$65</f>
        <v>5543000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'Endrunde 4'!$AI47</f>
        <v>0</v>
      </c>
      <c r="Z17" s="1">
        <f ca="1">RANK($W17,$W$17:$W$25)+(9-$Y17)/10</f>
        <v>1.9</v>
      </c>
      <c r="AA17" s="1">
        <f ca="1">SUM(E30:BP30)</f>
        <v>0</v>
      </c>
      <c r="AB17" s="1">
        <f ca="1">SUM(E41:BP41)</f>
        <v>0</v>
      </c>
      <c r="AC17" s="1"/>
      <c r="AD17" s="257">
        <f ca="1">RANK($K17,$K$17:$K$25)</f>
        <v>1</v>
      </c>
      <c r="AE17" s="29">
        <f ca="1">(J17+CalcE!$H$65)*CalcE!$F$65</f>
        <v>543000</v>
      </c>
      <c r="AF17" s="1">
        <f ca="1">RANK($AE17,$AE$17:$AE$25)</f>
        <v>1</v>
      </c>
      <c r="AG17" s="1">
        <f ca="1">RANK($W17,$W$17:$W$25)</f>
        <v>1</v>
      </c>
      <c r="AH17" s="259">
        <f ca="1">AD17+AG17/100+AF17/10000+(10-Y17)/1000000</f>
        <v>1.0101100000000001</v>
      </c>
      <c r="AI17" s="1"/>
    </row>
    <row r="18" spans="2:80" s="2" customFormat="1" x14ac:dyDescent="0.2">
      <c r="C18" s="2" t="str">
        <f ca="1">$C63</f>
        <v>Mainz 05</v>
      </c>
      <c r="D18" s="1">
        <f t="shared" ca="1" si="4"/>
        <v>3</v>
      </c>
      <c r="E18" s="1">
        <f t="shared" ca="1" si="4"/>
        <v>1</v>
      </c>
      <c r="F18" s="1">
        <f t="shared" ca="1" si="4"/>
        <v>1</v>
      </c>
      <c r="G18" s="1">
        <f t="shared" ca="1" si="4"/>
        <v>1</v>
      </c>
      <c r="H18" s="1">
        <f t="shared" ca="1" si="5"/>
        <v>134</v>
      </c>
      <c r="I18" s="1">
        <f t="shared" ca="1" si="5"/>
        <v>129</v>
      </c>
      <c r="J18" s="13">
        <f t="shared" ca="1" si="5"/>
        <v>5</v>
      </c>
      <c r="K18" s="1">
        <f t="shared" ca="1" si="5"/>
        <v>3</v>
      </c>
      <c r="L18" s="29">
        <f ca="1">K18*CalcE!$F$64+(J18+CalcE!$H$65)*CalcE!$F$65</f>
        <v>3505000</v>
      </c>
      <c r="M18" s="14">
        <f t="shared" ref="M18:M25" ca="1" si="14">IF($AI$15,COUNTIF($K$17:$K$25,K18),COUNTIF($L$17:$L$25,L18))</f>
        <v>1</v>
      </c>
      <c r="N18" s="14">
        <f t="array" aca="1" ref="N18" ca="1">IF($AI$15,SUM(($K$17:$K$25&gt;=K18)/COUNTIF($K$17:$K$25,$K$17:$K$25)),SUM(($L$17:$L$25&gt;=L18)/COUNTIF($L$17:$L$25,$L$17:$L$25)))</f>
        <v>2</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2.0108999999999999</v>
      </c>
      <c r="Y18" s="13">
        <f ca="1">'Endrunde 4'!$AI48</f>
        <v>0</v>
      </c>
      <c r="Z18" s="1">
        <f t="shared" ref="Z18:Z25" ca="1" si="16">RANK($W18,$W$17:$W$25)+(9-$Y18)/10</f>
        <v>1.9</v>
      </c>
      <c r="AA18" s="1">
        <f t="shared" ref="AA18:AA20" ca="1" si="17">SUM(E31:BP31)</f>
        <v>0</v>
      </c>
      <c r="AB18" s="1">
        <f t="shared" ref="AB18:AB20" ca="1" si="18">SUM(E42:BP42)</f>
        <v>0</v>
      </c>
      <c r="AC18" s="1"/>
      <c r="AD18" s="257">
        <f t="shared" ref="AD18:AD25" ca="1" si="19">RANK($K18,$K$17:$K$25)</f>
        <v>2</v>
      </c>
      <c r="AE18" s="29">
        <f ca="1">(J18+CalcE!$H$65)*CalcE!$F$65</f>
        <v>505000</v>
      </c>
      <c r="AF18" s="1">
        <f t="shared" ref="AF18:AF25" ca="1" si="20">RANK($AE18,$AE$17:$AE$25)</f>
        <v>2</v>
      </c>
      <c r="AG18" s="1">
        <f t="shared" ref="AG18:AG25" ca="1" si="21">RANK($W18,$W$17:$W$25)</f>
        <v>1</v>
      </c>
      <c r="AH18" s="260">
        <f t="shared" ref="AH18:AH25" ca="1" si="22">AD18+AG18/100+AF18/10000+(10-Y18)/1000000</f>
        <v>2.0102099999999998</v>
      </c>
      <c r="AI18" s="1"/>
    </row>
    <row r="19" spans="2:80" s="2" customFormat="1" x14ac:dyDescent="0.2">
      <c r="C19" s="2" t="str">
        <f ca="1">$C64</f>
        <v>Kickers Rodendorf</v>
      </c>
      <c r="D19" s="1">
        <f t="shared" ca="1" si="4"/>
        <v>3</v>
      </c>
      <c r="E19" s="1">
        <f t="shared" ca="1" si="4"/>
        <v>0</v>
      </c>
      <c r="F19" s="1">
        <f t="shared" ca="1" si="4"/>
        <v>1</v>
      </c>
      <c r="G19" s="1">
        <f t="shared" ca="1" si="4"/>
        <v>2</v>
      </c>
      <c r="H19" s="1">
        <f t="shared" ca="1" si="5"/>
        <v>113</v>
      </c>
      <c r="I19" s="1">
        <f t="shared" ca="1" si="5"/>
        <v>143</v>
      </c>
      <c r="J19" s="13">
        <f t="shared" ca="1" si="5"/>
        <v>-30</v>
      </c>
      <c r="K19" s="1">
        <f t="shared" ca="1" si="5"/>
        <v>1</v>
      </c>
      <c r="L19" s="29">
        <f ca="1">K19*CalcE!$F$64+(J19+CalcE!$H$65)*CalcE!$F$65</f>
        <v>1470000</v>
      </c>
      <c r="M19" s="14">
        <f t="shared" ca="1" si="14"/>
        <v>1</v>
      </c>
      <c r="N19" s="14">
        <f t="array" aca="1" ref="N19" ca="1">IF($AI$15,SUM(($K$17:$K$25&gt;=K19)/COUNTIF($K$17:$K$25,$K$17:$K$25)),SUM(($L$17:$L$25&gt;=L19)/COUNTIF($L$17:$L$25,$L$17:$L$25)))</f>
        <v>4</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4.0108999999999995</v>
      </c>
      <c r="Y19" s="13">
        <f ca="1">'Endrunde 4'!$AI49</f>
        <v>0</v>
      </c>
      <c r="Z19" s="1">
        <f t="shared" ca="1" si="16"/>
        <v>1.9</v>
      </c>
      <c r="AA19" s="1">
        <f t="shared" ca="1" si="17"/>
        <v>0</v>
      </c>
      <c r="AB19" s="1">
        <f t="shared" ca="1" si="18"/>
        <v>0</v>
      </c>
      <c r="AC19" s="1"/>
      <c r="AD19" s="257">
        <f t="shared" ca="1" si="19"/>
        <v>4</v>
      </c>
      <c r="AE19" s="29">
        <f ca="1">(J19+CalcE!$H$65)*CalcE!$F$65</f>
        <v>470000</v>
      </c>
      <c r="AF19" s="1">
        <f t="shared" ca="1" si="20"/>
        <v>4</v>
      </c>
      <c r="AG19" s="1">
        <f t="shared" ca="1" si="21"/>
        <v>1</v>
      </c>
      <c r="AH19" s="260">
        <f t="shared" ca="1" si="22"/>
        <v>4.0104099999999994</v>
      </c>
      <c r="AI19" s="1"/>
    </row>
    <row r="20" spans="2:80" s="2" customFormat="1" x14ac:dyDescent="0.2">
      <c r="C20" s="2" t="str">
        <f ca="1">$C65</f>
        <v>TSG Saalberg eV</v>
      </c>
      <c r="D20" s="1">
        <f t="shared" ca="1" si="4"/>
        <v>3</v>
      </c>
      <c r="E20" s="1">
        <f t="shared" ca="1" si="4"/>
        <v>0</v>
      </c>
      <c r="F20" s="1">
        <f t="shared" ca="1" si="4"/>
        <v>3</v>
      </c>
      <c r="G20" s="1">
        <f t="shared" ca="1" si="4"/>
        <v>0</v>
      </c>
      <c r="H20" s="1">
        <f t="shared" ca="1" si="5"/>
        <v>121</v>
      </c>
      <c r="I20" s="1">
        <f t="shared" ca="1" si="5"/>
        <v>139</v>
      </c>
      <c r="J20" s="13">
        <f t="shared" ca="1" si="5"/>
        <v>-18</v>
      </c>
      <c r="K20" s="1">
        <f t="shared" ca="1" si="5"/>
        <v>3</v>
      </c>
      <c r="L20" s="29">
        <f ca="1">K20*CalcE!$F$64+(J20+CalcE!$H$65)*CalcE!$F$65</f>
        <v>3482000</v>
      </c>
      <c r="M20" s="14">
        <f t="shared" ca="1" si="14"/>
        <v>1</v>
      </c>
      <c r="N20" s="14">
        <f t="array" aca="1" ref="N20" ca="1">IF($AI$15,SUM(($K$17:$K$25&gt;=K20)/COUNTIF($K$17:$K$25,$K$17:$K$25)),SUM(($L$17:$L$25&gt;=L20)/COUNTIF($L$17:$L$25,$L$17:$L$25)))</f>
        <v>3</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3.0108999999999999</v>
      </c>
      <c r="Y20" s="13">
        <f ca="1">'Endrunde 4'!$AI50</f>
        <v>0</v>
      </c>
      <c r="Z20" s="1">
        <f t="shared" ca="1" si="16"/>
        <v>1.9</v>
      </c>
      <c r="AA20" s="1">
        <f t="shared" ca="1" si="17"/>
        <v>0</v>
      </c>
      <c r="AB20" s="1">
        <f t="shared" ca="1" si="18"/>
        <v>0</v>
      </c>
      <c r="AC20" s="1"/>
      <c r="AD20" s="257">
        <f t="shared" ca="1" si="19"/>
        <v>2</v>
      </c>
      <c r="AE20" s="29">
        <f ca="1">(J20+CalcE!$H$65)*CalcE!$F$65</f>
        <v>482000</v>
      </c>
      <c r="AF20" s="1">
        <f t="shared" ca="1" si="20"/>
        <v>3</v>
      </c>
      <c r="AG20" s="1">
        <f t="shared" ca="1" si="21"/>
        <v>1</v>
      </c>
      <c r="AH20" s="260">
        <f t="shared" ca="1" si="22"/>
        <v>2.01031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3">
        <v>1</v>
      </c>
      <c r="F29" s="990"/>
      <c r="G29" s="990"/>
      <c r="H29" s="990"/>
      <c r="I29" s="990"/>
      <c r="J29" s="990"/>
      <c r="K29" s="990"/>
      <c r="L29" s="992"/>
      <c r="M29" s="989">
        <v>2</v>
      </c>
      <c r="N29" s="990"/>
      <c r="O29" s="990"/>
      <c r="P29" s="990"/>
      <c r="Q29" s="990"/>
      <c r="R29" s="990"/>
      <c r="S29" s="990"/>
      <c r="T29" s="992"/>
      <c r="U29" s="989">
        <v>3</v>
      </c>
      <c r="V29" s="990"/>
      <c r="W29" s="990"/>
      <c r="X29" s="990"/>
      <c r="Y29" s="990"/>
      <c r="Z29" s="990"/>
      <c r="AA29" s="990"/>
      <c r="AB29" s="992"/>
      <c r="AC29" s="989">
        <v>4</v>
      </c>
      <c r="AD29" s="990"/>
      <c r="AE29" s="990"/>
      <c r="AF29" s="990"/>
      <c r="AG29" s="990"/>
      <c r="AH29" s="990"/>
      <c r="AI29" s="990"/>
      <c r="AJ29" s="992"/>
      <c r="AK29" s="989">
        <v>5</v>
      </c>
      <c r="AL29" s="990"/>
      <c r="AM29" s="990"/>
      <c r="AN29" s="990"/>
      <c r="AO29" s="990"/>
      <c r="AP29" s="990"/>
      <c r="AQ29" s="990"/>
      <c r="AR29" s="992"/>
      <c r="AS29" s="989">
        <v>6</v>
      </c>
      <c r="AT29" s="990"/>
      <c r="AU29" s="990"/>
      <c r="AV29" s="990"/>
      <c r="AW29" s="990"/>
      <c r="AX29" s="990"/>
      <c r="AY29" s="990"/>
      <c r="AZ29" s="992"/>
      <c r="BA29" s="989">
        <v>7</v>
      </c>
      <c r="BB29" s="990"/>
      <c r="BC29" s="990"/>
      <c r="BD29" s="990"/>
      <c r="BE29" s="990"/>
      <c r="BF29" s="990"/>
      <c r="BG29" s="990"/>
      <c r="BH29" s="992"/>
      <c r="BI29" s="989">
        <v>8</v>
      </c>
      <c r="BJ29" s="990"/>
      <c r="BK29" s="990"/>
      <c r="BL29" s="990"/>
      <c r="BM29" s="990"/>
      <c r="BN29" s="990"/>
      <c r="BO29" s="990"/>
      <c r="BP29" s="991"/>
      <c r="BQ29" s="13"/>
      <c r="BR29" s="5" t="s">
        <v>94</v>
      </c>
      <c r="BS29" s="2" t="str">
        <f ca="1">$F$4</f>
        <v>1. FC Riedwald</v>
      </c>
      <c r="BT29" s="2" t="str">
        <f ca="1">$F$5</f>
        <v>Mainz 05</v>
      </c>
      <c r="BU29" s="2" t="str">
        <f ca="1">$F$6</f>
        <v>Kickers Rodendorf</v>
      </c>
      <c r="BV29" s="2" t="str">
        <f ca="1">$F$7</f>
        <v>TSG Saalberg eV</v>
      </c>
      <c r="BW29" s="2" t="str">
        <f>$F$8</f>
        <v/>
      </c>
      <c r="BX29" s="2" t="str">
        <f>$F$9</f>
        <v/>
      </c>
      <c r="BY29" s="2" t="str">
        <f>$F$10</f>
        <v/>
      </c>
      <c r="BZ29" s="2" t="str">
        <f>$F$11</f>
        <v/>
      </c>
      <c r="CA29" s="2" t="str">
        <f>$F$12</f>
        <v/>
      </c>
      <c r="CB29" s="51"/>
    </row>
    <row r="30" spans="2:80" s="2" customFormat="1" x14ac:dyDescent="0.2">
      <c r="C30" s="2" t="str">
        <f ca="1">$C62</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1. FC Riedwald</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47</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Mainz 05</v>
      </c>
      <c r="BS31" s="9">
        <f ca="1">SUMIFS(CalcE!$X$64:$X$99,CalcE!$V$64:$V$99,$BR31,CalcE!$W$64:$W$99,BS$29)+SUMIFS(CalcE!$Y$64:$Y$99,CalcE!$W$64:$W$99,$BR31,CalcE!$V$64:$V$99,BS$29)+SUMIFS(CalcE!$AG$64:$AG$99,CalcE!$V$64:$V$99,$BR31,CalcE!$W$64:$W$99,BS$29)+SUMIFS(CalcE!$AH$64:$AH$99,CalcE!$W$64:$W$99,$BR31,CalcE!$V$64:$V$99,BS$29)</f>
        <v>36</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48</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Kickers Rodendorf</v>
      </c>
      <c r="BS32" s="9">
        <f ca="1">SUMIFS(CalcE!$X$64:$X$99,CalcE!$V$64:$V$99,$BR32,CalcE!$W$64:$W$99,BS$29)+SUMIFS(CalcE!$Y$64:$Y$99,CalcE!$W$64:$W$99,$BR32,CalcE!$V$64:$V$99,BS$29)+SUMIFS(CalcE!$AG$64:$AG$99,CalcE!$V$64:$V$99,$BR32,CalcE!$W$64:$W$99,BS$29)+SUMIFS(CalcE!$AH$64:$AH$99,CalcE!$W$64:$W$99,$BR32,CalcE!$V$64:$V$99,BS$29)</f>
        <v>29</v>
      </c>
      <c r="BT32" s="9">
        <f ca="1">SUMIFS(CalcE!$X$64:$X$99,CalcE!$V$64:$V$99,$BR32,CalcE!$W$64:$W$99,BT$29)+SUMIFS(CalcE!$Y$64:$Y$99,CalcE!$W$64:$W$99,$BR32,CalcE!$V$64:$V$99,BT$29)+SUMIFS(CalcE!$AG$64:$AG$99,CalcE!$V$64:$V$99,$BR32,CalcE!$W$64:$W$99,BT$29)+SUMIFS(CalcE!$AH$64:$AH$99,CalcE!$W$64:$W$99,$BR32,CalcE!$V$64:$V$99,BT$29)</f>
        <v>40</v>
      </c>
      <c r="BU32" s="7"/>
      <c r="BV32" s="8">
        <f ca="1">SUMIFS(CalcE!$X$64:$X$99,CalcE!$V$64:$V$99,$BR32,CalcE!$W$64:$W$99,BV$29)+SUMIFS(CalcE!$Y$64:$Y$99,CalcE!$W$64:$W$99,$BR32,CalcE!$V$64:$V$99,BV$29)+SUMIFS(CalcE!$AG$64:$AG$99,CalcE!$V$64:$V$99,$BR32,CalcE!$W$64:$W$99,BV$29)+SUMIFS(CalcE!$AH$64:$AH$99,CalcE!$W$64:$W$99,$BR32,CalcE!$V$64:$V$99,BV$29)</f>
        <v>44</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TSG Saalberg eV</v>
      </c>
      <c r="BS33" s="9">
        <f ca="1">SUMIFS(CalcE!$X$64:$X$99,CalcE!$V$64:$V$99,$BR33,CalcE!$W$64:$W$99,BS$29)+SUMIFS(CalcE!$Y$64:$Y$99,CalcE!$W$64:$W$99,$BR33,CalcE!$V$64:$V$99,BS$29)+SUMIFS(CalcE!$AG$64:$AG$99,CalcE!$V$64:$V$99,$BR33,CalcE!$W$64:$W$99,BS$29)+SUMIFS(CalcE!$AH$64:$AH$99,CalcE!$W$64:$W$99,$BR33,CalcE!$V$64:$V$99,BS$29)</f>
        <v>39</v>
      </c>
      <c r="BT33" s="9">
        <f ca="1">SUMIFS(CalcE!$X$64:$X$99,CalcE!$V$64:$V$99,$BR33,CalcE!$W$64:$W$99,BT$29)+SUMIFS(CalcE!$Y$64:$Y$99,CalcE!$W$64:$W$99,$BR33,CalcE!$V$64:$V$99,BT$29)+SUMIFS(CalcE!$AG$64:$AG$99,CalcE!$V$64:$V$99,$BR33,CalcE!$W$64:$W$99,BT$29)+SUMIFS(CalcE!$AH$64:$AH$99,CalcE!$W$64:$W$99,$BR33,CalcE!$V$64:$V$99,BT$29)</f>
        <v>39</v>
      </c>
      <c r="BU33" s="9">
        <f ca="1">SUMIFS(CalcE!$X$64:$X$99,CalcE!$V$64:$V$99,$BR33,CalcE!$W$64:$W$99,BU$29)+SUMIFS(CalcE!$Y$64:$Y$99,CalcE!$W$64:$W$99,$BR33,CalcE!$V$64:$V$99,BU$29)+SUMIFS(CalcE!$AG$64:$AG$99,CalcE!$V$64:$V$99,$BR33,CalcE!$W$64:$W$99,BU$29)+SUMIFS(CalcE!$AH$64:$AH$99,CalcE!$W$64:$W$99,$BR33,CalcE!$V$64:$V$99,BU$29)</f>
        <v>43</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1. FC Riedwald</v>
      </c>
      <c r="BT40" s="2" t="str">
        <f ca="1">$F$5</f>
        <v>Mainz 05</v>
      </c>
      <c r="BU40" s="2" t="str">
        <f ca="1">$F$6</f>
        <v>Kickers Rodendorf</v>
      </c>
      <c r="BV40" s="2" t="str">
        <f ca="1">$F$7</f>
        <v>TSG Saalberg eV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1. FC Riedwald</v>
      </c>
      <c r="BS41" s="7"/>
      <c r="BT41" s="8">
        <f ca="1">BT30-BS31</f>
        <v>14</v>
      </c>
      <c r="BU41" s="8">
        <f ca="1">BU30-BS32</f>
        <v>21</v>
      </c>
      <c r="BV41" s="8">
        <f ca="1">BV30-BS33</f>
        <v>8</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Mainz 05</v>
      </c>
      <c r="BS42" s="9">
        <f ca="1">IF(BT41="","",-1*BT41)</f>
        <v>-14</v>
      </c>
      <c r="BT42" s="7"/>
      <c r="BU42" s="8">
        <f ca="1">BU31-BT32</f>
        <v>10</v>
      </c>
      <c r="BV42" s="8">
        <f ca="1">BV31-BT33</f>
        <v>9</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Kickers Rodendorf</v>
      </c>
      <c r="BS43" s="9">
        <f ca="1">IF(BU41="","",-1*BU41)</f>
        <v>-21</v>
      </c>
      <c r="BT43" s="9">
        <f ca="1">IF(BU42="","",-1*BU42)</f>
        <v>-10</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TSG Saalberg eV</v>
      </c>
      <c r="BS44" s="9">
        <f ca="1">IF(BV41="","",-1*BV41)</f>
        <v>-8</v>
      </c>
      <c r="BT44" s="9">
        <f ca="1">IF(BV42="","",-1*BV42)</f>
        <v>-9</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1. FC Riedwald</v>
      </c>
      <c r="BT51" s="2" t="str">
        <f ca="1">$F$5</f>
        <v>Mainz 05</v>
      </c>
      <c r="BU51" s="2" t="str">
        <f ca="1">$F$6</f>
        <v>Kickers Rodendorf</v>
      </c>
      <c r="BV51" s="2" t="str">
        <f ca="1">$F$7</f>
        <v>TSG Saalberg eV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1. FC Riedwald</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Mainz 05</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Kickers Rodendorf</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TSG Saalberg eV</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3" t="str">
        <f ca="1">IF('Endrunde 4'!$AG47="","",'Endrunde 4'!$AG47)</f>
        <v>1. FC Riedwald</v>
      </c>
      <c r="D62" s="1004"/>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5" t="str">
        <f ca="1">IF('Endrunde 4'!$AG48="","",'Endrunde 4'!$AG48)</f>
        <v>Mainz 05</v>
      </c>
      <c r="D63" s="1006"/>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5" t="str">
        <f ca="1">IF('Endrunde 4'!$AG49="","",'Endrunde 4'!$AG49)</f>
        <v>Kickers Rodendorf</v>
      </c>
      <c r="D64" s="1006"/>
      <c r="F64" s="312"/>
      <c r="G64" s="85"/>
      <c r="H64" s="4"/>
      <c r="I64" s="4"/>
      <c r="P64" s="13"/>
      <c r="Q64" s="1005"/>
      <c r="R64" s="1005"/>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2:43" s="2" customFormat="1" ht="12.75" thickBot="1" x14ac:dyDescent="0.25">
      <c r="B65" s="147" t="s">
        <v>9</v>
      </c>
      <c r="C65" s="1007" t="str">
        <f ca="1">IF('Endrunde 4'!$AG50="","",'Endrunde 4'!$AG50)</f>
        <v>TSG Saalberg eV</v>
      </c>
      <c r="D65" s="1008"/>
      <c r="P65" s="13"/>
      <c r="Q65" s="1005"/>
      <c r="R65" s="1005"/>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2:43" s="2" customFormat="1" ht="12.75" thickTop="1" x14ac:dyDescent="0.2">
      <c r="P66" s="13"/>
      <c r="Q66" s="1005"/>
      <c r="R66" s="1005"/>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2:43" s="2" customFormat="1" x14ac:dyDescent="0.2">
      <c r="P67" s="13"/>
      <c r="Q67" s="1005"/>
      <c r="R67" s="1005"/>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2:43"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2:43"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2:43"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sheetData>
  <mergeCells count="21">
    <mergeCell ref="Q66:R66"/>
    <mergeCell ref="Q67:R67"/>
    <mergeCell ref="Q64:R64"/>
    <mergeCell ref="Q65:R65"/>
    <mergeCell ref="AS29:AZ29"/>
    <mergeCell ref="M29:T29"/>
    <mergeCell ref="BI29:BP29"/>
    <mergeCell ref="W3:AA3"/>
    <mergeCell ref="AB3:AF3"/>
    <mergeCell ref="AG3:AK3"/>
    <mergeCell ref="AL3:AP3"/>
    <mergeCell ref="AD15:AH15"/>
    <mergeCell ref="U29:AB29"/>
    <mergeCell ref="AC29:AJ29"/>
    <mergeCell ref="AK29:AR29"/>
    <mergeCell ref="BA29:BH29"/>
    <mergeCell ref="C62:D62"/>
    <mergeCell ref="C63:D63"/>
    <mergeCell ref="C64:D64"/>
    <mergeCell ref="C65:D65"/>
    <mergeCell ref="E29:L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36"/>
      <c r="C2" s="736"/>
      <c r="D2" s="736"/>
      <c r="E2" s="736"/>
      <c r="F2" s="1"/>
      <c r="G2" s="1"/>
      <c r="H2" s="1"/>
      <c r="I2" s="1"/>
      <c r="J2" s="1" t="s">
        <v>376</v>
      </c>
      <c r="K2" s="1"/>
      <c r="L2" s="1"/>
      <c r="M2" s="1"/>
      <c r="N2" s="736"/>
      <c r="O2" s="1"/>
      <c r="P2" s="1"/>
      <c r="Q2" s="1"/>
    </row>
    <row r="3" spans="1:44" s="2" customFormat="1" ht="13.5" customHeight="1" thickBot="1" x14ac:dyDescent="0.25">
      <c r="B3" s="1"/>
      <c r="C3" s="736"/>
      <c r="D3" s="736"/>
      <c r="E3" s="736"/>
      <c r="F3" s="736"/>
      <c r="G3" s="69" t="s">
        <v>106</v>
      </c>
      <c r="H3" s="69" t="s">
        <v>107</v>
      </c>
      <c r="I3" s="734" t="s">
        <v>108</v>
      </c>
      <c r="J3" s="27" t="s">
        <v>109</v>
      </c>
      <c r="K3" s="734" t="s">
        <v>102</v>
      </c>
      <c r="L3" s="27" t="s">
        <v>103</v>
      </c>
      <c r="M3" s="27" t="s">
        <v>104</v>
      </c>
      <c r="N3" s="27" t="s">
        <v>105</v>
      </c>
      <c r="O3" s="736"/>
      <c r="P3" s="736"/>
      <c r="Q3" s="736"/>
      <c r="R3" s="736"/>
      <c r="S3" s="736"/>
      <c r="T3" s="736"/>
      <c r="U3" s="736"/>
      <c r="V3" s="736"/>
      <c r="W3" s="1009"/>
      <c r="X3" s="1010"/>
      <c r="Y3" s="1010"/>
      <c r="Z3" s="1010"/>
      <c r="AA3" s="1010"/>
      <c r="AB3" s="1009"/>
      <c r="AC3" s="1010"/>
      <c r="AD3" s="1010"/>
      <c r="AE3" s="1010"/>
      <c r="AF3" s="1010"/>
      <c r="AG3" s="1009"/>
      <c r="AH3" s="1010"/>
      <c r="AI3" s="1010"/>
      <c r="AJ3" s="1010"/>
      <c r="AK3" s="1010"/>
      <c r="AL3" s="1009"/>
      <c r="AM3" s="1010"/>
      <c r="AN3" s="1010"/>
      <c r="AO3" s="1010"/>
      <c r="AP3" s="1010"/>
    </row>
    <row r="4" spans="1:44" s="2" customFormat="1" ht="12.75" thickTop="1" x14ac:dyDescent="0.2">
      <c r="A4" s="251"/>
      <c r="B4" s="1">
        <v>1</v>
      </c>
      <c r="C4" s="21">
        <f ca="1">RANK(D4,$D$4:$D$12,1)</f>
        <v>1</v>
      </c>
      <c r="D4" s="736">
        <f ca="1">E4+ROW()/1000+(F4="")*10</f>
        <v>1.004</v>
      </c>
      <c r="E4" s="263">
        <f ca="1">IF($AI$15,RANK(AH17,AH$17:AH$25,1),RANK(X17,X$17:X$25,1))</f>
        <v>1</v>
      </c>
      <c r="F4" s="1" t="str">
        <f ca="1">$C62</f>
        <v>VFB Essenheim</v>
      </c>
      <c r="G4" s="1">
        <f ca="1">SUMIFS(CalcE!$X$64:$X$99,CalcE!$V$64:$V$99,$F4)+SUMIFS(CalcE!$Y$64:$Y$99,CalcE!$W$64:$W$99,$F4)+SUMIFS(CalcE!$AG$64:$AG$99,CalcE!$V$64:$V$99,$F4)+SUMIFS(CalcE!$AH$64:$AH$99,CalcE!$W$64:$W$99,$F4)</f>
        <v>146</v>
      </c>
      <c r="H4" s="1">
        <f ca="1">SUMIFS(CalcE!$Y$64:$Y$99,CalcE!$V$64:$V$99,$F4)+SUMIFS(CalcE!$X$64:$X$99,CalcE!$W$64:$W$99,$F4)+SUMIFS(CalcE!$AH$64:$AH$99,CalcE!$V$64:$V$99,$F4)+SUMIFS(CalcE!$AG$64:$AG$99,CalcE!$W$64:$W$99,$F4)</f>
        <v>106</v>
      </c>
      <c r="I4" s="736">
        <f ca="1">IF(Einstellungen!$G$7,G4-H4,IF(H4=0,IF(G4=0,0,Einstellungen!$F$7),G4/H4))</f>
        <v>40</v>
      </c>
      <c r="J4" s="1">
        <f ca="1">SUMPRODUCT((CalcE!$V$64:$V$135=F4)*CalcE!$AE$64:$AE$135*CalcE!$AA$64:$AA$135)+SUMPRODUCT((CalcE!$W$64:$W$135=F4)*CalcE!$AF$64:$AF$135*CalcE!$AA$64:$AA$135)</f>
        <v>6</v>
      </c>
      <c r="K4" s="1">
        <f ca="1">SUMPRODUCT((CalcE!$V$64:$V$99=F4)*CalcE!$AA$64:$AA$99)+SUMPRODUCT((CalcE!$W$64:$W$99=F4)*CalcE!$AA$64:$AA$99)</f>
        <v>3</v>
      </c>
      <c r="L4" s="1">
        <f ca="1">K4-M4-N4</f>
        <v>3</v>
      </c>
      <c r="M4" s="1">
        <f ca="1">SUMPRODUCT((CalcE!$V$64:$W$99=F4)*(CalcE!$AE$64:$AE$99=CalcE!$AF$64:$AF$99)*CalcE!$AA$64:$AA$99)</f>
        <v>0</v>
      </c>
      <c r="N4" s="1">
        <f ca="1">SUMPRODUCT((CalcE!$V$64:$V$99=F4)*(CalcE!$AE$64:$AE$99&lt;CalcE!$AF$64:$AF$99)*CalcE!$AA$64:$AA$99)+SUMPRODUCT((CalcE!$W$64:$W$99=F4)*(CalcE!$AE$64:$AE$99&gt;CalcE!$AF$64:$AF$99)*CalcE!$AA$64:$AA$99)</f>
        <v>0</v>
      </c>
      <c r="O4" s="735"/>
      <c r="P4" s="735"/>
      <c r="Q4" s="735"/>
      <c r="R4" s="735"/>
      <c r="S4" s="4"/>
      <c r="T4" s="4"/>
      <c r="U4" s="4"/>
      <c r="V4" s="736"/>
      <c r="W4" s="635"/>
      <c r="X4" s="635"/>
      <c r="Y4" s="632"/>
      <c r="Z4" s="632"/>
      <c r="AA4" s="632"/>
      <c r="AB4" s="635"/>
      <c r="AC4" s="635"/>
      <c r="AD4" s="636"/>
      <c r="AE4" s="632"/>
      <c r="AF4" s="632"/>
      <c r="AG4" s="635"/>
      <c r="AH4" s="635"/>
      <c r="AI4" s="636"/>
      <c r="AJ4" s="632"/>
      <c r="AK4" s="632"/>
      <c r="AL4" s="635"/>
      <c r="AM4" s="635"/>
      <c r="AN4" s="636"/>
      <c r="AO4" s="632"/>
      <c r="AP4" s="632"/>
      <c r="AR4" s="2">
        <f ca="1">IF(Einstellungen!$G$7,$I4,ROUND($I4,Einstellungen!$H$7))</f>
        <v>40</v>
      </c>
    </row>
    <row r="5" spans="1:44" s="2" customFormat="1" x14ac:dyDescent="0.2">
      <c r="A5" s="251"/>
      <c r="B5" s="1">
        <v>2</v>
      </c>
      <c r="C5" s="22">
        <f t="shared" ref="C5:C12" ca="1" si="0">RANK(D5,$D$4:$D$12,1)</f>
        <v>2</v>
      </c>
      <c r="D5" s="736">
        <f t="shared" ref="D5:D12" ca="1" si="1">E5+ROW()/1000+(F5="")*10</f>
        <v>2.0049999999999999</v>
      </c>
      <c r="E5" s="263">
        <f t="shared" ref="E5:E12" ca="1" si="2">IF($AI$15,RANK(AH18,AH$17:AH$25,1),RANK(X18,X$17:X$25,1))</f>
        <v>2</v>
      </c>
      <c r="F5" s="1" t="str">
        <f ca="1">$C63</f>
        <v>SSV Wildbach</v>
      </c>
      <c r="G5" s="1">
        <f ca="1">SUMIFS(CalcE!$X$64:$X$99,CalcE!$V$64:$V$99,$F5)+SUMIFS(CalcE!$Y$64:$Y$99,CalcE!$W$64:$W$99,$F5)+SUMIFS(CalcE!$AG$64:$AG$99,CalcE!$V$64:$V$99,$F5)+SUMIFS(CalcE!$AH$64:$AH$99,CalcE!$W$64:$W$99,$F5)</f>
        <v>138</v>
      </c>
      <c r="H5" s="1">
        <f ca="1">SUMIFS(CalcE!$Y$64:$Y$99,CalcE!$V$64:$V$99,$F5)+SUMIFS(CalcE!$X$64:$X$99,CalcE!$W$64:$W$99,$F5)+SUMIFS(CalcE!$AH$64:$AH$99,CalcE!$V$64:$V$99,$F5)+SUMIFS(CalcE!$AG$64:$AG$99,CalcE!$W$64:$W$99,$F5)</f>
        <v>133</v>
      </c>
      <c r="I5" s="736">
        <f ca="1">IF(Einstellungen!$G$7,G5-H5,IF(H5=0,IF(G5=0,0,Einstellungen!$F$7),G5/H5))</f>
        <v>5</v>
      </c>
      <c r="J5" s="1">
        <f ca="1">SUMPRODUCT((CalcE!$V$64:$V$135=F5)*CalcE!$AE$64:$AE$135*CalcE!$AA$64:$AA$135)+SUMPRODUCT((CalcE!$W$64:$W$135=F5)*CalcE!$AF$64:$AF$135*CalcE!$AA$64:$AA$135)</f>
        <v>3</v>
      </c>
      <c r="K5" s="1">
        <f ca="1">SUMPRODUCT((CalcE!$V$64:$V$99=F5)*CalcE!$AA$64:$AA$99)+SUMPRODUCT((CalcE!$W$64:$W$99=F5)*CalcE!$AA$64:$AA$99)</f>
        <v>3</v>
      </c>
      <c r="L5" s="1">
        <f t="shared" ref="L5:L7" ca="1" si="3">K5-M5-N5</f>
        <v>1</v>
      </c>
      <c r="M5" s="1">
        <f ca="1">SUMPRODUCT((CalcE!$V$64:$W$99=F5)*(CalcE!$AE$64:$AE$99=CalcE!$AF$64:$AF$99)*CalcE!$AA$64:$AA$99)</f>
        <v>1</v>
      </c>
      <c r="N5" s="1">
        <f ca="1">SUMPRODUCT((CalcE!$V$64:$V$99=F5)*(CalcE!$AE$64:$AE$99&lt;CalcE!$AF$64:$AF$99)*CalcE!$AA$64:$AA$99)+SUMPRODUCT((CalcE!$W$64:$W$99=F5)*(CalcE!$AE$64:$AE$99&gt;CalcE!$AF$64:$AF$99)*CalcE!$AA$64:$AA$99)</f>
        <v>1</v>
      </c>
      <c r="O5" s="725"/>
      <c r="P5" s="726"/>
      <c r="Q5" s="4"/>
      <c r="R5" s="4"/>
      <c r="S5" s="4"/>
      <c r="T5" s="4"/>
      <c r="U5" s="4"/>
      <c r="V5" s="736"/>
      <c r="W5" s="635"/>
      <c r="X5" s="635"/>
      <c r="Y5" s="632"/>
      <c r="Z5" s="632"/>
      <c r="AA5" s="632"/>
      <c r="AB5" s="635"/>
      <c r="AC5" s="635"/>
      <c r="AD5" s="636"/>
      <c r="AE5" s="632"/>
      <c r="AF5" s="632"/>
      <c r="AG5" s="635"/>
      <c r="AH5" s="635"/>
      <c r="AI5" s="636"/>
      <c r="AJ5" s="632"/>
      <c r="AK5" s="632"/>
      <c r="AL5" s="635"/>
      <c r="AM5" s="635"/>
      <c r="AN5" s="636"/>
      <c r="AO5" s="632"/>
      <c r="AP5" s="632"/>
      <c r="AR5" s="2">
        <f ca="1">IF(Einstellungen!$G$7,$I5,ROUND($I5,Einstellungen!$H$7))</f>
        <v>5</v>
      </c>
    </row>
    <row r="6" spans="1:44" s="2" customFormat="1" x14ac:dyDescent="0.2">
      <c r="A6" s="251"/>
      <c r="B6" s="1">
        <v>3</v>
      </c>
      <c r="C6" s="22">
        <f t="shared" ca="1" si="0"/>
        <v>4</v>
      </c>
      <c r="D6" s="736">
        <f t="shared" ca="1" si="1"/>
        <v>4.0060000000000002</v>
      </c>
      <c r="E6" s="263">
        <f t="shared" ca="1" si="2"/>
        <v>4</v>
      </c>
      <c r="F6" s="1" t="str">
        <f ca="1">$C64</f>
        <v>FSV Rauen</v>
      </c>
      <c r="G6" s="1">
        <f ca="1">SUMIFS(CalcE!$X$64:$X$99,CalcE!$V$64:$V$99,$F6)+SUMIFS(CalcE!$Y$64:$Y$99,CalcE!$W$64:$W$99,$F6)+SUMIFS(CalcE!$AG$64:$AG$99,CalcE!$V$64:$V$99,$F6)+SUMIFS(CalcE!$AH$64:$AH$99,CalcE!$W$64:$W$99,$F6)</f>
        <v>117</v>
      </c>
      <c r="H6" s="1">
        <f ca="1">SUMIFS(CalcE!$Y$64:$Y$99,CalcE!$V$64:$V$99,$F6)+SUMIFS(CalcE!$X$64:$X$99,CalcE!$W$64:$W$99,$F6)+SUMIFS(CalcE!$AH$64:$AH$99,CalcE!$V$64:$V$99,$F6)+SUMIFS(CalcE!$AG$64:$AG$99,CalcE!$W$64:$W$99,$F6)</f>
        <v>142</v>
      </c>
      <c r="I6" s="736">
        <f ca="1">IF(Einstellungen!$G$7,G6-H6,IF(H6=0,IF(G6=0,0,Einstellungen!$F$7),G6/H6))</f>
        <v>-25</v>
      </c>
      <c r="J6" s="1">
        <f ca="1">SUMPRODUCT((CalcE!$V$64:$V$135=F6)*CalcE!$AE$64:$AE$135*CalcE!$AA$64:$AA$135)+SUMPRODUCT((CalcE!$W$64:$W$135=F6)*CalcE!$AF$64:$AF$135*CalcE!$AA$64:$AA$135)</f>
        <v>1</v>
      </c>
      <c r="K6" s="1">
        <f ca="1">SUMPRODUCT((CalcE!$V$64:$V$99=F6)*CalcE!$AA$64:$AA$99)+SUMPRODUCT((CalcE!$W$64:$W$99=F6)*CalcE!$AA$64:$AA$99)</f>
        <v>3</v>
      </c>
      <c r="L6" s="1">
        <f t="shared" ca="1" si="3"/>
        <v>0</v>
      </c>
      <c r="M6" s="1">
        <f ca="1">SUMPRODUCT((CalcE!$V$64:$W$99=F6)*(CalcE!$AE$64:$AE$99=CalcE!$AF$64:$AF$99)*CalcE!$AA$64:$AA$99)</f>
        <v>1</v>
      </c>
      <c r="N6" s="1">
        <f ca="1">SUMPRODUCT((CalcE!$V$64:$V$99=F6)*(CalcE!$AE$64:$AE$99&lt;CalcE!$AF$64:$AF$99)*CalcE!$AA$64:$AA$99)+SUMPRODUCT((CalcE!$W$64:$W$99=F6)*(CalcE!$AE$64:$AE$99&gt;CalcE!$AF$64:$AF$99)*CalcE!$AA$64:$AA$99)</f>
        <v>2</v>
      </c>
      <c r="O6" s="725"/>
      <c r="P6" s="726"/>
      <c r="Q6" s="4"/>
      <c r="R6" s="4"/>
      <c r="S6" s="4"/>
      <c r="T6" s="4"/>
      <c r="U6" s="4"/>
      <c r="V6" s="736"/>
      <c r="W6" s="635"/>
      <c r="X6" s="635"/>
      <c r="Y6" s="632"/>
      <c r="Z6" s="632"/>
      <c r="AA6" s="632"/>
      <c r="AB6" s="635"/>
      <c r="AC6" s="635"/>
      <c r="AD6" s="636"/>
      <c r="AE6" s="632"/>
      <c r="AF6" s="632"/>
      <c r="AG6" s="635"/>
      <c r="AH6" s="635"/>
      <c r="AI6" s="636"/>
      <c r="AJ6" s="632"/>
      <c r="AK6" s="632"/>
      <c r="AL6" s="635"/>
      <c r="AM6" s="635"/>
      <c r="AN6" s="636"/>
      <c r="AO6" s="632"/>
      <c r="AP6" s="632"/>
      <c r="AR6" s="2">
        <f ca="1">IF(Einstellungen!$G$7,$I6,ROUND($I6,Einstellungen!$H$7))</f>
        <v>-25</v>
      </c>
    </row>
    <row r="7" spans="1:44" s="2" customFormat="1" x14ac:dyDescent="0.2">
      <c r="A7" s="251"/>
      <c r="B7" s="1">
        <v>4</v>
      </c>
      <c r="C7" s="22">
        <f t="shared" ca="1" si="0"/>
        <v>3</v>
      </c>
      <c r="D7" s="736">
        <f t="shared" ca="1" si="1"/>
        <v>3.0070000000000001</v>
      </c>
      <c r="E7" s="263">
        <f t="shared" ca="1" si="2"/>
        <v>3</v>
      </c>
      <c r="F7" s="1" t="str">
        <f ca="1">$C65</f>
        <v>Paris St. Germain</v>
      </c>
      <c r="G7" s="1">
        <f ca="1">SUMIFS(CalcE!$X$64:$X$99,CalcE!$V$64:$V$99,$F7)+SUMIFS(CalcE!$Y$64:$Y$99,CalcE!$W$64:$W$99,$F7)+SUMIFS(CalcE!$AG$64:$AG$99,CalcE!$V$64:$V$99,$F7)+SUMIFS(CalcE!$AH$64:$AH$99,CalcE!$W$64:$W$99,$F7)</f>
        <v>118</v>
      </c>
      <c r="H7" s="1">
        <f ca="1">SUMIFS(CalcE!$Y$64:$Y$99,CalcE!$V$64:$V$99,$F7)+SUMIFS(CalcE!$X$64:$X$99,CalcE!$W$64:$W$99,$F7)+SUMIFS(CalcE!$AH$64:$AH$99,CalcE!$V$64:$V$99,$F7)+SUMIFS(CalcE!$AG$64:$AG$99,CalcE!$W$64:$W$99,$F7)</f>
        <v>138</v>
      </c>
      <c r="I7" s="736">
        <f ca="1">IF(Einstellungen!$G$7,G7-H7,IF(H7=0,IF(G7=0,0,Einstellungen!$F$7),G7/H7))</f>
        <v>-20</v>
      </c>
      <c r="J7" s="1">
        <f ca="1">SUMPRODUCT((CalcE!$V$64:$V$135=F7)*CalcE!$AE$64:$AE$135*CalcE!$AA$64:$AA$135)+SUMPRODUCT((CalcE!$W$64:$W$135=F7)*CalcE!$AF$64:$AF$135*CalcE!$AA$64:$AA$135)</f>
        <v>2</v>
      </c>
      <c r="K7" s="1">
        <f ca="1">SUMPRODUCT((CalcE!$V$64:$V$99=F7)*CalcE!$AA$64:$AA$99)+SUMPRODUCT((CalcE!$W$64:$W$99=F7)*CalcE!$AA$64:$AA$99)</f>
        <v>3</v>
      </c>
      <c r="L7" s="1">
        <f t="shared" ca="1" si="3"/>
        <v>0</v>
      </c>
      <c r="M7" s="1">
        <f ca="1">SUMPRODUCT((CalcE!$V$64:$W$99=F7)*(CalcE!$AE$64:$AE$99=CalcE!$AF$64:$AF$99)*CalcE!$AA$64:$AA$99)</f>
        <v>2</v>
      </c>
      <c r="N7" s="1">
        <f ca="1">SUMPRODUCT((CalcE!$V$64:$V$99=F7)*(CalcE!$AE$64:$AE$99&lt;CalcE!$AF$64:$AF$99)*CalcE!$AA$64:$AA$99)+SUMPRODUCT((CalcE!$W$64:$W$99=F7)*(CalcE!$AE$64:$AE$99&gt;CalcE!$AF$64:$AF$99)*CalcE!$AA$64:$AA$99)</f>
        <v>1</v>
      </c>
      <c r="O7" s="725"/>
      <c r="P7" s="726"/>
      <c r="Q7" s="4"/>
      <c r="R7" s="4"/>
      <c r="S7" s="4"/>
      <c r="T7" s="4"/>
      <c r="U7" s="4"/>
      <c r="V7" s="736"/>
      <c r="W7" s="635"/>
      <c r="X7" s="635"/>
      <c r="Y7" s="632"/>
      <c r="Z7" s="632"/>
      <c r="AA7" s="632"/>
      <c r="AB7" s="635"/>
      <c r="AC7" s="635"/>
      <c r="AD7" s="636"/>
      <c r="AE7" s="632"/>
      <c r="AF7" s="632"/>
      <c r="AG7" s="635"/>
      <c r="AH7" s="635"/>
      <c r="AI7" s="636"/>
      <c r="AJ7" s="632"/>
      <c r="AK7" s="632"/>
      <c r="AL7" s="635"/>
      <c r="AM7" s="635"/>
      <c r="AN7" s="636"/>
      <c r="AO7" s="632"/>
      <c r="AP7" s="632"/>
      <c r="AR7" s="2">
        <f ca="1">IF(Einstellungen!$G$7,$I7,ROUND($I7,Einstellungen!$H$7))</f>
        <v>-20</v>
      </c>
    </row>
    <row r="8" spans="1:44" s="2" customFormat="1" x14ac:dyDescent="0.2">
      <c r="A8" s="251"/>
      <c r="B8" s="1">
        <v>5</v>
      </c>
      <c r="C8" s="22">
        <f t="shared" ca="1" si="0"/>
        <v>5</v>
      </c>
      <c r="D8" s="736">
        <f t="shared" ca="1" si="1"/>
        <v>15.007999999999999</v>
      </c>
      <c r="E8" s="263">
        <f t="shared" ca="1" si="2"/>
        <v>5</v>
      </c>
      <c r="F8" s="1" t="str">
        <f>""</f>
        <v/>
      </c>
      <c r="G8" s="1">
        <v>0</v>
      </c>
      <c r="H8" s="1">
        <v>0</v>
      </c>
      <c r="I8" s="736">
        <f>IF(Einstellungen!$G$7,G8-H8,IF(H8=0,IF(G8=0,0,Einstellungen!$F$7),G8/H8))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IF(Einstellungen!$G$7,$I8,ROUND($I8,Einstellungen!$H$7))</f>
        <v>0</v>
      </c>
    </row>
    <row r="9" spans="1:44" s="2" customFormat="1" x14ac:dyDescent="0.2">
      <c r="A9" s="251"/>
      <c r="B9" s="1">
        <v>6</v>
      </c>
      <c r="C9" s="22">
        <f t="shared" ca="1" si="0"/>
        <v>6</v>
      </c>
      <c r="D9" s="736">
        <f t="shared" ca="1" si="1"/>
        <v>15.009</v>
      </c>
      <c r="E9" s="263">
        <f t="shared" ca="1" si="2"/>
        <v>5</v>
      </c>
      <c r="F9" s="1" t="str">
        <f>""</f>
        <v/>
      </c>
      <c r="G9" s="1">
        <v>0</v>
      </c>
      <c r="H9" s="1">
        <v>0</v>
      </c>
      <c r="I9" s="736">
        <f>IF(Einstellungen!$G$7,G9-H9,IF(H9=0,IF(G9=0,0,Einstellungen!$F$7),G9/H9))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IF(Einstellungen!$G$7,$I9,ROUND($I9,Einstellungen!$H$7))</f>
        <v>0</v>
      </c>
    </row>
    <row r="10" spans="1:44" s="2" customFormat="1" x14ac:dyDescent="0.2">
      <c r="A10" s="251"/>
      <c r="B10" s="1">
        <v>7</v>
      </c>
      <c r="C10" s="22">
        <f t="shared" ca="1" si="0"/>
        <v>7</v>
      </c>
      <c r="D10" s="736">
        <f t="shared" ca="1" si="1"/>
        <v>15.01</v>
      </c>
      <c r="E10" s="263">
        <f t="shared" ca="1" si="2"/>
        <v>5</v>
      </c>
      <c r="F10" s="1" t="str">
        <f>""</f>
        <v/>
      </c>
      <c r="G10" s="1">
        <v>0</v>
      </c>
      <c r="H10" s="1">
        <v>0</v>
      </c>
      <c r="I10" s="736">
        <f>IF(Einstellungen!$G$7,G10-H10,IF(H10=0,IF(G10=0,0,Einstellungen!$F$7),G10/H10))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IF(Einstellungen!$G$7,$I10,ROUND($I10,Einstellungen!$H$7))</f>
        <v>0</v>
      </c>
    </row>
    <row r="11" spans="1:44" s="2" customFormat="1" x14ac:dyDescent="0.2">
      <c r="A11" s="251"/>
      <c r="B11" s="1">
        <v>8</v>
      </c>
      <c r="C11" s="22">
        <f t="shared" ca="1" si="0"/>
        <v>8</v>
      </c>
      <c r="D11" s="736">
        <f t="shared" ca="1" si="1"/>
        <v>15.010999999999999</v>
      </c>
      <c r="E11" s="263">
        <f t="shared" ca="1" si="2"/>
        <v>5</v>
      </c>
      <c r="F11" s="1" t="str">
        <f>""</f>
        <v/>
      </c>
      <c r="G11" s="1">
        <v>0</v>
      </c>
      <c r="H11" s="1">
        <v>0</v>
      </c>
      <c r="I11" s="736">
        <f>IF(Einstellungen!$G$7,G11-H11,IF(H11=0,IF(G11=0,0,Einstellungen!$F$7),G11/H11))</f>
        <v>0</v>
      </c>
      <c r="J11" s="1">
        <f ca="1">SUMPRODUCT((CalcE!$V$64:$V$135=F11)*CalcE!$AE$64:$AE$135*CalcE!$AA$64:$AA$135)+SUMPRODUCT((CalcE!$W$64:$W$135=F11)*CalcE!$AF$64:$AF$135*CalcE!$AA$64:$AA$135)</f>
        <v>0</v>
      </c>
      <c r="K11" s="1">
        <v>0</v>
      </c>
      <c r="L11" s="1">
        <v>0</v>
      </c>
      <c r="M11" s="1">
        <v>0</v>
      </c>
      <c r="N11" s="1">
        <v>0</v>
      </c>
      <c r="O11" s="736"/>
      <c r="P11" s="736"/>
      <c r="Q11" s="736"/>
      <c r="R11" s="736"/>
      <c r="S11" s="736"/>
      <c r="T11" s="736"/>
      <c r="U11" s="736"/>
      <c r="V11" s="736"/>
      <c r="W11" s="635"/>
      <c r="X11" s="635"/>
      <c r="Y11" s="632"/>
      <c r="Z11" s="632"/>
      <c r="AA11" s="632"/>
      <c r="AB11" s="635"/>
      <c r="AC11" s="635"/>
      <c r="AD11" s="636"/>
      <c r="AE11" s="632"/>
      <c r="AF11" s="632"/>
      <c r="AG11" s="635"/>
      <c r="AH11" s="635"/>
      <c r="AI11" s="636"/>
      <c r="AJ11" s="632"/>
      <c r="AK11" s="632"/>
      <c r="AL11" s="635"/>
      <c r="AM11" s="635"/>
      <c r="AN11" s="636"/>
      <c r="AO11" s="632"/>
      <c r="AP11" s="632"/>
      <c r="AR11" s="2">
        <f>IF(Einstellungen!$G$7,$I11,ROUND($I11,Einstellungen!$H$7))</f>
        <v>0</v>
      </c>
    </row>
    <row r="12" spans="1:44" s="2" customFormat="1" ht="12.75" thickBot="1" x14ac:dyDescent="0.25">
      <c r="A12" s="251"/>
      <c r="B12" s="1">
        <v>9</v>
      </c>
      <c r="C12" s="23">
        <f t="shared" ca="1" si="0"/>
        <v>9</v>
      </c>
      <c r="D12" s="736">
        <f t="shared" ca="1" si="1"/>
        <v>15.012</v>
      </c>
      <c r="E12" s="263">
        <f t="shared" ca="1" si="2"/>
        <v>5</v>
      </c>
      <c r="F12" s="1" t="str">
        <f>""</f>
        <v/>
      </c>
      <c r="G12" s="1">
        <v>0</v>
      </c>
      <c r="H12" s="1">
        <v>0</v>
      </c>
      <c r="I12" s="736">
        <f>IF(Einstellungen!$G$7,G12-H12,IF(H12=0,IF(G12=0,0,Einstellungen!$F$7),G12/H12))</f>
        <v>0</v>
      </c>
      <c r="J12" s="1">
        <f ca="1">SUMPRODUCT((CalcE!$V$64:$V$135=F12)*CalcE!$AE$64:$AE$135*CalcE!$AA$64:$AA$135)+SUMPRODUCT((CalcE!$W$64:$W$135=F12)*CalcE!$AF$64:$AF$135*CalcE!$AA$64:$AA$135)</f>
        <v>0</v>
      </c>
      <c r="K12" s="28">
        <v>0</v>
      </c>
      <c r="L12" s="1">
        <v>0</v>
      </c>
      <c r="M12" s="1">
        <v>0</v>
      </c>
      <c r="N12" s="1">
        <v>0</v>
      </c>
      <c r="O12" s="736"/>
      <c r="P12" s="736"/>
      <c r="Q12" s="736"/>
      <c r="R12" s="736"/>
      <c r="S12" s="736"/>
      <c r="T12" s="736"/>
      <c r="U12" s="736"/>
      <c r="V12" s="736"/>
      <c r="W12" s="635"/>
      <c r="X12" s="635"/>
      <c r="Y12" s="632"/>
      <c r="Z12" s="632"/>
      <c r="AA12" s="632"/>
      <c r="AB12" s="635"/>
      <c r="AC12" s="635"/>
      <c r="AD12" s="636"/>
      <c r="AE12" s="632"/>
      <c r="AF12" s="632"/>
      <c r="AG12" s="635"/>
      <c r="AH12" s="635"/>
      <c r="AI12" s="636"/>
      <c r="AJ12" s="632"/>
      <c r="AK12" s="632"/>
      <c r="AL12" s="635"/>
      <c r="AM12" s="635"/>
      <c r="AN12" s="636"/>
      <c r="AO12" s="632"/>
      <c r="AP12" s="632"/>
      <c r="AR12" s="2">
        <f>IF(Einstellungen!$G$7,$I12,ROUND($I12,Einstellungen!$H$7))</f>
        <v>0</v>
      </c>
    </row>
    <row r="13" spans="1:44" s="2" customFormat="1" ht="12.75" thickTop="1" x14ac:dyDescent="0.2">
      <c r="B13" s="736">
        <f ca="1">$F$13*($F$13-1)</f>
        <v>12</v>
      </c>
      <c r="C13" s="736"/>
      <c r="D13" s="736"/>
      <c r="E13" s="736"/>
      <c r="F13" s="736">
        <f ca="1">9-COUNTBLANK($F$4:$F$12)</f>
        <v>4</v>
      </c>
      <c r="G13" s="736"/>
      <c r="H13" s="736"/>
      <c r="I13" s="736"/>
      <c r="J13" s="736"/>
      <c r="K13" s="27">
        <f ca="1">QUOTIENT(SUM(K4:K12),2)</f>
        <v>6</v>
      </c>
      <c r="L13" s="1"/>
      <c r="M13" s="1"/>
      <c r="N13" s="1"/>
      <c r="O13" s="1"/>
      <c r="P13" s="1"/>
      <c r="Q13" s="1"/>
      <c r="R13" s="1"/>
      <c r="S13" s="1"/>
      <c r="T13" s="1"/>
      <c r="U13" s="1"/>
      <c r="V13" s="1"/>
      <c r="Y13" s="1"/>
      <c r="Z13" s="1"/>
    </row>
    <row r="14" spans="1:44" s="2" customFormat="1" x14ac:dyDescent="0.2">
      <c r="B14" s="736"/>
      <c r="C14" s="4"/>
      <c r="D14" s="736"/>
      <c r="E14" s="4"/>
      <c r="F14" s="736"/>
      <c r="O14" s="1"/>
      <c r="P14" s="1"/>
      <c r="Q14" s="1"/>
      <c r="R14" s="1"/>
      <c r="S14" s="1"/>
      <c r="T14" s="1"/>
      <c r="U14" s="1"/>
      <c r="V14" s="1"/>
      <c r="W14" s="1"/>
      <c r="Y14" s="1"/>
      <c r="Z14" s="1"/>
    </row>
    <row r="15" spans="1:44" s="2" customFormat="1" x14ac:dyDescent="0.2">
      <c r="O15" s="12"/>
      <c r="AD15" s="997" t="s">
        <v>179</v>
      </c>
      <c r="AE15" s="998"/>
      <c r="AF15" s="998"/>
      <c r="AG15" s="998"/>
      <c r="AH15" s="999"/>
      <c r="AI15" s="2" t="b">
        <v>0</v>
      </c>
      <c r="AK15" s="251"/>
    </row>
    <row r="16" spans="1:44" s="2" customFormat="1" ht="15.75" thickBot="1" x14ac:dyDescent="0.25">
      <c r="B16" s="13" t="s">
        <v>5</v>
      </c>
      <c r="C16" s="720" t="s">
        <v>97</v>
      </c>
      <c r="D16" s="720" t="s">
        <v>102</v>
      </c>
      <c r="E16" s="720" t="s">
        <v>103</v>
      </c>
      <c r="F16" s="720" t="s">
        <v>104</v>
      </c>
      <c r="G16" s="720" t="s">
        <v>105</v>
      </c>
      <c r="H16" s="720" t="s">
        <v>106</v>
      </c>
      <c r="I16" s="720" t="s">
        <v>107</v>
      </c>
      <c r="J16" s="720" t="s">
        <v>108</v>
      </c>
      <c r="K16" s="720"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VFB Essenheim</v>
      </c>
      <c r="D17" s="1">
        <f t="shared" ref="D17:G20" ca="1" si="4">K4</f>
        <v>3</v>
      </c>
      <c r="E17" s="1">
        <f t="shared" ca="1" si="4"/>
        <v>3</v>
      </c>
      <c r="F17" s="1">
        <f t="shared" ca="1" si="4"/>
        <v>0</v>
      </c>
      <c r="G17" s="1">
        <f t="shared" ca="1" si="4"/>
        <v>0</v>
      </c>
      <c r="H17" s="1">
        <f t="shared" ref="H17:K20" ca="1" si="5">G4</f>
        <v>146</v>
      </c>
      <c r="I17" s="1">
        <f t="shared" ca="1" si="5"/>
        <v>106</v>
      </c>
      <c r="J17" s="13">
        <f t="shared" ca="1" si="5"/>
        <v>40</v>
      </c>
      <c r="K17" s="1">
        <f t="shared" ca="1" si="5"/>
        <v>6</v>
      </c>
      <c r="L17" s="29">
        <f ca="1">K17*CalcE!$F$64+(J17+CalcE!$H$65)*CalcE!$F$65</f>
        <v>6540000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'Endrunde 4'!$AI40</f>
        <v>0</v>
      </c>
      <c r="Z17" s="1">
        <f ca="1">RANK($W17,$W$17:$W$25)+(9-$Y17)/10</f>
        <v>1.9</v>
      </c>
      <c r="AA17" s="1">
        <f ca="1">SUM(E30:BP30)</f>
        <v>0</v>
      </c>
      <c r="AB17" s="1">
        <f ca="1">SUM(E41:BP41)</f>
        <v>0</v>
      </c>
      <c r="AC17" s="1"/>
      <c r="AD17" s="257">
        <f ca="1">RANK($K17,$K$17:$K$25)</f>
        <v>1</v>
      </c>
      <c r="AE17" s="29">
        <f ca="1">(J17+CalcE!$H$65)*CalcE!$F$65</f>
        <v>540000</v>
      </c>
      <c r="AF17" s="1">
        <f ca="1">RANK($AE17,$AE$17:$AE$25)</f>
        <v>1</v>
      </c>
      <c r="AG17" s="1">
        <f ca="1">RANK($W17,$W$17:$W$25)</f>
        <v>1</v>
      </c>
      <c r="AH17" s="259">
        <f ca="1">AD17+AG17/100+AF17/10000+(10-Y17)/1000000</f>
        <v>1.0101100000000001</v>
      </c>
      <c r="AI17" s="1"/>
    </row>
    <row r="18" spans="2:80" s="2" customFormat="1" x14ac:dyDescent="0.2">
      <c r="C18" s="2" t="str">
        <f ca="1">$C63</f>
        <v>SSV Wildbach</v>
      </c>
      <c r="D18" s="1">
        <f t="shared" ca="1" si="4"/>
        <v>3</v>
      </c>
      <c r="E18" s="1">
        <f t="shared" ca="1" si="4"/>
        <v>1</v>
      </c>
      <c r="F18" s="1">
        <f t="shared" ca="1" si="4"/>
        <v>1</v>
      </c>
      <c r="G18" s="1">
        <f t="shared" ca="1" si="4"/>
        <v>1</v>
      </c>
      <c r="H18" s="1">
        <f t="shared" ca="1" si="5"/>
        <v>138</v>
      </c>
      <c r="I18" s="1">
        <f t="shared" ca="1" si="5"/>
        <v>133</v>
      </c>
      <c r="J18" s="13">
        <f t="shared" ca="1" si="5"/>
        <v>5</v>
      </c>
      <c r="K18" s="1">
        <f t="shared" ca="1" si="5"/>
        <v>3</v>
      </c>
      <c r="L18" s="29">
        <f ca="1">K18*CalcE!$F$64+(J18+CalcE!$H$65)*CalcE!$F$65</f>
        <v>3505000</v>
      </c>
      <c r="M18" s="14">
        <f t="shared" ref="M18:M25" ca="1" si="14">IF($AI$15,COUNTIF($K$17:$K$25,K18),COUNTIF($L$17:$L$25,L18))</f>
        <v>1</v>
      </c>
      <c r="N18" s="14">
        <f t="array" aca="1" ref="N18" ca="1">IF($AI$15,SUM(($K$17:$K$25&gt;=K18)/COUNTIF($K$17:$K$25,$K$17:$K$25)),SUM(($L$17:$L$25&gt;=L18)/COUNTIF($L$17:$L$25,$L$17:$L$25)))</f>
        <v>2</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2.0108999999999999</v>
      </c>
      <c r="Y18" s="13">
        <f ca="1">'Endrunde 4'!$AI41</f>
        <v>0</v>
      </c>
      <c r="Z18" s="1">
        <f t="shared" ref="Z18:Z25" ca="1" si="16">RANK($W18,$W$17:$W$25)+(9-$Y18)/10</f>
        <v>1.9</v>
      </c>
      <c r="AA18" s="1">
        <f t="shared" ref="AA18:AA20" ca="1" si="17">SUM(E31:BP31)</f>
        <v>0</v>
      </c>
      <c r="AB18" s="1">
        <f t="shared" ref="AB18:AB20" ca="1" si="18">SUM(E42:BP42)</f>
        <v>0</v>
      </c>
      <c r="AC18" s="1"/>
      <c r="AD18" s="257">
        <f t="shared" ref="AD18:AD25" ca="1" si="19">RANK($K18,$K$17:$K$25)</f>
        <v>2</v>
      </c>
      <c r="AE18" s="29">
        <f ca="1">(J18+CalcE!$H$65)*CalcE!$F$65</f>
        <v>505000</v>
      </c>
      <c r="AF18" s="1">
        <f t="shared" ref="AF18:AF25" ca="1" si="20">RANK($AE18,$AE$17:$AE$25)</f>
        <v>2</v>
      </c>
      <c r="AG18" s="1">
        <f t="shared" ref="AG18:AG25" ca="1" si="21">RANK($W18,$W$17:$W$25)</f>
        <v>1</v>
      </c>
      <c r="AH18" s="260">
        <f t="shared" ref="AH18:AH25" ca="1" si="22">AD18+AG18/100+AF18/10000+(10-Y18)/1000000</f>
        <v>2.0102099999999998</v>
      </c>
      <c r="AI18" s="1"/>
    </row>
    <row r="19" spans="2:80" s="2" customFormat="1" x14ac:dyDescent="0.2">
      <c r="C19" s="2" t="str">
        <f ca="1">$C64</f>
        <v>FSV Rauen</v>
      </c>
      <c r="D19" s="1">
        <f t="shared" ca="1" si="4"/>
        <v>3</v>
      </c>
      <c r="E19" s="1">
        <f t="shared" ca="1" si="4"/>
        <v>0</v>
      </c>
      <c r="F19" s="1">
        <f t="shared" ca="1" si="4"/>
        <v>1</v>
      </c>
      <c r="G19" s="1">
        <f t="shared" ca="1" si="4"/>
        <v>2</v>
      </c>
      <c r="H19" s="1">
        <f t="shared" ca="1" si="5"/>
        <v>117</v>
      </c>
      <c r="I19" s="1">
        <f t="shared" ca="1" si="5"/>
        <v>142</v>
      </c>
      <c r="J19" s="13">
        <f t="shared" ca="1" si="5"/>
        <v>-25</v>
      </c>
      <c r="K19" s="1">
        <f t="shared" ca="1" si="5"/>
        <v>1</v>
      </c>
      <c r="L19" s="29">
        <f ca="1">K19*CalcE!$F$64+(J19+CalcE!$H$65)*CalcE!$F$65</f>
        <v>1475000</v>
      </c>
      <c r="M19" s="14">
        <f t="shared" ca="1" si="14"/>
        <v>1</v>
      </c>
      <c r="N19" s="14">
        <f t="array" aca="1" ref="N19" ca="1">IF($AI$15,SUM(($K$17:$K$25&gt;=K19)/COUNTIF($K$17:$K$25,$K$17:$K$25)),SUM(($L$17:$L$25&gt;=L19)/COUNTIF($L$17:$L$25,$L$17:$L$25)))</f>
        <v>4</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4.0108999999999995</v>
      </c>
      <c r="Y19" s="13">
        <f ca="1">'Endrunde 4'!$AI42</f>
        <v>0</v>
      </c>
      <c r="Z19" s="1">
        <f t="shared" ca="1" si="16"/>
        <v>1.9</v>
      </c>
      <c r="AA19" s="1">
        <f t="shared" ca="1" si="17"/>
        <v>0</v>
      </c>
      <c r="AB19" s="1">
        <f t="shared" ca="1" si="18"/>
        <v>0</v>
      </c>
      <c r="AC19" s="1"/>
      <c r="AD19" s="257">
        <f t="shared" ca="1" si="19"/>
        <v>4</v>
      </c>
      <c r="AE19" s="29">
        <f ca="1">(J19+CalcE!$H$65)*CalcE!$F$65</f>
        <v>475000</v>
      </c>
      <c r="AF19" s="1">
        <f t="shared" ca="1" si="20"/>
        <v>4</v>
      </c>
      <c r="AG19" s="1">
        <f t="shared" ca="1" si="21"/>
        <v>1</v>
      </c>
      <c r="AH19" s="260">
        <f t="shared" ca="1" si="22"/>
        <v>4.0104099999999994</v>
      </c>
      <c r="AI19" s="1"/>
    </row>
    <row r="20" spans="2:80" s="2" customFormat="1" x14ac:dyDescent="0.2">
      <c r="C20" s="2" t="str">
        <f ca="1">$C65</f>
        <v>Paris St. Germain</v>
      </c>
      <c r="D20" s="1">
        <f t="shared" ca="1" si="4"/>
        <v>3</v>
      </c>
      <c r="E20" s="1">
        <f t="shared" ca="1" si="4"/>
        <v>0</v>
      </c>
      <c r="F20" s="1">
        <f t="shared" ca="1" si="4"/>
        <v>2</v>
      </c>
      <c r="G20" s="1">
        <f t="shared" ca="1" si="4"/>
        <v>1</v>
      </c>
      <c r="H20" s="1">
        <f t="shared" ca="1" si="5"/>
        <v>118</v>
      </c>
      <c r="I20" s="1">
        <f t="shared" ca="1" si="5"/>
        <v>138</v>
      </c>
      <c r="J20" s="13">
        <f t="shared" ca="1" si="5"/>
        <v>-20</v>
      </c>
      <c r="K20" s="1">
        <f t="shared" ca="1" si="5"/>
        <v>2</v>
      </c>
      <c r="L20" s="29">
        <f ca="1">K20*CalcE!$F$64+(J20+CalcE!$H$65)*CalcE!$F$65</f>
        <v>2480000</v>
      </c>
      <c r="M20" s="14">
        <f t="shared" ca="1" si="14"/>
        <v>1</v>
      </c>
      <c r="N20" s="14">
        <f t="array" aca="1" ref="N20" ca="1">IF($AI$15,SUM(($K$17:$K$25&gt;=K20)/COUNTIF($K$17:$K$25,$K$17:$K$25)),SUM(($L$17:$L$25&gt;=L20)/COUNTIF($L$17:$L$25,$L$17:$L$25)))</f>
        <v>3</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3.0108999999999999</v>
      </c>
      <c r="Y20" s="13">
        <f ca="1">'Endrunde 4'!$AI43</f>
        <v>0</v>
      </c>
      <c r="Z20" s="1">
        <f t="shared" ca="1" si="16"/>
        <v>1.9</v>
      </c>
      <c r="AA20" s="1">
        <f t="shared" ca="1" si="17"/>
        <v>0</v>
      </c>
      <c r="AB20" s="1">
        <f t="shared" ca="1" si="18"/>
        <v>0</v>
      </c>
      <c r="AC20" s="1"/>
      <c r="AD20" s="257">
        <f t="shared" ca="1" si="19"/>
        <v>3</v>
      </c>
      <c r="AE20" s="29">
        <f ca="1">(J20+CalcE!$H$65)*CalcE!$F$65</f>
        <v>480000</v>
      </c>
      <c r="AF20" s="1">
        <f t="shared" ca="1" si="20"/>
        <v>3</v>
      </c>
      <c r="AG20" s="1">
        <f t="shared" ca="1" si="21"/>
        <v>1</v>
      </c>
      <c r="AH20" s="260">
        <f t="shared" ca="1" si="22"/>
        <v>3.01031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3">
        <v>1</v>
      </c>
      <c r="F29" s="990"/>
      <c r="G29" s="990"/>
      <c r="H29" s="990"/>
      <c r="I29" s="990"/>
      <c r="J29" s="990"/>
      <c r="K29" s="990"/>
      <c r="L29" s="992"/>
      <c r="M29" s="989">
        <v>2</v>
      </c>
      <c r="N29" s="990"/>
      <c r="O29" s="990"/>
      <c r="P29" s="990"/>
      <c r="Q29" s="990"/>
      <c r="R29" s="990"/>
      <c r="S29" s="990"/>
      <c r="T29" s="992"/>
      <c r="U29" s="989">
        <v>3</v>
      </c>
      <c r="V29" s="990"/>
      <c r="W29" s="990"/>
      <c r="X29" s="990"/>
      <c r="Y29" s="990"/>
      <c r="Z29" s="990"/>
      <c r="AA29" s="990"/>
      <c r="AB29" s="992"/>
      <c r="AC29" s="989">
        <v>4</v>
      </c>
      <c r="AD29" s="990"/>
      <c r="AE29" s="990"/>
      <c r="AF29" s="990"/>
      <c r="AG29" s="990"/>
      <c r="AH29" s="990"/>
      <c r="AI29" s="990"/>
      <c r="AJ29" s="992"/>
      <c r="AK29" s="989">
        <v>5</v>
      </c>
      <c r="AL29" s="990"/>
      <c r="AM29" s="990"/>
      <c r="AN29" s="990"/>
      <c r="AO29" s="990"/>
      <c r="AP29" s="990"/>
      <c r="AQ29" s="990"/>
      <c r="AR29" s="992"/>
      <c r="AS29" s="989">
        <v>6</v>
      </c>
      <c r="AT29" s="990"/>
      <c r="AU29" s="990"/>
      <c r="AV29" s="990"/>
      <c r="AW29" s="990"/>
      <c r="AX29" s="990"/>
      <c r="AY29" s="990"/>
      <c r="AZ29" s="992"/>
      <c r="BA29" s="989">
        <v>7</v>
      </c>
      <c r="BB29" s="990"/>
      <c r="BC29" s="990"/>
      <c r="BD29" s="990"/>
      <c r="BE29" s="990"/>
      <c r="BF29" s="990"/>
      <c r="BG29" s="990"/>
      <c r="BH29" s="992"/>
      <c r="BI29" s="989">
        <v>8</v>
      </c>
      <c r="BJ29" s="990"/>
      <c r="BK29" s="990"/>
      <c r="BL29" s="990"/>
      <c r="BM29" s="990"/>
      <c r="BN29" s="990"/>
      <c r="BO29" s="990"/>
      <c r="BP29" s="991"/>
      <c r="BQ29" s="13"/>
      <c r="BR29" s="5" t="s">
        <v>94</v>
      </c>
      <c r="BS29" s="2" t="str">
        <f ca="1">$F$4</f>
        <v>VFB Essenheim</v>
      </c>
      <c r="BT29" s="2" t="str">
        <f ca="1">$F$5</f>
        <v>SSV Wildbach</v>
      </c>
      <c r="BU29" s="2" t="str">
        <f ca="1">$F$6</f>
        <v>FSV Rauen</v>
      </c>
      <c r="BV29" s="2" t="str">
        <f ca="1">$F$7</f>
        <v>Paris St. Germain</v>
      </c>
      <c r="BW29" s="2" t="str">
        <f>$F$8</f>
        <v/>
      </c>
      <c r="BX29" s="2" t="str">
        <f>$F$9</f>
        <v/>
      </c>
      <c r="BY29" s="2" t="str">
        <f>$F$10</f>
        <v/>
      </c>
      <c r="BZ29" s="2" t="str">
        <f>$F$11</f>
        <v/>
      </c>
      <c r="CA29" s="2" t="str">
        <f>$F$12</f>
        <v/>
      </c>
      <c r="CB29" s="51"/>
    </row>
    <row r="30" spans="2:80" s="2" customFormat="1" x14ac:dyDescent="0.2">
      <c r="C30" s="2" t="str">
        <f ca="1">$C62</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VFB Essenheim</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46</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SSV Wildbach</v>
      </c>
      <c r="BS31" s="9">
        <f ca="1">SUMIFS(CalcE!$X$64:$X$99,CalcE!$V$64:$V$99,$BR31,CalcE!$W$64:$W$99,BS$29)+SUMIFS(CalcE!$Y$64:$Y$99,CalcE!$W$64:$W$99,$BR31,CalcE!$V$64:$V$99,BS$29)+SUMIFS(CalcE!$AG$64:$AG$99,CalcE!$V$64:$V$99,$BR31,CalcE!$W$64:$W$99,BS$29)+SUMIFS(CalcE!$AH$64:$AH$99,CalcE!$W$64:$W$99,$BR31,CalcE!$V$64:$V$99,BS$29)</f>
        <v>41</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47</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FSV Rauen</v>
      </c>
      <c r="BS32" s="9">
        <f ca="1">SUMIFS(CalcE!$X$64:$X$99,CalcE!$V$64:$V$99,$BR32,CalcE!$W$64:$W$99,BS$29)+SUMIFS(CalcE!$Y$64:$Y$99,CalcE!$W$64:$W$99,$BR32,CalcE!$V$64:$V$99,BS$29)+SUMIFS(CalcE!$AG$64:$AG$99,CalcE!$V$64:$V$99,$BR32,CalcE!$W$64:$W$99,BS$29)+SUMIFS(CalcE!$AH$64:$AH$99,CalcE!$W$64:$W$99,$BR32,CalcE!$V$64:$V$99,BS$29)</f>
        <v>31</v>
      </c>
      <c r="BT32" s="9">
        <f ca="1">SUMIFS(CalcE!$X$64:$X$99,CalcE!$V$64:$V$99,$BR32,CalcE!$W$64:$W$99,BT$29)+SUMIFS(CalcE!$Y$64:$Y$99,CalcE!$W$64:$W$99,$BR32,CalcE!$V$64:$V$99,BT$29)+SUMIFS(CalcE!$AG$64:$AG$99,CalcE!$V$64:$V$99,$BR32,CalcE!$W$64:$W$99,BT$29)+SUMIFS(CalcE!$AH$64:$AH$99,CalcE!$W$64:$W$99,$BR32,CalcE!$V$64:$V$99,BT$29)</f>
        <v>41</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Paris St. Germain</v>
      </c>
      <c r="BS33" s="9">
        <f ca="1">SUMIFS(CalcE!$X$64:$X$99,CalcE!$V$64:$V$99,$BR33,CalcE!$W$64:$W$99,BS$29)+SUMIFS(CalcE!$Y$64:$Y$99,CalcE!$W$64:$W$99,$BR33,CalcE!$V$64:$V$99,BS$29)+SUMIFS(CalcE!$AG$64:$AG$99,CalcE!$V$64:$V$99,$BR33,CalcE!$W$64:$W$99,BS$29)+SUMIFS(CalcE!$AH$64:$AH$99,CalcE!$W$64:$W$99,$BR33,CalcE!$V$64:$V$99,BS$29)</f>
        <v>34</v>
      </c>
      <c r="BT33" s="9">
        <f ca="1">SUMIFS(CalcE!$X$64:$X$99,CalcE!$V$64:$V$99,$BR33,CalcE!$W$64:$W$99,BT$29)+SUMIFS(CalcE!$Y$64:$Y$99,CalcE!$W$64:$W$99,$BR33,CalcE!$V$64:$V$99,BT$29)+SUMIFS(CalcE!$AG$64:$AG$99,CalcE!$V$64:$V$99,$BR33,CalcE!$W$64:$W$99,BT$29)+SUMIFS(CalcE!$AH$64:$AH$99,CalcE!$W$64:$W$99,$BR33,CalcE!$V$64:$V$99,BT$29)</f>
        <v>42</v>
      </c>
      <c r="BU33" s="9">
        <f ca="1">SUMIFS(CalcE!$X$64:$X$99,CalcE!$V$64:$V$99,$BR33,CalcE!$W$64:$W$99,BU$29)+SUMIFS(CalcE!$Y$64:$Y$99,CalcE!$W$64:$W$99,$BR33,CalcE!$V$64:$V$99,BU$29)+SUMIFS(CalcE!$AG$64:$AG$99,CalcE!$V$64:$V$99,$BR33,CalcE!$W$64:$W$99,BU$29)+SUMIFS(CalcE!$AH$64:$AH$99,CalcE!$W$64:$W$99,$BR33,CalcE!$V$64:$V$99,BU$29)</f>
        <v>42</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VFB Essenheim</v>
      </c>
      <c r="BT40" s="2" t="str">
        <f ca="1">$F$5</f>
        <v>SSV Wildbach</v>
      </c>
      <c r="BU40" s="2" t="str">
        <f ca="1">$F$6</f>
        <v>FSV Rauen</v>
      </c>
      <c r="BV40" s="2" t="str">
        <f ca="1">$F$7</f>
        <v>Paris St. Germain</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VFB Essenheim</v>
      </c>
      <c r="BS41" s="7"/>
      <c r="BT41" s="8">
        <f ca="1">BT30-BS31</f>
        <v>9</v>
      </c>
      <c r="BU41" s="8">
        <f ca="1">BU30-BS32</f>
        <v>19</v>
      </c>
      <c r="BV41" s="8">
        <f ca="1">BV30-BS33</f>
        <v>12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SSV Wildbach</v>
      </c>
      <c r="BS42" s="9">
        <f ca="1">IF(BT41="","",-1*BT41)</f>
        <v>-9</v>
      </c>
      <c r="BT42" s="7"/>
      <c r="BU42" s="8">
        <f ca="1">BU31-BT32</f>
        <v>9</v>
      </c>
      <c r="BV42" s="8">
        <f ca="1">BV31-BT33</f>
        <v>5</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FSV Rauen</v>
      </c>
      <c r="BS43" s="9">
        <f ca="1">IF(BU41="","",-1*BU41)</f>
        <v>-19</v>
      </c>
      <c r="BT43" s="9">
        <f ca="1">IF(BU42="","",-1*BU42)</f>
        <v>-9</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Paris St. Germain</v>
      </c>
      <c r="BS44" s="9">
        <f ca="1">IF(BV41="","",-1*BV41)</f>
        <v>-12</v>
      </c>
      <c r="BT44" s="9">
        <f ca="1">IF(BV42="","",-1*BV42)</f>
        <v>-5</v>
      </c>
      <c r="BU44" s="9">
        <f ca="1">IF(BV43="","",-1*BV43)</f>
        <v>-3</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SSV Wildbach</v>
      </c>
      <c r="BU51" s="2" t="str">
        <f ca="1">$F$6</f>
        <v>FSV Rauen</v>
      </c>
      <c r="BV51" s="2" t="str">
        <f ca="1">$F$7</f>
        <v>Paris St. Germain</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VFB Essenheim</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2</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SSV Wildbach</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FSV Rauen</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Paris St. Germain</v>
      </c>
      <c r="BS55" s="9">
        <f ca="1">SUMIFS(CalcE!$AE$64:$AE$99,CalcE!$V$64:$V$99,$BR55,CalcE!$W$64:$W$99,BS$51)+SUMIFS(CalcE!$AF$64:$AF$99,CalcE!$W$64:$W$99,$BR55,CalcE!$V$64:$V$99,BS$51)</f>
        <v>0</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3" t="str">
        <f ca="1">IF('Endrunde 4'!$AG40="","",'Endrunde 4'!$AG40)</f>
        <v>VFB Essenheim</v>
      </c>
      <c r="D62" s="1004"/>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5" t="str">
        <f ca="1">IF('Endrunde 4'!$AG41="","",'Endrunde 4'!$AG41)</f>
        <v>SSV Wildbach</v>
      </c>
      <c r="D63" s="1006"/>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5" t="str">
        <f ca="1">IF('Endrunde 4'!$AG42="","",'Endrunde 4'!$AG42)</f>
        <v>FSV Rauen</v>
      </c>
      <c r="D64" s="1006"/>
      <c r="F64" s="312"/>
      <c r="G64" s="85"/>
      <c r="H64" s="4"/>
      <c r="I64" s="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1007" t="str">
        <f ca="1">IF('Endrunde 4'!$AG43="","",'Endrunde 4'!$AG43)</f>
        <v>Paris St. Germain</v>
      </c>
      <c r="D65" s="1008"/>
      <c r="P65" s="4"/>
      <c r="Q65" s="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21"/>
      <c r="Q66" s="722"/>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21"/>
      <c r="Q67" s="722"/>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C62:D62"/>
    <mergeCell ref="C63:D63"/>
    <mergeCell ref="C64:D64"/>
    <mergeCell ref="C65:D65"/>
    <mergeCell ref="AS29:AZ29"/>
    <mergeCell ref="E29:L29"/>
    <mergeCell ref="M29:T29"/>
    <mergeCell ref="BA29:BH29"/>
    <mergeCell ref="BI29:BP29"/>
    <mergeCell ref="W3:AA3"/>
    <mergeCell ref="AB3:AF3"/>
    <mergeCell ref="AG3:AK3"/>
    <mergeCell ref="AL3:AP3"/>
    <mergeCell ref="AD15:AH15"/>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36"/>
      <c r="C2" s="736"/>
      <c r="D2" s="736"/>
      <c r="E2" s="736"/>
      <c r="F2" s="1"/>
      <c r="G2" s="1"/>
      <c r="H2" s="1"/>
      <c r="I2" s="1"/>
      <c r="J2" s="1" t="s">
        <v>376</v>
      </c>
      <c r="K2" s="1"/>
      <c r="L2" s="1"/>
      <c r="M2" s="1"/>
      <c r="N2" s="736"/>
      <c r="O2" s="1"/>
      <c r="P2" s="1"/>
      <c r="Q2" s="1"/>
    </row>
    <row r="3" spans="1:44" s="2" customFormat="1" ht="13.5" customHeight="1" thickBot="1" x14ac:dyDescent="0.25">
      <c r="B3" s="1"/>
      <c r="C3" s="736"/>
      <c r="D3" s="736"/>
      <c r="E3" s="736"/>
      <c r="F3" s="736"/>
      <c r="G3" s="69" t="s">
        <v>106</v>
      </c>
      <c r="H3" s="69" t="s">
        <v>107</v>
      </c>
      <c r="I3" s="734" t="s">
        <v>108</v>
      </c>
      <c r="J3" s="27" t="s">
        <v>109</v>
      </c>
      <c r="K3" s="734" t="s">
        <v>102</v>
      </c>
      <c r="L3" s="27" t="s">
        <v>103</v>
      </c>
      <c r="M3" s="27" t="s">
        <v>104</v>
      </c>
      <c r="N3" s="27" t="s">
        <v>105</v>
      </c>
      <c r="O3" s="736"/>
      <c r="P3" s="736"/>
      <c r="Q3" s="736"/>
      <c r="R3" s="736"/>
      <c r="S3" s="736"/>
      <c r="T3" s="736"/>
      <c r="U3" s="736"/>
      <c r="V3" s="736"/>
      <c r="W3" s="1009"/>
      <c r="X3" s="1010"/>
      <c r="Y3" s="1010"/>
      <c r="Z3" s="1010"/>
      <c r="AA3" s="1010"/>
      <c r="AB3" s="1009"/>
      <c r="AC3" s="1010"/>
      <c r="AD3" s="1010"/>
      <c r="AE3" s="1010"/>
      <c r="AF3" s="1010"/>
      <c r="AG3" s="1009"/>
      <c r="AH3" s="1010"/>
      <c r="AI3" s="1010"/>
      <c r="AJ3" s="1010"/>
      <c r="AK3" s="1010"/>
      <c r="AL3" s="1009"/>
      <c r="AM3" s="1010"/>
      <c r="AN3" s="1010"/>
      <c r="AO3" s="1010"/>
      <c r="AP3" s="1010"/>
    </row>
    <row r="4" spans="1:44" s="2" customFormat="1" ht="12.75" thickTop="1" x14ac:dyDescent="0.2">
      <c r="A4" s="251"/>
      <c r="B4" s="1">
        <v>1</v>
      </c>
      <c r="C4" s="21">
        <f ca="1">RANK(D4,$D$4:$D$12,1)</f>
        <v>1</v>
      </c>
      <c r="D4" s="736">
        <f ca="1">E4+ROW()/1000+(F4="")*10</f>
        <v>1.004</v>
      </c>
      <c r="E4" s="263">
        <f ca="1">IF($AI$15,RANK(AH17,AH$17:AH$25,1),RANK(X17,X$17:X$25,1))</f>
        <v>1</v>
      </c>
      <c r="F4" s="1" t="str">
        <f ca="1">$C62</f>
        <v>Eintracht Frankfurt</v>
      </c>
      <c r="G4" s="1">
        <f ca="1">SUMIFS(CalcE!$X$64:$X$99,CalcE!$V$64:$V$99,$F4)+SUMIFS(CalcE!$Y$64:$Y$99,CalcE!$W$64:$W$99,$F4)+SUMIFS(CalcE!$AG$64:$AG$99,CalcE!$V$64:$V$99,$F4)+SUMIFS(CalcE!$AH$64:$AH$99,CalcE!$W$64:$W$99,$F4)</f>
        <v>145</v>
      </c>
      <c r="H4" s="1">
        <f ca="1">SUMIFS(CalcE!$Y$64:$Y$99,CalcE!$V$64:$V$99,$F4)+SUMIFS(CalcE!$X$64:$X$99,CalcE!$W$64:$W$99,$F4)+SUMIFS(CalcE!$AH$64:$AH$99,CalcE!$V$64:$V$99,$F4)+SUMIFS(CalcE!$AG$64:$AG$99,CalcE!$W$64:$W$99,$F4)</f>
        <v>128</v>
      </c>
      <c r="I4" s="736">
        <f ca="1">IF(Einstellungen!$G$7,G4-H4,IF(H4=0,IF(G4=0,0,Einstellungen!$F$7),G4/H4))</f>
        <v>17</v>
      </c>
      <c r="J4" s="1">
        <f ca="1">SUMPRODUCT((CalcE!$V$64:$V$135=F4)*CalcE!$AE$64:$AE$135*CalcE!$AA$64:$AA$135)+SUMPRODUCT((CalcE!$W$64:$W$135=F4)*CalcE!$AF$64:$AF$135*CalcE!$AA$64:$AA$135)</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35"/>
      <c r="P4" s="735"/>
      <c r="Q4" s="735"/>
      <c r="R4" s="735"/>
      <c r="S4" s="4"/>
      <c r="T4" s="4"/>
      <c r="U4" s="4"/>
      <c r="V4" s="736"/>
      <c r="W4" s="635"/>
      <c r="X4" s="635"/>
      <c r="Y4" s="632"/>
      <c r="Z4" s="632"/>
      <c r="AA4" s="632"/>
      <c r="AB4" s="635"/>
      <c r="AC4" s="635"/>
      <c r="AD4" s="636"/>
      <c r="AE4" s="632"/>
      <c r="AF4" s="632"/>
      <c r="AG4" s="635"/>
      <c r="AH4" s="635"/>
      <c r="AI4" s="636"/>
      <c r="AJ4" s="632"/>
      <c r="AK4" s="632"/>
      <c r="AL4" s="635"/>
      <c r="AM4" s="635"/>
      <c r="AN4" s="636"/>
      <c r="AO4" s="632"/>
      <c r="AP4" s="632"/>
      <c r="AR4" s="2">
        <f ca="1">IF(Einstellungen!$G$7,$I4,ROUND($I4,Einstellungen!$H$7))</f>
        <v>17</v>
      </c>
    </row>
    <row r="5" spans="1:44" s="2" customFormat="1" x14ac:dyDescent="0.2">
      <c r="A5" s="251"/>
      <c r="B5" s="1">
        <v>2</v>
      </c>
      <c r="C5" s="22">
        <f t="shared" ref="C5:C12" ca="1" si="0">RANK(D5,$D$4:$D$12,1)</f>
        <v>4</v>
      </c>
      <c r="D5" s="736">
        <f t="shared" ref="D5:D12" ca="1" si="1">E5+ROW()/1000+(F5="")*10</f>
        <v>4.0049999999999999</v>
      </c>
      <c r="E5" s="263">
        <f t="shared" ref="E5:E12" ca="1" si="2">IF($AI$15,RANK(AH18,AH$17:AH$25,1),RANK(X18,X$17:X$25,1))</f>
        <v>4</v>
      </c>
      <c r="F5" s="1" t="str">
        <f ca="1">$C63</f>
        <v>FC Grönlingen</v>
      </c>
      <c r="G5" s="1">
        <f ca="1">SUMIFS(CalcE!$X$64:$X$99,CalcE!$V$64:$V$99,$F5)+SUMIFS(CalcE!$Y$64:$Y$99,CalcE!$W$64:$W$99,$F5)+SUMIFS(CalcE!$AG$64:$AG$99,CalcE!$V$64:$V$99,$F5)+SUMIFS(CalcE!$AH$64:$AH$99,CalcE!$W$64:$W$99,$F5)</f>
        <v>124</v>
      </c>
      <c r="H5" s="1">
        <f ca="1">SUMIFS(CalcE!$Y$64:$Y$99,CalcE!$V$64:$V$99,$F5)+SUMIFS(CalcE!$X$64:$X$99,CalcE!$W$64:$W$99,$F5)+SUMIFS(CalcE!$AH$64:$AH$99,CalcE!$V$64:$V$99,$F5)+SUMIFS(CalcE!$AG$64:$AG$99,CalcE!$W$64:$W$99,$F5)</f>
        <v>138</v>
      </c>
      <c r="I5" s="736">
        <f ca="1">IF(Einstellungen!$G$7,G5-H5,IF(H5=0,IF(G5=0,0,Einstellungen!$F$7),G5/H5))</f>
        <v>-14</v>
      </c>
      <c r="J5" s="1">
        <f ca="1">SUMPRODUCT((CalcE!$V$64:$V$135=F5)*CalcE!$AE$64:$AE$135*CalcE!$AA$64:$AA$135)+SUMPRODUCT((CalcE!$W$64:$W$135=F5)*CalcE!$AF$64:$AF$135*CalcE!$AA$64:$AA$135)</f>
        <v>2</v>
      </c>
      <c r="K5" s="1">
        <f ca="1">SUMPRODUCT((CalcE!$V$64:$V$99=F5)*CalcE!$AA$64:$AA$99)+SUMPRODUCT((CalcE!$W$64:$W$99=F5)*CalcE!$AA$64:$AA$99)</f>
        <v>3</v>
      </c>
      <c r="L5" s="1">
        <f t="shared" ref="L5:L7" ca="1" si="3">K5-M5-N5</f>
        <v>0</v>
      </c>
      <c r="M5" s="1">
        <f ca="1">SUMPRODUCT((CalcE!$V$64:$W$99=F5)*(CalcE!$AE$64:$AE$99=CalcE!$AF$64:$AF$99)*CalcE!$AA$64:$AA$99)</f>
        <v>2</v>
      </c>
      <c r="N5" s="1">
        <f ca="1">SUMPRODUCT((CalcE!$V$64:$V$99=F5)*(CalcE!$AE$64:$AE$99&lt;CalcE!$AF$64:$AF$99)*CalcE!$AA$64:$AA$99)+SUMPRODUCT((CalcE!$W$64:$W$99=F5)*(CalcE!$AE$64:$AE$99&gt;CalcE!$AF$64:$AF$99)*CalcE!$AA$64:$AA$99)</f>
        <v>1</v>
      </c>
      <c r="O5" s="725"/>
      <c r="P5" s="726"/>
      <c r="Q5" s="4"/>
      <c r="R5" s="4"/>
      <c r="S5" s="4"/>
      <c r="T5" s="4"/>
      <c r="U5" s="4"/>
      <c r="V5" s="736"/>
      <c r="W5" s="635"/>
      <c r="X5" s="635"/>
      <c r="Y5" s="632"/>
      <c r="Z5" s="632"/>
      <c r="AA5" s="632"/>
      <c r="AB5" s="635"/>
      <c r="AC5" s="635"/>
      <c r="AD5" s="636"/>
      <c r="AE5" s="632"/>
      <c r="AF5" s="632"/>
      <c r="AG5" s="635"/>
      <c r="AH5" s="635"/>
      <c r="AI5" s="636"/>
      <c r="AJ5" s="632"/>
      <c r="AK5" s="632"/>
      <c r="AL5" s="635"/>
      <c r="AM5" s="635"/>
      <c r="AN5" s="636"/>
      <c r="AO5" s="632"/>
      <c r="AP5" s="632"/>
      <c r="AR5" s="2">
        <f ca="1">IF(Einstellungen!$G$7,$I5,ROUND($I5,Einstellungen!$H$7))</f>
        <v>-14</v>
      </c>
    </row>
    <row r="6" spans="1:44" s="2" customFormat="1" x14ac:dyDescent="0.2">
      <c r="A6" s="251"/>
      <c r="B6" s="1">
        <v>3</v>
      </c>
      <c r="C6" s="22">
        <f t="shared" ca="1" si="0"/>
        <v>3</v>
      </c>
      <c r="D6" s="736">
        <f t="shared" ca="1" si="1"/>
        <v>3.0059999999999998</v>
      </c>
      <c r="E6" s="263">
        <f t="shared" ca="1" si="2"/>
        <v>3</v>
      </c>
      <c r="F6" s="1" t="str">
        <f ca="1">$C64</f>
        <v>Borussia Dortmund</v>
      </c>
      <c r="G6" s="1">
        <f ca="1">SUMIFS(CalcE!$X$64:$X$99,CalcE!$V$64:$V$99,$F6)+SUMIFS(CalcE!$Y$64:$Y$99,CalcE!$W$64:$W$99,$F6)+SUMIFS(CalcE!$AG$64:$AG$99,CalcE!$V$64:$V$99,$F6)+SUMIFS(CalcE!$AH$64:$AH$99,CalcE!$W$64:$W$99,$F6)</f>
        <v>128</v>
      </c>
      <c r="H6" s="1">
        <f ca="1">SUMIFS(CalcE!$Y$64:$Y$99,CalcE!$V$64:$V$99,$F6)+SUMIFS(CalcE!$X$64:$X$99,CalcE!$W$64:$W$99,$F6)+SUMIFS(CalcE!$AH$64:$AH$99,CalcE!$V$64:$V$99,$F6)+SUMIFS(CalcE!$AG$64:$AG$99,CalcE!$W$64:$W$99,$F6)</f>
        <v>137</v>
      </c>
      <c r="I6" s="736">
        <f ca="1">IF(Einstellungen!$G$7,G6-H6,IF(H6=0,IF(G6=0,0,Einstellungen!$F$7),G6/H6))</f>
        <v>-9</v>
      </c>
      <c r="J6" s="1">
        <f ca="1">SUMPRODUCT((CalcE!$V$64:$V$135=F6)*CalcE!$AE$64:$AE$135*CalcE!$AA$64:$AA$135)+SUMPRODUCT((CalcE!$W$64:$W$135=F6)*CalcE!$AF$64:$AF$135*CalcE!$AA$64:$AA$135)</f>
        <v>2</v>
      </c>
      <c r="K6" s="1">
        <f ca="1">SUMPRODUCT((CalcE!$V$64:$V$99=F6)*CalcE!$AA$64:$AA$99)+SUMPRODUCT((CalcE!$W$64:$W$99=F6)*CalcE!$AA$64:$AA$99)</f>
        <v>3</v>
      </c>
      <c r="L6" s="1">
        <f t="shared" ca="1" si="3"/>
        <v>0</v>
      </c>
      <c r="M6" s="1">
        <f ca="1">SUMPRODUCT((CalcE!$V$64:$W$99=F6)*(CalcE!$AE$64:$AE$99=CalcE!$AF$64:$AF$99)*CalcE!$AA$64:$AA$99)</f>
        <v>2</v>
      </c>
      <c r="N6" s="1">
        <f ca="1">SUMPRODUCT((CalcE!$V$64:$V$99=F6)*(CalcE!$AE$64:$AE$99&lt;CalcE!$AF$64:$AF$99)*CalcE!$AA$64:$AA$99)+SUMPRODUCT((CalcE!$W$64:$W$99=F6)*(CalcE!$AE$64:$AE$99&gt;CalcE!$AF$64:$AF$99)*CalcE!$AA$64:$AA$99)</f>
        <v>1</v>
      </c>
      <c r="O6" s="725"/>
      <c r="P6" s="726"/>
      <c r="Q6" s="4"/>
      <c r="R6" s="4"/>
      <c r="S6" s="4"/>
      <c r="T6" s="4"/>
      <c r="U6" s="4"/>
      <c r="V6" s="736"/>
      <c r="W6" s="635"/>
      <c r="X6" s="635"/>
      <c r="Y6" s="632"/>
      <c r="Z6" s="632"/>
      <c r="AA6" s="632"/>
      <c r="AB6" s="635"/>
      <c r="AC6" s="635"/>
      <c r="AD6" s="636"/>
      <c r="AE6" s="632"/>
      <c r="AF6" s="632"/>
      <c r="AG6" s="635"/>
      <c r="AH6" s="635"/>
      <c r="AI6" s="636"/>
      <c r="AJ6" s="632"/>
      <c r="AK6" s="632"/>
      <c r="AL6" s="635"/>
      <c r="AM6" s="635"/>
      <c r="AN6" s="636"/>
      <c r="AO6" s="632"/>
      <c r="AP6" s="632"/>
      <c r="AR6" s="2">
        <f ca="1">IF(Einstellungen!$G$7,$I6,ROUND($I6,Einstellungen!$H$7))</f>
        <v>-9</v>
      </c>
    </row>
    <row r="7" spans="1:44" s="2" customFormat="1" x14ac:dyDescent="0.2">
      <c r="A7" s="251"/>
      <c r="B7" s="1">
        <v>4</v>
      </c>
      <c r="C7" s="22">
        <f t="shared" ca="1" si="0"/>
        <v>2</v>
      </c>
      <c r="D7" s="736">
        <f t="shared" ca="1" si="1"/>
        <v>2.0070000000000001</v>
      </c>
      <c r="E7" s="263">
        <f t="shared" ca="1" si="2"/>
        <v>2</v>
      </c>
      <c r="F7" s="1" t="str">
        <f ca="1">$C65</f>
        <v>SV Oberredenburg</v>
      </c>
      <c r="G7" s="1">
        <f ca="1">SUMIFS(CalcE!$X$64:$X$99,CalcE!$V$64:$V$99,$F7)+SUMIFS(CalcE!$Y$64:$Y$99,CalcE!$W$64:$W$99,$F7)+SUMIFS(CalcE!$AG$64:$AG$99,CalcE!$V$64:$V$99,$F7)+SUMIFS(CalcE!$AH$64:$AH$99,CalcE!$W$64:$W$99,$F7)</f>
        <v>136</v>
      </c>
      <c r="H7" s="1">
        <f ca="1">SUMIFS(CalcE!$Y$64:$Y$99,CalcE!$V$64:$V$99,$F7)+SUMIFS(CalcE!$X$64:$X$99,CalcE!$W$64:$W$99,$F7)+SUMIFS(CalcE!$AH$64:$AH$99,CalcE!$V$64:$V$99,$F7)+SUMIFS(CalcE!$AG$64:$AG$99,CalcE!$W$64:$W$99,$F7)</f>
        <v>130</v>
      </c>
      <c r="I7" s="736">
        <f ca="1">IF(Einstellungen!$G$7,G7-H7,IF(H7=0,IF(G7=0,0,Einstellungen!$F$7),G7/H7))</f>
        <v>6</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25"/>
      <c r="P7" s="726"/>
      <c r="Q7" s="4"/>
      <c r="R7" s="4"/>
      <c r="S7" s="4"/>
      <c r="T7" s="4"/>
      <c r="U7" s="4"/>
      <c r="V7" s="736"/>
      <c r="W7" s="635"/>
      <c r="X7" s="635"/>
      <c r="Y7" s="632"/>
      <c r="Z7" s="632"/>
      <c r="AA7" s="632"/>
      <c r="AB7" s="635"/>
      <c r="AC7" s="635"/>
      <c r="AD7" s="636"/>
      <c r="AE7" s="632"/>
      <c r="AF7" s="632"/>
      <c r="AG7" s="635"/>
      <c r="AH7" s="635"/>
      <c r="AI7" s="636"/>
      <c r="AJ7" s="632"/>
      <c r="AK7" s="632"/>
      <c r="AL7" s="635"/>
      <c r="AM7" s="635"/>
      <c r="AN7" s="636"/>
      <c r="AO7" s="632"/>
      <c r="AP7" s="632"/>
      <c r="AR7" s="2">
        <f ca="1">IF(Einstellungen!$G$7,$I7,ROUND($I7,Einstellungen!$H$7))</f>
        <v>6</v>
      </c>
    </row>
    <row r="8" spans="1:44" s="2" customFormat="1" x14ac:dyDescent="0.2">
      <c r="A8" s="251"/>
      <c r="B8" s="1">
        <v>5</v>
      </c>
      <c r="C8" s="22">
        <f t="shared" ca="1" si="0"/>
        <v>5</v>
      </c>
      <c r="D8" s="736">
        <f t="shared" ca="1" si="1"/>
        <v>15.007999999999999</v>
      </c>
      <c r="E8" s="263">
        <f t="shared" ca="1" si="2"/>
        <v>5</v>
      </c>
      <c r="F8" s="1" t="str">
        <f>""</f>
        <v/>
      </c>
      <c r="G8" s="1">
        <v>0</v>
      </c>
      <c r="H8" s="1">
        <v>0</v>
      </c>
      <c r="I8" s="736">
        <f>IF(Einstellungen!$G$7,G8-H8,IF(H8=0,IF(G8=0,0,Einstellungen!$F$7),G8/H8))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IF(Einstellungen!$G$7,$I8,ROUND($I8,Einstellungen!$H$7))</f>
        <v>0</v>
      </c>
    </row>
    <row r="9" spans="1:44" s="2" customFormat="1" x14ac:dyDescent="0.2">
      <c r="A9" s="251"/>
      <c r="B9" s="1">
        <v>6</v>
      </c>
      <c r="C9" s="22">
        <f t="shared" ca="1" si="0"/>
        <v>6</v>
      </c>
      <c r="D9" s="736">
        <f t="shared" ca="1" si="1"/>
        <v>15.009</v>
      </c>
      <c r="E9" s="263">
        <f t="shared" ca="1" si="2"/>
        <v>5</v>
      </c>
      <c r="F9" s="1" t="str">
        <f>""</f>
        <v/>
      </c>
      <c r="G9" s="1">
        <v>0</v>
      </c>
      <c r="H9" s="1">
        <v>0</v>
      </c>
      <c r="I9" s="736">
        <f>IF(Einstellungen!$G$7,G9-H9,IF(H9=0,IF(G9=0,0,Einstellungen!$F$7),G9/H9))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IF(Einstellungen!$G$7,$I9,ROUND($I9,Einstellungen!$H$7))</f>
        <v>0</v>
      </c>
    </row>
    <row r="10" spans="1:44" s="2" customFormat="1" x14ac:dyDescent="0.2">
      <c r="A10" s="251"/>
      <c r="B10" s="1">
        <v>7</v>
      </c>
      <c r="C10" s="22">
        <f t="shared" ca="1" si="0"/>
        <v>7</v>
      </c>
      <c r="D10" s="736">
        <f t="shared" ca="1" si="1"/>
        <v>15.01</v>
      </c>
      <c r="E10" s="263">
        <f t="shared" ca="1" si="2"/>
        <v>5</v>
      </c>
      <c r="F10" s="1" t="str">
        <f>""</f>
        <v/>
      </c>
      <c r="G10" s="1">
        <v>0</v>
      </c>
      <c r="H10" s="1">
        <v>0</v>
      </c>
      <c r="I10" s="736">
        <f>IF(Einstellungen!$G$7,G10-H10,IF(H10=0,IF(G10=0,0,Einstellungen!$F$7),G10/H10))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IF(Einstellungen!$G$7,$I10,ROUND($I10,Einstellungen!$H$7))</f>
        <v>0</v>
      </c>
    </row>
    <row r="11" spans="1:44" s="2" customFormat="1" x14ac:dyDescent="0.2">
      <c r="A11" s="251"/>
      <c r="B11" s="1">
        <v>8</v>
      </c>
      <c r="C11" s="22">
        <f t="shared" ca="1" si="0"/>
        <v>8</v>
      </c>
      <c r="D11" s="736">
        <f t="shared" ca="1" si="1"/>
        <v>15.010999999999999</v>
      </c>
      <c r="E11" s="263">
        <f t="shared" ca="1" si="2"/>
        <v>5</v>
      </c>
      <c r="F11" s="1" t="str">
        <f>""</f>
        <v/>
      </c>
      <c r="G11" s="1">
        <v>0</v>
      </c>
      <c r="H11" s="1">
        <v>0</v>
      </c>
      <c r="I11" s="736">
        <f>IF(Einstellungen!$G$7,G11-H11,IF(H11=0,IF(G11=0,0,Einstellungen!$F$7),G11/H11))</f>
        <v>0</v>
      </c>
      <c r="J11" s="1">
        <f ca="1">SUMPRODUCT((CalcE!$V$64:$V$135=F11)*CalcE!$AE$64:$AE$135*CalcE!$AA$64:$AA$135)+SUMPRODUCT((CalcE!$W$64:$W$135=F11)*CalcE!$AF$64:$AF$135*CalcE!$AA$64:$AA$135)</f>
        <v>0</v>
      </c>
      <c r="K11" s="1">
        <v>0</v>
      </c>
      <c r="L11" s="1">
        <v>0</v>
      </c>
      <c r="M11" s="1">
        <v>0</v>
      </c>
      <c r="N11" s="1">
        <v>0</v>
      </c>
      <c r="O11" s="736"/>
      <c r="P11" s="736"/>
      <c r="Q11" s="736"/>
      <c r="R11" s="736"/>
      <c r="S11" s="736"/>
      <c r="T11" s="736"/>
      <c r="U11" s="736"/>
      <c r="V11" s="736"/>
      <c r="W11" s="635"/>
      <c r="X11" s="635"/>
      <c r="Y11" s="632"/>
      <c r="Z11" s="632"/>
      <c r="AA11" s="632"/>
      <c r="AB11" s="635"/>
      <c r="AC11" s="635"/>
      <c r="AD11" s="636"/>
      <c r="AE11" s="632"/>
      <c r="AF11" s="632"/>
      <c r="AG11" s="635"/>
      <c r="AH11" s="635"/>
      <c r="AI11" s="636"/>
      <c r="AJ11" s="632"/>
      <c r="AK11" s="632"/>
      <c r="AL11" s="635"/>
      <c r="AM11" s="635"/>
      <c r="AN11" s="636"/>
      <c r="AO11" s="632"/>
      <c r="AP11" s="632"/>
      <c r="AR11" s="2">
        <f>IF(Einstellungen!$G$7,$I11,ROUND($I11,Einstellungen!$H$7))</f>
        <v>0</v>
      </c>
    </row>
    <row r="12" spans="1:44" s="2" customFormat="1" ht="12.75" thickBot="1" x14ac:dyDescent="0.25">
      <c r="A12" s="251"/>
      <c r="B12" s="1">
        <v>9</v>
      </c>
      <c r="C12" s="23">
        <f t="shared" ca="1" si="0"/>
        <v>9</v>
      </c>
      <c r="D12" s="736">
        <f t="shared" ca="1" si="1"/>
        <v>15.012</v>
      </c>
      <c r="E12" s="263">
        <f t="shared" ca="1" si="2"/>
        <v>5</v>
      </c>
      <c r="F12" s="1" t="str">
        <f>""</f>
        <v/>
      </c>
      <c r="G12" s="1">
        <v>0</v>
      </c>
      <c r="H12" s="1">
        <v>0</v>
      </c>
      <c r="I12" s="736">
        <f>IF(Einstellungen!$G$7,G12-H12,IF(H12=0,IF(G12=0,0,Einstellungen!$F$7),G12/H12))</f>
        <v>0</v>
      </c>
      <c r="J12" s="1">
        <f ca="1">SUMPRODUCT((CalcE!$V$64:$V$135=F12)*CalcE!$AE$64:$AE$135*CalcE!$AA$64:$AA$135)+SUMPRODUCT((CalcE!$W$64:$W$135=F12)*CalcE!$AF$64:$AF$135*CalcE!$AA$64:$AA$135)</f>
        <v>0</v>
      </c>
      <c r="K12" s="28">
        <v>0</v>
      </c>
      <c r="L12" s="1">
        <v>0</v>
      </c>
      <c r="M12" s="1">
        <v>0</v>
      </c>
      <c r="N12" s="1">
        <v>0</v>
      </c>
      <c r="O12" s="736"/>
      <c r="P12" s="736"/>
      <c r="Q12" s="736"/>
      <c r="R12" s="736"/>
      <c r="S12" s="736"/>
      <c r="T12" s="736"/>
      <c r="U12" s="736"/>
      <c r="V12" s="736"/>
      <c r="W12" s="635"/>
      <c r="X12" s="635"/>
      <c r="Y12" s="632"/>
      <c r="Z12" s="632"/>
      <c r="AA12" s="632"/>
      <c r="AB12" s="635"/>
      <c r="AC12" s="635"/>
      <c r="AD12" s="636"/>
      <c r="AE12" s="632"/>
      <c r="AF12" s="632"/>
      <c r="AG12" s="635"/>
      <c r="AH12" s="635"/>
      <c r="AI12" s="636"/>
      <c r="AJ12" s="632"/>
      <c r="AK12" s="632"/>
      <c r="AL12" s="635"/>
      <c r="AM12" s="635"/>
      <c r="AN12" s="636"/>
      <c r="AO12" s="632"/>
      <c r="AP12" s="632"/>
      <c r="AR12" s="2">
        <f>IF(Einstellungen!$G$7,$I12,ROUND($I12,Einstellungen!$H$7))</f>
        <v>0</v>
      </c>
    </row>
    <row r="13" spans="1:44" s="2" customFormat="1" ht="12.75" thickTop="1" x14ac:dyDescent="0.2">
      <c r="B13" s="736">
        <f ca="1">$F$13*($F$13-1)</f>
        <v>12</v>
      </c>
      <c r="C13" s="736"/>
      <c r="D13" s="736"/>
      <c r="E13" s="736"/>
      <c r="F13" s="736">
        <f ca="1">9-COUNTBLANK($F$4:$F$12)</f>
        <v>4</v>
      </c>
      <c r="G13" s="736"/>
      <c r="H13" s="736"/>
      <c r="I13" s="736"/>
      <c r="J13" s="736"/>
      <c r="K13" s="27">
        <f ca="1">QUOTIENT(SUM(K4:K12),2)</f>
        <v>6</v>
      </c>
      <c r="L13" s="1"/>
      <c r="M13" s="1"/>
      <c r="N13" s="1"/>
      <c r="O13" s="1"/>
      <c r="P13" s="1"/>
      <c r="Q13" s="1"/>
      <c r="R13" s="1"/>
      <c r="S13" s="1"/>
      <c r="T13" s="1"/>
      <c r="U13" s="1"/>
      <c r="V13" s="1"/>
      <c r="Y13" s="1"/>
      <c r="Z13" s="1"/>
    </row>
    <row r="14" spans="1:44" s="2" customFormat="1" x14ac:dyDescent="0.2">
      <c r="B14" s="736"/>
      <c r="C14" s="4"/>
      <c r="D14" s="736"/>
      <c r="E14" s="4"/>
      <c r="F14" s="736"/>
      <c r="O14" s="1"/>
      <c r="P14" s="1"/>
      <c r="Q14" s="1"/>
      <c r="R14" s="1"/>
      <c r="S14" s="1"/>
      <c r="T14" s="1"/>
      <c r="U14" s="1"/>
      <c r="V14" s="1"/>
      <c r="W14" s="1"/>
      <c r="Y14" s="1"/>
      <c r="Z14" s="1"/>
    </row>
    <row r="15" spans="1:44" s="2" customFormat="1" x14ac:dyDescent="0.2">
      <c r="O15" s="12"/>
      <c r="AD15" s="997" t="s">
        <v>179</v>
      </c>
      <c r="AE15" s="998"/>
      <c r="AF15" s="998"/>
      <c r="AG15" s="998"/>
      <c r="AH15" s="999"/>
      <c r="AI15" s="2" t="b">
        <v>0</v>
      </c>
      <c r="AK15" s="251"/>
    </row>
    <row r="16" spans="1:44" s="2" customFormat="1" ht="15.75" thickBot="1" x14ac:dyDescent="0.25">
      <c r="B16" s="13" t="s">
        <v>5</v>
      </c>
      <c r="C16" s="720" t="s">
        <v>97</v>
      </c>
      <c r="D16" s="720" t="s">
        <v>102</v>
      </c>
      <c r="E16" s="720" t="s">
        <v>103</v>
      </c>
      <c r="F16" s="720" t="s">
        <v>104</v>
      </c>
      <c r="G16" s="720" t="s">
        <v>105</v>
      </c>
      <c r="H16" s="720" t="s">
        <v>106</v>
      </c>
      <c r="I16" s="720" t="s">
        <v>107</v>
      </c>
      <c r="J16" s="720" t="s">
        <v>108</v>
      </c>
      <c r="K16" s="720"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Eintracht Frankfurt</v>
      </c>
      <c r="D17" s="1">
        <f t="shared" ref="D17:G20" ca="1" si="4">K4</f>
        <v>3</v>
      </c>
      <c r="E17" s="1">
        <f t="shared" ca="1" si="4"/>
        <v>2</v>
      </c>
      <c r="F17" s="1">
        <f t="shared" ca="1" si="4"/>
        <v>1</v>
      </c>
      <c r="G17" s="1">
        <f t="shared" ca="1" si="4"/>
        <v>0</v>
      </c>
      <c r="H17" s="1">
        <f t="shared" ref="H17:K20" ca="1" si="5">G4</f>
        <v>145</v>
      </c>
      <c r="I17" s="1">
        <f t="shared" ca="1" si="5"/>
        <v>128</v>
      </c>
      <c r="J17" s="13">
        <f t="shared" ca="1" si="5"/>
        <v>17</v>
      </c>
      <c r="K17" s="1">
        <f t="shared" ca="1" si="5"/>
        <v>5</v>
      </c>
      <c r="L17" s="29">
        <f ca="1">K17*CalcE!$F$64+(J17+CalcE!$H$65)*CalcE!$F$65</f>
        <v>5517000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'Endrunde 4'!$AI33</f>
        <v>0</v>
      </c>
      <c r="Z17" s="1">
        <f ca="1">RANK($W17,$W$17:$W$25)+(9-$Y17)/10</f>
        <v>1.9</v>
      </c>
      <c r="AA17" s="1">
        <f ca="1">SUM(E30:BP30)</f>
        <v>0</v>
      </c>
      <c r="AB17" s="1">
        <f ca="1">SUM(E41:BP41)</f>
        <v>0</v>
      </c>
      <c r="AC17" s="1"/>
      <c r="AD17" s="257">
        <f ca="1">RANK($K17,$K$17:$K$25)</f>
        <v>1</v>
      </c>
      <c r="AE17" s="29">
        <f ca="1">(J17+CalcE!$H$65)*CalcE!$F$65</f>
        <v>517000</v>
      </c>
      <c r="AF17" s="1">
        <f ca="1">RANK($AE17,$AE$17:$AE$25)</f>
        <v>1</v>
      </c>
      <c r="AG17" s="1">
        <f ca="1">RANK($W17,$W$17:$W$25)</f>
        <v>1</v>
      </c>
      <c r="AH17" s="259">
        <f ca="1">AD17+AG17/100+AF17/10000+(10-Y17)/1000000</f>
        <v>1.0101100000000001</v>
      </c>
      <c r="AI17" s="1"/>
    </row>
    <row r="18" spans="2:80" s="2" customFormat="1" x14ac:dyDescent="0.2">
      <c r="C18" s="2" t="str">
        <f ca="1">$C63</f>
        <v>FC Grönlingen</v>
      </c>
      <c r="D18" s="1">
        <f t="shared" ca="1" si="4"/>
        <v>3</v>
      </c>
      <c r="E18" s="1">
        <f t="shared" ca="1" si="4"/>
        <v>0</v>
      </c>
      <c r="F18" s="1">
        <f t="shared" ca="1" si="4"/>
        <v>2</v>
      </c>
      <c r="G18" s="1">
        <f t="shared" ca="1" si="4"/>
        <v>1</v>
      </c>
      <c r="H18" s="1">
        <f t="shared" ca="1" si="5"/>
        <v>124</v>
      </c>
      <c r="I18" s="1">
        <f t="shared" ca="1" si="5"/>
        <v>138</v>
      </c>
      <c r="J18" s="13">
        <f t="shared" ca="1" si="5"/>
        <v>-14</v>
      </c>
      <c r="K18" s="1">
        <f t="shared" ca="1" si="5"/>
        <v>2</v>
      </c>
      <c r="L18" s="29">
        <f ca="1">K18*CalcE!$F$64+(J18+CalcE!$H$65)*CalcE!$F$65</f>
        <v>2486000</v>
      </c>
      <c r="M18" s="14">
        <f t="shared" ref="M18:M25" ca="1" si="14">IF($AI$15,COUNTIF($K$17:$K$25,K18),COUNTIF($L$17:$L$25,L18))</f>
        <v>1</v>
      </c>
      <c r="N18" s="14">
        <f t="array" aca="1" ref="N18" ca="1">IF($AI$15,SUM(($K$17:$K$25&gt;=K18)/COUNTIF($K$17:$K$25,$K$17:$K$25)),SUM(($L$17:$L$25&gt;=L18)/COUNTIF($L$17:$L$25,$L$17:$L$25)))</f>
        <v>4</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4.0108999999999995</v>
      </c>
      <c r="Y18" s="13">
        <f ca="1">'Endrunde 4'!$AI34</f>
        <v>0</v>
      </c>
      <c r="Z18" s="1">
        <f t="shared" ref="Z18:Z25" ca="1" si="16">RANK($W18,$W$17:$W$25)+(9-$Y18)/10</f>
        <v>1.9</v>
      </c>
      <c r="AA18" s="1">
        <f t="shared" ref="AA18:AA20" ca="1" si="17">SUM(E31:BP31)</f>
        <v>0</v>
      </c>
      <c r="AB18" s="1">
        <f t="shared" ref="AB18:AB20" ca="1" si="18">SUM(E42:BP42)</f>
        <v>0</v>
      </c>
      <c r="AC18" s="1"/>
      <c r="AD18" s="257">
        <f t="shared" ref="AD18:AD25" ca="1" si="19">RANK($K18,$K$17:$K$25)</f>
        <v>3</v>
      </c>
      <c r="AE18" s="29">
        <f ca="1">(J18+CalcE!$H$65)*CalcE!$F$65</f>
        <v>486000</v>
      </c>
      <c r="AF18" s="1">
        <f t="shared" ref="AF18:AF25" ca="1" si="20">RANK($AE18,$AE$17:$AE$25)</f>
        <v>4</v>
      </c>
      <c r="AG18" s="1">
        <f t="shared" ref="AG18:AG25" ca="1" si="21">RANK($W18,$W$17:$W$25)</f>
        <v>1</v>
      </c>
      <c r="AH18" s="260">
        <f t="shared" ref="AH18:AH25" ca="1" si="22">AD18+AG18/100+AF18/10000+(10-Y18)/1000000</f>
        <v>3.0104099999999998</v>
      </c>
      <c r="AI18" s="1"/>
    </row>
    <row r="19" spans="2:80" s="2" customFormat="1" x14ac:dyDescent="0.2">
      <c r="C19" s="2" t="str">
        <f ca="1">$C64</f>
        <v>Borussia Dortmund</v>
      </c>
      <c r="D19" s="1">
        <f t="shared" ca="1" si="4"/>
        <v>3</v>
      </c>
      <c r="E19" s="1">
        <f t="shared" ca="1" si="4"/>
        <v>0</v>
      </c>
      <c r="F19" s="1">
        <f t="shared" ca="1" si="4"/>
        <v>2</v>
      </c>
      <c r="G19" s="1">
        <f t="shared" ca="1" si="4"/>
        <v>1</v>
      </c>
      <c r="H19" s="1">
        <f t="shared" ca="1" si="5"/>
        <v>128</v>
      </c>
      <c r="I19" s="1">
        <f t="shared" ca="1" si="5"/>
        <v>137</v>
      </c>
      <c r="J19" s="13">
        <f t="shared" ca="1" si="5"/>
        <v>-9</v>
      </c>
      <c r="K19" s="1">
        <f t="shared" ca="1" si="5"/>
        <v>2</v>
      </c>
      <c r="L19" s="29">
        <f ca="1">K19*CalcE!$F$64+(J19+CalcE!$H$65)*CalcE!$F$65</f>
        <v>2491000</v>
      </c>
      <c r="M19" s="14">
        <f t="shared" ca="1" si="14"/>
        <v>1</v>
      </c>
      <c r="N19" s="14">
        <f t="array" aca="1" ref="N19" ca="1">IF($AI$15,SUM(($K$17:$K$25&gt;=K19)/COUNTIF($K$17:$K$25,$K$17:$K$25)),SUM(($L$17:$L$25&gt;=L19)/COUNTIF($L$17:$L$25,$L$17:$L$25)))</f>
        <v>3</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3.0108999999999999</v>
      </c>
      <c r="Y19" s="13">
        <f ca="1">'Endrunde 4'!$AI35</f>
        <v>0</v>
      </c>
      <c r="Z19" s="1">
        <f t="shared" ca="1" si="16"/>
        <v>1.9</v>
      </c>
      <c r="AA19" s="1">
        <f t="shared" ca="1" si="17"/>
        <v>0</v>
      </c>
      <c r="AB19" s="1">
        <f t="shared" ca="1" si="18"/>
        <v>0</v>
      </c>
      <c r="AC19" s="1"/>
      <c r="AD19" s="257">
        <f t="shared" ca="1" si="19"/>
        <v>3</v>
      </c>
      <c r="AE19" s="29">
        <f ca="1">(J19+CalcE!$H$65)*CalcE!$F$65</f>
        <v>491000</v>
      </c>
      <c r="AF19" s="1">
        <f t="shared" ca="1" si="20"/>
        <v>3</v>
      </c>
      <c r="AG19" s="1">
        <f t="shared" ca="1" si="21"/>
        <v>1</v>
      </c>
      <c r="AH19" s="260">
        <f t="shared" ca="1" si="22"/>
        <v>3.01031</v>
      </c>
      <c r="AI19" s="1"/>
    </row>
    <row r="20" spans="2:80" s="2" customFormat="1" x14ac:dyDescent="0.2">
      <c r="C20" s="2" t="str">
        <f ca="1">$C65</f>
        <v>SV Oberredenburg</v>
      </c>
      <c r="D20" s="1">
        <f t="shared" ca="1" si="4"/>
        <v>3</v>
      </c>
      <c r="E20" s="1">
        <f t="shared" ca="1" si="4"/>
        <v>0</v>
      </c>
      <c r="F20" s="1">
        <f t="shared" ca="1" si="4"/>
        <v>3</v>
      </c>
      <c r="G20" s="1">
        <f t="shared" ca="1" si="4"/>
        <v>0</v>
      </c>
      <c r="H20" s="1">
        <f t="shared" ca="1" si="5"/>
        <v>136</v>
      </c>
      <c r="I20" s="1">
        <f t="shared" ca="1" si="5"/>
        <v>130</v>
      </c>
      <c r="J20" s="13">
        <f t="shared" ca="1" si="5"/>
        <v>6</v>
      </c>
      <c r="K20" s="1">
        <f t="shared" ca="1" si="5"/>
        <v>3</v>
      </c>
      <c r="L20" s="29">
        <f ca="1">K20*CalcE!$F$64+(J20+CalcE!$H$65)*CalcE!$F$65</f>
        <v>3506000</v>
      </c>
      <c r="M20" s="14">
        <f t="shared" ca="1" si="14"/>
        <v>1</v>
      </c>
      <c r="N20" s="14">
        <f t="array" aca="1" ref="N20" ca="1">IF($AI$15,SUM(($K$17:$K$25&gt;=K20)/COUNTIF($K$17:$K$25,$K$17:$K$25)),SUM(($L$17:$L$25&gt;=L20)/COUNTIF($L$17:$L$25,$L$17:$L$25)))</f>
        <v>2</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2.0108999999999999</v>
      </c>
      <c r="Y20" s="13">
        <f ca="1">'Endrunde 4'!$AI36</f>
        <v>0</v>
      </c>
      <c r="Z20" s="1">
        <f t="shared" ca="1" si="16"/>
        <v>1.9</v>
      </c>
      <c r="AA20" s="1">
        <f t="shared" ca="1" si="17"/>
        <v>0</v>
      </c>
      <c r="AB20" s="1">
        <f t="shared" ca="1" si="18"/>
        <v>0</v>
      </c>
      <c r="AC20" s="1"/>
      <c r="AD20" s="257">
        <f t="shared" ca="1" si="19"/>
        <v>2</v>
      </c>
      <c r="AE20" s="29">
        <f ca="1">(J20+CalcE!$H$65)*CalcE!$F$65</f>
        <v>506000</v>
      </c>
      <c r="AF20" s="1">
        <f t="shared" ca="1" si="20"/>
        <v>2</v>
      </c>
      <c r="AG20" s="1">
        <f t="shared" ca="1" si="21"/>
        <v>1</v>
      </c>
      <c r="AH20" s="260">
        <f t="shared" ca="1" si="22"/>
        <v>2.0102099999999998</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3">
        <v>1</v>
      </c>
      <c r="F29" s="990"/>
      <c r="G29" s="990"/>
      <c r="H29" s="990"/>
      <c r="I29" s="990"/>
      <c r="J29" s="990"/>
      <c r="K29" s="990"/>
      <c r="L29" s="992"/>
      <c r="M29" s="989">
        <v>2</v>
      </c>
      <c r="N29" s="990"/>
      <c r="O29" s="990"/>
      <c r="P29" s="990"/>
      <c r="Q29" s="990"/>
      <c r="R29" s="990"/>
      <c r="S29" s="990"/>
      <c r="T29" s="992"/>
      <c r="U29" s="989">
        <v>3</v>
      </c>
      <c r="V29" s="990"/>
      <c r="W29" s="990"/>
      <c r="X29" s="990"/>
      <c r="Y29" s="990"/>
      <c r="Z29" s="990"/>
      <c r="AA29" s="990"/>
      <c r="AB29" s="992"/>
      <c r="AC29" s="989">
        <v>4</v>
      </c>
      <c r="AD29" s="990"/>
      <c r="AE29" s="990"/>
      <c r="AF29" s="990"/>
      <c r="AG29" s="990"/>
      <c r="AH29" s="990"/>
      <c r="AI29" s="990"/>
      <c r="AJ29" s="992"/>
      <c r="AK29" s="989">
        <v>5</v>
      </c>
      <c r="AL29" s="990"/>
      <c r="AM29" s="990"/>
      <c r="AN29" s="990"/>
      <c r="AO29" s="990"/>
      <c r="AP29" s="990"/>
      <c r="AQ29" s="990"/>
      <c r="AR29" s="992"/>
      <c r="AS29" s="989">
        <v>6</v>
      </c>
      <c r="AT29" s="990"/>
      <c r="AU29" s="990"/>
      <c r="AV29" s="990"/>
      <c r="AW29" s="990"/>
      <c r="AX29" s="990"/>
      <c r="AY29" s="990"/>
      <c r="AZ29" s="992"/>
      <c r="BA29" s="989">
        <v>7</v>
      </c>
      <c r="BB29" s="990"/>
      <c r="BC29" s="990"/>
      <c r="BD29" s="990"/>
      <c r="BE29" s="990"/>
      <c r="BF29" s="990"/>
      <c r="BG29" s="990"/>
      <c r="BH29" s="992"/>
      <c r="BI29" s="989">
        <v>8</v>
      </c>
      <c r="BJ29" s="990"/>
      <c r="BK29" s="990"/>
      <c r="BL29" s="990"/>
      <c r="BM29" s="990"/>
      <c r="BN29" s="990"/>
      <c r="BO29" s="990"/>
      <c r="BP29" s="991"/>
      <c r="BQ29" s="13"/>
      <c r="BR29" s="5" t="s">
        <v>94</v>
      </c>
      <c r="BS29" s="2" t="str">
        <f ca="1">$F$4</f>
        <v>Eintracht Frankfurt</v>
      </c>
      <c r="BT29" s="2" t="str">
        <f ca="1">$F$5</f>
        <v>FC Grönlingen</v>
      </c>
      <c r="BU29" s="2" t="str">
        <f ca="1">$F$6</f>
        <v>Borussia Dortmund</v>
      </c>
      <c r="BV29" s="2" t="str">
        <f ca="1">$F$7</f>
        <v>SV Oberredenburg</v>
      </c>
      <c r="BW29" s="2" t="str">
        <f>$F$8</f>
        <v/>
      </c>
      <c r="BX29" s="2" t="str">
        <f>$F$9</f>
        <v/>
      </c>
      <c r="BY29" s="2" t="str">
        <f>$F$10</f>
        <v/>
      </c>
      <c r="BZ29" s="2" t="str">
        <f>$F$11</f>
        <v/>
      </c>
      <c r="CA29" s="2" t="str">
        <f>$F$12</f>
        <v/>
      </c>
      <c r="CB29" s="51"/>
    </row>
    <row r="30" spans="2:80" s="2" customFormat="1" x14ac:dyDescent="0.2">
      <c r="C30" s="2" t="str">
        <f ca="1">$C62</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Eintracht Frankfurt</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45</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FC Grönlingen</v>
      </c>
      <c r="BS31" s="9">
        <f ca="1">SUMIFS(CalcE!$X$64:$X$99,CalcE!$V$64:$V$99,$BR31,CalcE!$W$64:$W$99,BS$29)+SUMIFS(CalcE!$Y$64:$Y$99,CalcE!$W$64:$W$99,$BR31,CalcE!$V$64:$V$99,BS$29)+SUMIFS(CalcE!$AG$64:$AG$99,CalcE!$V$64:$V$99,$BR31,CalcE!$W$64:$W$99,BS$29)+SUMIFS(CalcE!$AH$64:$AH$99,CalcE!$W$64:$W$99,$BR31,CalcE!$V$64:$V$99,BS$29)</f>
        <v>39</v>
      </c>
      <c r="BT31" s="7"/>
      <c r="BU31" s="8">
        <f ca="1">SUMIFS(CalcE!$X$64:$X$99,CalcE!$V$64:$V$99,$BR31,CalcE!$W$64:$W$99,BU$29)+SUMIFS(CalcE!$Y$64:$Y$99,CalcE!$W$64:$W$99,$BR31,CalcE!$V$64:$V$99,BU$29)+SUMIFS(CalcE!$AG$64:$AG$99,CalcE!$V$64:$V$99,$BR31,CalcE!$W$64:$W$99,BU$29)+SUMIFS(CalcE!$AH$64:$AH$99,CalcE!$W$64:$W$99,$BR31,CalcE!$V$64:$V$99,BU$29)</f>
        <v>39</v>
      </c>
      <c r="BV31" s="8">
        <f ca="1">SUMIFS(CalcE!$X$64:$X$99,CalcE!$V$64:$V$99,$BR31,CalcE!$W$64:$W$99,BV$29)+SUMIFS(CalcE!$Y$64:$Y$99,CalcE!$W$64:$W$99,$BR31,CalcE!$V$64:$V$99,BV$29)+SUMIFS(CalcE!$AG$64:$AG$99,CalcE!$V$64:$V$99,$BR31,CalcE!$W$64:$W$99,BV$29)+SUMIFS(CalcE!$AH$64:$AH$99,CalcE!$W$64:$W$99,$BR31,CalcE!$V$64:$V$99,BV$29)</f>
        <v>46</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Borussia Dortmund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44</v>
      </c>
      <c r="BU32" s="7"/>
      <c r="BV32" s="8">
        <f ca="1">SUMIFS(CalcE!$X$64:$X$99,CalcE!$V$64:$V$99,$BR32,CalcE!$W$64:$W$99,BV$29)+SUMIFS(CalcE!$Y$64:$Y$99,CalcE!$W$64:$W$99,$BR32,CalcE!$V$64:$V$99,BV$29)+SUMIFS(CalcE!$AG$64:$AG$99,CalcE!$V$64:$V$99,$BR32,CalcE!$W$64:$W$99,BV$29)+SUMIFS(CalcE!$AH$64:$AH$99,CalcE!$W$64:$W$99,$BR32,CalcE!$V$64:$V$99,BV$29)</f>
        <v>39</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SV Oberredenburg</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44</v>
      </c>
      <c r="BU33" s="9">
        <f ca="1">SUMIFS(CalcE!$X$64:$X$99,CalcE!$V$64:$V$99,$BR33,CalcE!$W$64:$W$99,BU$29)+SUMIFS(CalcE!$Y$64:$Y$99,CalcE!$W$64:$W$99,$BR33,CalcE!$V$64:$V$99,BU$29)+SUMIFS(CalcE!$AG$64:$AG$99,CalcE!$V$64:$V$99,$BR33,CalcE!$W$64:$W$99,BU$29)+SUMIFS(CalcE!$AH$64:$AH$99,CalcE!$W$64:$W$99,$BR33,CalcE!$V$64:$V$99,BU$29)</f>
        <v>48</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Eintracht Frankfurt</v>
      </c>
      <c r="BT40" s="2" t="str">
        <f ca="1">$F$5</f>
        <v>FC Grönlingen</v>
      </c>
      <c r="BU40" s="2" t="str">
        <f ca="1">$F$6</f>
        <v>Borussia Dortmund</v>
      </c>
      <c r="BV40" s="2" t="str">
        <f ca="1">$F$7</f>
        <v>SV Oberredenburg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Eintracht Frankfurt</v>
      </c>
      <c r="BS41" s="7"/>
      <c r="BT41" s="8">
        <f ca="1">BT30-BS31</f>
        <v>11</v>
      </c>
      <c r="BU41" s="8">
        <f ca="1">BU30-BS32</f>
        <v>5</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FC Grönlingen</v>
      </c>
      <c r="BS42" s="9">
        <f ca="1">IF(BT41="","",-1*BT41)</f>
        <v>-11</v>
      </c>
      <c r="BT42" s="7"/>
      <c r="BU42" s="8">
        <f ca="1">BU31-BT32</f>
        <v>-5</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Borussia Dortmund</v>
      </c>
      <c r="BS43" s="9">
        <f ca="1">IF(BU41="","",-1*BU41)</f>
        <v>-5</v>
      </c>
      <c r="BT43" s="9">
        <f ca="1">IF(BU42="","",-1*BU42)</f>
        <v>5</v>
      </c>
      <c r="BU43" s="7"/>
      <c r="BV43" s="8">
        <f ca="1">BV32-BU33</f>
        <v>-9</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SV Oberredenburg</v>
      </c>
      <c r="BS44" s="9">
        <f ca="1">IF(BV41="","",-1*BV41)</f>
        <v>-1</v>
      </c>
      <c r="BT44" s="9">
        <f ca="1">IF(BV42="","",-1*BV42)</f>
        <v>-2</v>
      </c>
      <c r="BU44" s="9">
        <f ca="1">IF(BV43="","",-1*BV43)</f>
        <v>9</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Eintracht Frankfurt</v>
      </c>
      <c r="BT51" s="2" t="str">
        <f ca="1">$F$5</f>
        <v>FC Grönlingen</v>
      </c>
      <c r="BU51" s="2" t="str">
        <f ca="1">$F$6</f>
        <v>Borussia Dortmund</v>
      </c>
      <c r="BV51" s="2" t="str">
        <f ca="1">$F$7</f>
        <v>SV Oberredenburg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Eintracht Frankfurt</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FC Grönlingen</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Borussia Dortmund</v>
      </c>
      <c r="BS54" s="9">
        <f ca="1">SUMIFS(CalcE!$AE$64:$AE$99,CalcE!$V$64:$V$99,$BR54,CalcE!$W$64:$W$99,BS$51)+SUMIFS(CalcE!$AF$64:$AF$99,CalcE!$W$64:$W$99,$BR54,CalcE!$V$64:$V$99,BS$51)</f>
        <v>0</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SV Oberredenburg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3" t="str">
        <f ca="1">IF('Endrunde 4'!$AG33="","",'Endrunde 4'!$AG33)</f>
        <v>Eintracht Frankfurt</v>
      </c>
      <c r="D62" s="1004"/>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5" t="str">
        <f ca="1">IF('Endrunde 4'!$AG34="","",'Endrunde 4'!$AG34)</f>
        <v>FC Grönlingen</v>
      </c>
      <c r="D63" s="1006"/>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5" t="str">
        <f ca="1">IF('Endrunde 4'!$AG35="","",'Endrunde 4'!$AG35)</f>
        <v>Borussia Dortmund</v>
      </c>
      <c r="D64" s="1006"/>
      <c r="F64" s="312"/>
      <c r="G64" s="85"/>
      <c r="H64" s="4"/>
      <c r="I64" s="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1007" t="str">
        <f ca="1">IF('Endrunde 4'!$AG36="","",'Endrunde 4'!$AG36)</f>
        <v>SV Oberredenburg</v>
      </c>
      <c r="D65" s="1008"/>
      <c r="P65" s="4"/>
      <c r="Q65" s="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21"/>
      <c r="Q66" s="722"/>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21"/>
      <c r="Q67" s="722"/>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C62:D62"/>
    <mergeCell ref="C63:D63"/>
    <mergeCell ref="C64:D64"/>
    <mergeCell ref="C65:D65"/>
    <mergeCell ref="AS29:AZ29"/>
    <mergeCell ref="E29:L29"/>
    <mergeCell ref="M29:T29"/>
    <mergeCell ref="BA29:BH29"/>
    <mergeCell ref="BI29:BP29"/>
    <mergeCell ref="W3:AA3"/>
    <mergeCell ref="AB3:AF3"/>
    <mergeCell ref="AG3:AK3"/>
    <mergeCell ref="AL3:AP3"/>
    <mergeCell ref="AD15:AH15"/>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36"/>
      <c r="C2" s="736"/>
      <c r="D2" s="736"/>
      <c r="E2" s="736"/>
      <c r="F2" s="1"/>
      <c r="G2" s="1"/>
      <c r="H2" s="1"/>
      <c r="I2" s="1"/>
      <c r="J2" s="1" t="s">
        <v>376</v>
      </c>
      <c r="K2" s="1"/>
      <c r="L2" s="1"/>
      <c r="M2" s="1"/>
      <c r="N2" s="736"/>
      <c r="O2" s="1"/>
      <c r="P2" s="1"/>
      <c r="Q2" s="1"/>
    </row>
    <row r="3" spans="1:44" s="2" customFormat="1" ht="13.5" customHeight="1" thickBot="1" x14ac:dyDescent="0.25">
      <c r="B3" s="1"/>
      <c r="C3" s="736"/>
      <c r="D3" s="736"/>
      <c r="E3" s="736"/>
      <c r="F3" s="736"/>
      <c r="G3" s="69" t="s">
        <v>106</v>
      </c>
      <c r="H3" s="69" t="s">
        <v>107</v>
      </c>
      <c r="I3" s="734" t="s">
        <v>108</v>
      </c>
      <c r="J3" s="27" t="s">
        <v>109</v>
      </c>
      <c r="K3" s="734" t="s">
        <v>102</v>
      </c>
      <c r="L3" s="27" t="s">
        <v>103</v>
      </c>
      <c r="M3" s="27" t="s">
        <v>104</v>
      </c>
      <c r="N3" s="27" t="s">
        <v>105</v>
      </c>
      <c r="O3" s="736"/>
      <c r="P3" s="736"/>
      <c r="Q3" s="736"/>
      <c r="R3" s="736"/>
      <c r="S3" s="736"/>
      <c r="T3" s="736"/>
      <c r="U3" s="736"/>
      <c r="V3" s="736"/>
      <c r="W3" s="1009"/>
      <c r="X3" s="1010"/>
      <c r="Y3" s="1010"/>
      <c r="Z3" s="1010"/>
      <c r="AA3" s="1010"/>
      <c r="AB3" s="1009"/>
      <c r="AC3" s="1010"/>
      <c r="AD3" s="1010"/>
      <c r="AE3" s="1010"/>
      <c r="AF3" s="1010"/>
      <c r="AG3" s="1009"/>
      <c r="AH3" s="1010"/>
      <c r="AI3" s="1010"/>
      <c r="AJ3" s="1010"/>
      <c r="AK3" s="1010"/>
      <c r="AL3" s="1009"/>
      <c r="AM3" s="1010"/>
      <c r="AN3" s="1010"/>
      <c r="AO3" s="1010"/>
      <c r="AP3" s="1010"/>
    </row>
    <row r="4" spans="1:44" s="2" customFormat="1" ht="12.75" thickTop="1" x14ac:dyDescent="0.2">
      <c r="A4" s="251"/>
      <c r="B4" s="1">
        <v>1</v>
      </c>
      <c r="C4" s="21">
        <f ca="1">RANK(D4,$D$4:$D$12,1)</f>
        <v>1</v>
      </c>
      <c r="D4" s="736">
        <f ca="1">E4+ROW()/1000+(F4="")*10</f>
        <v>1.004</v>
      </c>
      <c r="E4" s="263">
        <f ca="1">IF($AI$15,RANK(AH17,AH$17:AH$25,1),RANK(X17,X$17:X$25,1))</f>
        <v>1</v>
      </c>
      <c r="F4" s="1" t="str">
        <f ca="1">$C62</f>
        <v>Maibach 1822 eV</v>
      </c>
      <c r="G4" s="1">
        <f ca="1">SUMIFS(CalcE!$X$64:$X$99,CalcE!$V$64:$V$99,$F4)+SUMIFS(CalcE!$Y$64:$Y$99,CalcE!$W$64:$W$99,$F4)+SUMIFS(CalcE!$AG$64:$AG$99,CalcE!$V$64:$V$99,$F4)+SUMIFS(CalcE!$AH$64:$AH$99,CalcE!$W$64:$W$99,$F4)</f>
        <v>140</v>
      </c>
      <c r="H4" s="1">
        <f ca="1">SUMIFS(CalcE!$Y$64:$Y$99,CalcE!$V$64:$V$99,$F4)+SUMIFS(CalcE!$X$64:$X$99,CalcE!$W$64:$W$99,$F4)+SUMIFS(CalcE!$AH$64:$AH$99,CalcE!$V$64:$V$99,$F4)+SUMIFS(CalcE!$AG$64:$AG$99,CalcE!$W$64:$W$99,$F4)</f>
        <v>134</v>
      </c>
      <c r="I4" s="736">
        <f ca="1">IF(Einstellungen!$G$7,G4-H4,IF(H4=0,IF(G4=0,0,Einstellungen!$F$7),G4/H4))</f>
        <v>6</v>
      </c>
      <c r="J4" s="1">
        <f ca="1">SUMPRODUCT((CalcE!$V$64:$V$135=F4)*CalcE!$AE$64:$AE$135*CalcE!$AA$64:$AA$135)+SUMPRODUCT((CalcE!$W$64:$W$135=F4)*CalcE!$AF$64:$AF$135*CalcE!$AA$64:$AA$135)</f>
        <v>4</v>
      </c>
      <c r="K4" s="1">
        <f ca="1">SUMPRODUCT((CalcE!$V$64:$V$99=F4)*CalcE!$AA$64:$AA$99)+SUMPRODUCT((CalcE!$W$64:$W$99=F4)*CalcE!$AA$64:$AA$99)</f>
        <v>3</v>
      </c>
      <c r="L4" s="1">
        <f ca="1">K4-M4-N4</f>
        <v>1</v>
      </c>
      <c r="M4" s="1">
        <f ca="1">SUMPRODUCT((CalcE!$V$64:$W$99=F4)*(CalcE!$AE$64:$AE$99=CalcE!$AF$64:$AF$99)*CalcE!$AA$64:$AA$99)</f>
        <v>2</v>
      </c>
      <c r="N4" s="1">
        <f ca="1">SUMPRODUCT((CalcE!$V$64:$V$99=F4)*(CalcE!$AE$64:$AE$99&lt;CalcE!$AF$64:$AF$99)*CalcE!$AA$64:$AA$99)+SUMPRODUCT((CalcE!$W$64:$W$99=F4)*(CalcE!$AE$64:$AE$99&gt;CalcE!$AF$64:$AF$99)*CalcE!$AA$64:$AA$99)</f>
        <v>0</v>
      </c>
      <c r="O4" s="735"/>
      <c r="P4" s="735"/>
      <c r="Q4" s="735"/>
      <c r="R4" s="735"/>
      <c r="S4" s="4"/>
      <c r="T4" s="4"/>
      <c r="U4" s="4"/>
      <c r="V4" s="736"/>
      <c r="W4" s="635"/>
      <c r="X4" s="635"/>
      <c r="Y4" s="632"/>
      <c r="Z4" s="632"/>
      <c r="AA4" s="632"/>
      <c r="AB4" s="635"/>
      <c r="AC4" s="635"/>
      <c r="AD4" s="636"/>
      <c r="AE4" s="632"/>
      <c r="AF4" s="632"/>
      <c r="AG4" s="635"/>
      <c r="AH4" s="635"/>
      <c r="AI4" s="636"/>
      <c r="AJ4" s="632"/>
      <c r="AK4" s="632"/>
      <c r="AL4" s="635"/>
      <c r="AM4" s="635"/>
      <c r="AN4" s="636"/>
      <c r="AO4" s="632"/>
      <c r="AP4" s="632"/>
      <c r="AR4" s="2">
        <f ca="1">IF(Einstellungen!$G$7,$I4,ROUND($I4,Einstellungen!$H$7))</f>
        <v>6</v>
      </c>
    </row>
    <row r="5" spans="1:44" s="2" customFormat="1" x14ac:dyDescent="0.2">
      <c r="A5" s="251"/>
      <c r="B5" s="1">
        <v>2</v>
      </c>
      <c r="C5" s="22">
        <f t="shared" ref="C5:C12" ca="1" si="0">RANK(D5,$D$4:$D$12,1)</f>
        <v>4</v>
      </c>
      <c r="D5" s="736">
        <f t="shared" ref="D5:D12" ca="1" si="1">E5+ROW()/1000+(F5="")*10</f>
        <v>4.0049999999999999</v>
      </c>
      <c r="E5" s="263">
        <f t="shared" ref="E5:E12" ca="1" si="2">IF($AI$15,RANK(AH18,AH$17:AH$25,1),RANK(X18,X$17:X$25,1))</f>
        <v>4</v>
      </c>
      <c r="F5" s="1" t="str">
        <f ca="1">$C63</f>
        <v>Inter Mailand</v>
      </c>
      <c r="G5" s="1">
        <f ca="1">SUMIFS(CalcE!$X$64:$X$99,CalcE!$V$64:$V$99,$F5)+SUMIFS(CalcE!$Y$64:$Y$99,CalcE!$W$64:$W$99,$F5)+SUMIFS(CalcE!$AG$64:$AG$99,CalcE!$V$64:$V$99,$F5)+SUMIFS(CalcE!$AH$64:$AH$99,CalcE!$W$64:$W$99,$F5)</f>
        <v>131</v>
      </c>
      <c r="H5" s="1">
        <f ca="1">SUMIFS(CalcE!$Y$64:$Y$99,CalcE!$V$64:$V$99,$F5)+SUMIFS(CalcE!$X$64:$X$99,CalcE!$W$64:$W$99,$F5)+SUMIFS(CalcE!$AH$64:$AH$99,CalcE!$V$64:$V$99,$F5)+SUMIFS(CalcE!$AG$64:$AG$99,CalcE!$W$64:$W$99,$F5)</f>
        <v>131</v>
      </c>
      <c r="I5" s="736">
        <f ca="1">IF(Einstellungen!$G$7,G5-H5,IF(H5=0,IF(G5=0,0,Einstellungen!$F$7),G5/H5))</f>
        <v>0</v>
      </c>
      <c r="J5" s="1">
        <f ca="1">SUMPRODUCT((CalcE!$V$64:$V$135=F5)*CalcE!$AE$64:$AE$135*CalcE!$AA$64:$AA$135)+SUMPRODUCT((CalcE!$W$64:$W$135=F5)*CalcE!$AF$64:$AF$135*CalcE!$AA$64:$AA$135)</f>
        <v>2</v>
      </c>
      <c r="K5" s="1">
        <f ca="1">SUMPRODUCT((CalcE!$V$64:$V$99=F5)*CalcE!$AA$64:$AA$99)+SUMPRODUCT((CalcE!$W$64:$W$99=F5)*CalcE!$AA$64:$AA$99)</f>
        <v>3</v>
      </c>
      <c r="L5" s="1">
        <f t="shared" ref="L5:L7" ca="1" si="3">K5-M5-N5</f>
        <v>0</v>
      </c>
      <c r="M5" s="1">
        <f ca="1">SUMPRODUCT((CalcE!$V$64:$W$99=F5)*(CalcE!$AE$64:$AE$99=CalcE!$AF$64:$AF$99)*CalcE!$AA$64:$AA$99)</f>
        <v>2</v>
      </c>
      <c r="N5" s="1">
        <f ca="1">SUMPRODUCT((CalcE!$V$64:$V$99=F5)*(CalcE!$AE$64:$AE$99&lt;CalcE!$AF$64:$AF$99)*CalcE!$AA$64:$AA$99)+SUMPRODUCT((CalcE!$W$64:$W$99=F5)*(CalcE!$AE$64:$AE$99&gt;CalcE!$AF$64:$AF$99)*CalcE!$AA$64:$AA$99)</f>
        <v>1</v>
      </c>
      <c r="O5" s="725"/>
      <c r="P5" s="726"/>
      <c r="Q5" s="4"/>
      <c r="R5" s="4"/>
      <c r="S5" s="4"/>
      <c r="T5" s="4"/>
      <c r="U5" s="4"/>
      <c r="V5" s="736"/>
      <c r="W5" s="635"/>
      <c r="X5" s="635"/>
      <c r="Y5" s="632"/>
      <c r="Z5" s="632"/>
      <c r="AA5" s="632"/>
      <c r="AB5" s="635"/>
      <c r="AC5" s="635"/>
      <c r="AD5" s="636"/>
      <c r="AE5" s="632"/>
      <c r="AF5" s="632"/>
      <c r="AG5" s="635"/>
      <c r="AH5" s="635"/>
      <c r="AI5" s="636"/>
      <c r="AJ5" s="632"/>
      <c r="AK5" s="632"/>
      <c r="AL5" s="635"/>
      <c r="AM5" s="635"/>
      <c r="AN5" s="636"/>
      <c r="AO5" s="632"/>
      <c r="AP5" s="632"/>
      <c r="AR5" s="2">
        <f ca="1">IF(Einstellungen!$G$7,$I5,ROUND($I5,Einstellungen!$H$7))</f>
        <v>0</v>
      </c>
    </row>
    <row r="6" spans="1:44" s="2" customFormat="1" x14ac:dyDescent="0.2">
      <c r="A6" s="251"/>
      <c r="B6" s="1">
        <v>3</v>
      </c>
      <c r="C6" s="22">
        <f t="shared" ca="1" si="0"/>
        <v>3</v>
      </c>
      <c r="D6" s="736">
        <f t="shared" ca="1" si="1"/>
        <v>3.0059999999999998</v>
      </c>
      <c r="E6" s="263">
        <f t="shared" ca="1" si="2"/>
        <v>3</v>
      </c>
      <c r="F6" s="1" t="str">
        <f ca="1">$C64</f>
        <v>1. FC Nürnberg</v>
      </c>
      <c r="G6" s="1">
        <f ca="1">SUMIFS(CalcE!$X$64:$X$99,CalcE!$V$64:$V$99,$F6)+SUMIFS(CalcE!$Y$64:$Y$99,CalcE!$W$64:$W$99,$F6)+SUMIFS(CalcE!$AG$64:$AG$99,CalcE!$V$64:$V$99,$F6)+SUMIFS(CalcE!$AH$64:$AH$99,CalcE!$W$64:$W$99,$F6)</f>
        <v>131</v>
      </c>
      <c r="H6" s="1">
        <f ca="1">SUMIFS(CalcE!$Y$64:$Y$99,CalcE!$V$64:$V$99,$F6)+SUMIFS(CalcE!$X$64:$X$99,CalcE!$W$64:$W$99,$F6)+SUMIFS(CalcE!$AH$64:$AH$99,CalcE!$V$64:$V$99,$F6)+SUMIFS(CalcE!$AG$64:$AG$99,CalcE!$W$64:$W$99,$F6)</f>
        <v>134</v>
      </c>
      <c r="I6" s="736">
        <f ca="1">IF(Einstellungen!$G$7,G6-H6,IF(H6=0,IF(G6=0,0,Einstellungen!$F$7),G6/H6))</f>
        <v>-3</v>
      </c>
      <c r="J6" s="1">
        <f ca="1">SUMPRODUCT((CalcE!$V$64:$V$135=F6)*CalcE!$AE$64:$AE$135*CalcE!$AA$64:$AA$135)+SUMPRODUCT((CalcE!$W$64:$W$135=F6)*CalcE!$AF$64:$AF$135*CalcE!$AA$64:$AA$135)</f>
        <v>3</v>
      </c>
      <c r="K6" s="1">
        <f ca="1">SUMPRODUCT((CalcE!$V$64:$V$99=F6)*CalcE!$AA$64:$AA$99)+SUMPRODUCT((CalcE!$W$64:$W$99=F6)*CalcE!$AA$64:$AA$99)</f>
        <v>3</v>
      </c>
      <c r="L6" s="1">
        <f t="shared" ca="1" si="3"/>
        <v>0</v>
      </c>
      <c r="M6" s="1">
        <f ca="1">SUMPRODUCT((CalcE!$V$64:$W$99=F6)*(CalcE!$AE$64:$AE$99=CalcE!$AF$64:$AF$99)*CalcE!$AA$64:$AA$99)</f>
        <v>3</v>
      </c>
      <c r="N6" s="1">
        <f ca="1">SUMPRODUCT((CalcE!$V$64:$V$99=F6)*(CalcE!$AE$64:$AE$99&lt;CalcE!$AF$64:$AF$99)*CalcE!$AA$64:$AA$99)+SUMPRODUCT((CalcE!$W$64:$W$99=F6)*(CalcE!$AE$64:$AE$99&gt;CalcE!$AF$64:$AF$99)*CalcE!$AA$64:$AA$99)</f>
        <v>0</v>
      </c>
      <c r="O6" s="725"/>
      <c r="P6" s="726"/>
      <c r="Q6" s="4"/>
      <c r="R6" s="4"/>
      <c r="S6" s="4"/>
      <c r="T6" s="4"/>
      <c r="U6" s="4"/>
      <c r="V6" s="736"/>
      <c r="W6" s="635"/>
      <c r="X6" s="635"/>
      <c r="Y6" s="632"/>
      <c r="Z6" s="632"/>
      <c r="AA6" s="632"/>
      <c r="AB6" s="635"/>
      <c r="AC6" s="635"/>
      <c r="AD6" s="636"/>
      <c r="AE6" s="632"/>
      <c r="AF6" s="632"/>
      <c r="AG6" s="635"/>
      <c r="AH6" s="635"/>
      <c r="AI6" s="636"/>
      <c r="AJ6" s="632"/>
      <c r="AK6" s="632"/>
      <c r="AL6" s="635"/>
      <c r="AM6" s="635"/>
      <c r="AN6" s="636"/>
      <c r="AO6" s="632"/>
      <c r="AP6" s="632"/>
      <c r="AR6" s="2">
        <f ca="1">IF(Einstellungen!$G$7,$I6,ROUND($I6,Einstellungen!$H$7))</f>
        <v>-3</v>
      </c>
    </row>
    <row r="7" spans="1:44" s="2" customFormat="1" x14ac:dyDescent="0.2">
      <c r="A7" s="251"/>
      <c r="B7" s="1">
        <v>4</v>
      </c>
      <c r="C7" s="22">
        <f t="shared" ca="1" si="0"/>
        <v>2</v>
      </c>
      <c r="D7" s="736">
        <f t="shared" ca="1" si="1"/>
        <v>2.0070000000000001</v>
      </c>
      <c r="E7" s="263">
        <f t="shared" ca="1" si="2"/>
        <v>2</v>
      </c>
      <c r="F7" s="1" t="str">
        <f ca="1">$C65</f>
        <v>RB Leipzig</v>
      </c>
      <c r="G7" s="1">
        <f ca="1">SUMIFS(CalcE!$X$64:$X$99,CalcE!$V$64:$V$99,$F7)+SUMIFS(CalcE!$Y$64:$Y$99,CalcE!$W$64:$W$99,$F7)+SUMIFS(CalcE!$AG$64:$AG$99,CalcE!$V$64:$V$99,$F7)+SUMIFS(CalcE!$AH$64:$AH$99,CalcE!$W$64:$W$99,$F7)</f>
        <v>131</v>
      </c>
      <c r="H7" s="1">
        <f ca="1">SUMIFS(CalcE!$Y$64:$Y$99,CalcE!$V$64:$V$99,$F7)+SUMIFS(CalcE!$X$64:$X$99,CalcE!$W$64:$W$99,$F7)+SUMIFS(CalcE!$AH$64:$AH$99,CalcE!$V$64:$V$99,$F7)+SUMIFS(CalcE!$AG$64:$AG$99,CalcE!$W$64:$W$99,$F7)</f>
        <v>134</v>
      </c>
      <c r="I7" s="736">
        <f ca="1">IF(Einstellungen!$G$7,G7-H7,IF(H7=0,IF(G7=0,0,Einstellungen!$F$7),G7/H7))</f>
        <v>-3</v>
      </c>
      <c r="J7" s="1">
        <f ca="1">SUMPRODUCT((CalcE!$V$64:$V$135=F7)*CalcE!$AE$64:$AE$135*CalcE!$AA$64:$AA$135)+SUMPRODUCT((CalcE!$W$64:$W$135=F7)*CalcE!$AF$64:$AF$135*CalcE!$AA$64:$AA$135)</f>
        <v>3</v>
      </c>
      <c r="K7" s="1">
        <f ca="1">SUMPRODUCT((CalcE!$V$64:$V$99=F7)*CalcE!$AA$64:$AA$99)+SUMPRODUCT((CalcE!$W$64:$W$99=F7)*CalcE!$AA$64:$AA$99)</f>
        <v>3</v>
      </c>
      <c r="L7" s="1">
        <f t="shared" ca="1" si="3"/>
        <v>0</v>
      </c>
      <c r="M7" s="1">
        <f ca="1">SUMPRODUCT((CalcE!$V$64:$W$99=F7)*(CalcE!$AE$64:$AE$99=CalcE!$AF$64:$AF$99)*CalcE!$AA$64:$AA$99)</f>
        <v>3</v>
      </c>
      <c r="N7" s="1">
        <f ca="1">SUMPRODUCT((CalcE!$V$64:$V$99=F7)*(CalcE!$AE$64:$AE$99&lt;CalcE!$AF$64:$AF$99)*CalcE!$AA$64:$AA$99)+SUMPRODUCT((CalcE!$W$64:$W$99=F7)*(CalcE!$AE$64:$AE$99&gt;CalcE!$AF$64:$AF$99)*CalcE!$AA$64:$AA$99)</f>
        <v>0</v>
      </c>
      <c r="O7" s="725"/>
      <c r="P7" s="726"/>
      <c r="Q7" s="4"/>
      <c r="R7" s="4"/>
      <c r="S7" s="4"/>
      <c r="T7" s="4"/>
      <c r="U7" s="4"/>
      <c r="V7" s="736"/>
      <c r="W7" s="635"/>
      <c r="X7" s="635"/>
      <c r="Y7" s="632"/>
      <c r="Z7" s="632"/>
      <c r="AA7" s="632"/>
      <c r="AB7" s="635"/>
      <c r="AC7" s="635"/>
      <c r="AD7" s="636"/>
      <c r="AE7" s="632"/>
      <c r="AF7" s="632"/>
      <c r="AG7" s="635"/>
      <c r="AH7" s="635"/>
      <c r="AI7" s="636"/>
      <c r="AJ7" s="632"/>
      <c r="AK7" s="632"/>
      <c r="AL7" s="635"/>
      <c r="AM7" s="635"/>
      <c r="AN7" s="636"/>
      <c r="AO7" s="632"/>
      <c r="AP7" s="632"/>
      <c r="AR7" s="2">
        <f ca="1">IF(Einstellungen!$G$7,$I7,ROUND($I7,Einstellungen!$H$7))</f>
        <v>-3</v>
      </c>
    </row>
    <row r="8" spans="1:44" s="2" customFormat="1" x14ac:dyDescent="0.2">
      <c r="A8" s="251"/>
      <c r="B8" s="1">
        <v>5</v>
      </c>
      <c r="C8" s="22">
        <f t="shared" ca="1" si="0"/>
        <v>5</v>
      </c>
      <c r="D8" s="736">
        <f t="shared" ca="1" si="1"/>
        <v>15.007999999999999</v>
      </c>
      <c r="E8" s="263">
        <f t="shared" ca="1" si="2"/>
        <v>5</v>
      </c>
      <c r="F8" s="1" t="str">
        <f>""</f>
        <v/>
      </c>
      <c r="G8" s="1">
        <v>0</v>
      </c>
      <c r="H8" s="1">
        <v>0</v>
      </c>
      <c r="I8" s="736">
        <f>IF(Einstellungen!$G$7,G8-H8,IF(H8=0,IF(G8=0,0,Einstellungen!$F$7),G8/H8))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IF(Einstellungen!$G$7,$I8,ROUND($I8,Einstellungen!$H$7))</f>
        <v>0</v>
      </c>
    </row>
    <row r="9" spans="1:44" s="2" customFormat="1" x14ac:dyDescent="0.2">
      <c r="A9" s="251"/>
      <c r="B9" s="1">
        <v>6</v>
      </c>
      <c r="C9" s="22">
        <f t="shared" ca="1" si="0"/>
        <v>6</v>
      </c>
      <c r="D9" s="736">
        <f t="shared" ca="1" si="1"/>
        <v>15.009</v>
      </c>
      <c r="E9" s="263">
        <f t="shared" ca="1" si="2"/>
        <v>5</v>
      </c>
      <c r="F9" s="1" t="str">
        <f>""</f>
        <v/>
      </c>
      <c r="G9" s="1">
        <v>0</v>
      </c>
      <c r="H9" s="1">
        <v>0</v>
      </c>
      <c r="I9" s="736">
        <f>IF(Einstellungen!$G$7,G9-H9,IF(H9=0,IF(G9=0,0,Einstellungen!$F$7),G9/H9))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IF(Einstellungen!$G$7,$I9,ROUND($I9,Einstellungen!$H$7))</f>
        <v>0</v>
      </c>
    </row>
    <row r="10" spans="1:44" s="2" customFormat="1" x14ac:dyDescent="0.2">
      <c r="A10" s="251"/>
      <c r="B10" s="1">
        <v>7</v>
      </c>
      <c r="C10" s="22">
        <f t="shared" ca="1" si="0"/>
        <v>7</v>
      </c>
      <c r="D10" s="736">
        <f t="shared" ca="1" si="1"/>
        <v>15.01</v>
      </c>
      <c r="E10" s="263">
        <f t="shared" ca="1" si="2"/>
        <v>5</v>
      </c>
      <c r="F10" s="1" t="str">
        <f>""</f>
        <v/>
      </c>
      <c r="G10" s="1">
        <v>0</v>
      </c>
      <c r="H10" s="1">
        <v>0</v>
      </c>
      <c r="I10" s="736">
        <f>IF(Einstellungen!$G$7,G10-H10,IF(H10=0,IF(G10=0,0,Einstellungen!$F$7),G10/H10))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IF(Einstellungen!$G$7,$I10,ROUND($I10,Einstellungen!$H$7))</f>
        <v>0</v>
      </c>
    </row>
    <row r="11" spans="1:44" s="2" customFormat="1" x14ac:dyDescent="0.2">
      <c r="A11" s="251"/>
      <c r="B11" s="1">
        <v>8</v>
      </c>
      <c r="C11" s="22">
        <f t="shared" ca="1" si="0"/>
        <v>8</v>
      </c>
      <c r="D11" s="736">
        <f t="shared" ca="1" si="1"/>
        <v>15.010999999999999</v>
      </c>
      <c r="E11" s="263">
        <f t="shared" ca="1" si="2"/>
        <v>5</v>
      </c>
      <c r="F11" s="1" t="str">
        <f>""</f>
        <v/>
      </c>
      <c r="G11" s="1">
        <v>0</v>
      </c>
      <c r="H11" s="1">
        <v>0</v>
      </c>
      <c r="I11" s="736">
        <f>IF(Einstellungen!$G$7,G11-H11,IF(H11=0,IF(G11=0,0,Einstellungen!$F$7),G11/H11))</f>
        <v>0</v>
      </c>
      <c r="J11" s="1">
        <f ca="1">SUMPRODUCT((CalcE!$V$64:$V$135=F11)*CalcE!$AE$64:$AE$135*CalcE!$AA$64:$AA$135)+SUMPRODUCT((CalcE!$W$64:$W$135=F11)*CalcE!$AF$64:$AF$135*CalcE!$AA$64:$AA$135)</f>
        <v>0</v>
      </c>
      <c r="K11" s="1">
        <v>0</v>
      </c>
      <c r="L11" s="1">
        <v>0</v>
      </c>
      <c r="M11" s="1">
        <v>0</v>
      </c>
      <c r="N11" s="1">
        <v>0</v>
      </c>
      <c r="O11" s="736"/>
      <c r="P11" s="736"/>
      <c r="Q11" s="736"/>
      <c r="R11" s="736"/>
      <c r="S11" s="736"/>
      <c r="T11" s="736"/>
      <c r="U11" s="736"/>
      <c r="V11" s="736"/>
      <c r="W11" s="635"/>
      <c r="X11" s="635"/>
      <c r="Y11" s="632"/>
      <c r="Z11" s="632"/>
      <c r="AA11" s="632"/>
      <c r="AB11" s="635"/>
      <c r="AC11" s="635"/>
      <c r="AD11" s="636"/>
      <c r="AE11" s="632"/>
      <c r="AF11" s="632"/>
      <c r="AG11" s="635"/>
      <c r="AH11" s="635"/>
      <c r="AI11" s="636"/>
      <c r="AJ11" s="632"/>
      <c r="AK11" s="632"/>
      <c r="AL11" s="635"/>
      <c r="AM11" s="635"/>
      <c r="AN11" s="636"/>
      <c r="AO11" s="632"/>
      <c r="AP11" s="632"/>
      <c r="AR11" s="2">
        <f>IF(Einstellungen!$G$7,$I11,ROUND($I11,Einstellungen!$H$7))</f>
        <v>0</v>
      </c>
    </row>
    <row r="12" spans="1:44" s="2" customFormat="1" ht="12.75" thickBot="1" x14ac:dyDescent="0.25">
      <c r="A12" s="251"/>
      <c r="B12" s="1">
        <v>9</v>
      </c>
      <c r="C12" s="23">
        <f t="shared" ca="1" si="0"/>
        <v>9</v>
      </c>
      <c r="D12" s="736">
        <f t="shared" ca="1" si="1"/>
        <v>15.012</v>
      </c>
      <c r="E12" s="263">
        <f t="shared" ca="1" si="2"/>
        <v>5</v>
      </c>
      <c r="F12" s="1" t="str">
        <f>""</f>
        <v/>
      </c>
      <c r="G12" s="1">
        <v>0</v>
      </c>
      <c r="H12" s="1">
        <v>0</v>
      </c>
      <c r="I12" s="736">
        <f>IF(Einstellungen!$G$7,G12-H12,IF(H12=0,IF(G12=0,0,Einstellungen!$F$7),G12/H12))</f>
        <v>0</v>
      </c>
      <c r="J12" s="1">
        <f ca="1">SUMPRODUCT((CalcE!$V$64:$V$135=F12)*CalcE!$AE$64:$AE$135*CalcE!$AA$64:$AA$135)+SUMPRODUCT((CalcE!$W$64:$W$135=F12)*CalcE!$AF$64:$AF$135*CalcE!$AA$64:$AA$135)</f>
        <v>0</v>
      </c>
      <c r="K12" s="28">
        <v>0</v>
      </c>
      <c r="L12" s="1">
        <v>0</v>
      </c>
      <c r="M12" s="1">
        <v>0</v>
      </c>
      <c r="N12" s="1">
        <v>0</v>
      </c>
      <c r="O12" s="736"/>
      <c r="P12" s="736"/>
      <c r="Q12" s="736"/>
      <c r="R12" s="736"/>
      <c r="S12" s="736"/>
      <c r="T12" s="736"/>
      <c r="U12" s="736"/>
      <c r="V12" s="736"/>
      <c r="W12" s="635"/>
      <c r="X12" s="635"/>
      <c r="Y12" s="632"/>
      <c r="Z12" s="632"/>
      <c r="AA12" s="632"/>
      <c r="AB12" s="635"/>
      <c r="AC12" s="635"/>
      <c r="AD12" s="636"/>
      <c r="AE12" s="632"/>
      <c r="AF12" s="632"/>
      <c r="AG12" s="635"/>
      <c r="AH12" s="635"/>
      <c r="AI12" s="636"/>
      <c r="AJ12" s="632"/>
      <c r="AK12" s="632"/>
      <c r="AL12" s="635"/>
      <c r="AM12" s="635"/>
      <c r="AN12" s="636"/>
      <c r="AO12" s="632"/>
      <c r="AP12" s="632"/>
      <c r="AR12" s="2">
        <f>IF(Einstellungen!$G$7,$I12,ROUND($I12,Einstellungen!$H$7))</f>
        <v>0</v>
      </c>
    </row>
    <row r="13" spans="1:44" s="2" customFormat="1" ht="12.75" thickTop="1" x14ac:dyDescent="0.2">
      <c r="B13" s="736">
        <f ca="1">$F$13*($F$13-1)</f>
        <v>12</v>
      </c>
      <c r="C13" s="736"/>
      <c r="D13" s="736"/>
      <c r="E13" s="736"/>
      <c r="F13" s="736">
        <f ca="1">9-COUNTBLANK($F$4:$F$12)</f>
        <v>4</v>
      </c>
      <c r="G13" s="736"/>
      <c r="H13" s="736"/>
      <c r="I13" s="736"/>
      <c r="J13" s="736"/>
      <c r="K13" s="27">
        <f ca="1">QUOTIENT(SUM(K4:K12),2)</f>
        <v>6</v>
      </c>
      <c r="L13" s="1"/>
      <c r="M13" s="1"/>
      <c r="N13" s="1"/>
      <c r="O13" s="1"/>
      <c r="P13" s="1"/>
      <c r="Q13" s="1"/>
      <c r="R13" s="1"/>
      <c r="S13" s="1"/>
      <c r="T13" s="1"/>
      <c r="U13" s="1"/>
      <c r="V13" s="1"/>
      <c r="Y13" s="1"/>
      <c r="Z13" s="1"/>
    </row>
    <row r="14" spans="1:44" s="2" customFormat="1" x14ac:dyDescent="0.2">
      <c r="B14" s="736"/>
      <c r="C14" s="4"/>
      <c r="D14" s="736"/>
      <c r="E14" s="4"/>
      <c r="F14" s="736"/>
      <c r="O14" s="1"/>
      <c r="P14" s="1"/>
      <c r="Q14" s="1"/>
      <c r="R14" s="1"/>
      <c r="S14" s="1"/>
      <c r="T14" s="1"/>
      <c r="U14" s="1"/>
      <c r="V14" s="1"/>
      <c r="W14" s="1"/>
      <c r="Y14" s="1"/>
      <c r="Z14" s="1"/>
    </row>
    <row r="15" spans="1:44" s="2" customFormat="1" x14ac:dyDescent="0.2">
      <c r="O15" s="12"/>
      <c r="AD15" s="997" t="s">
        <v>179</v>
      </c>
      <c r="AE15" s="998"/>
      <c r="AF15" s="998"/>
      <c r="AG15" s="998"/>
      <c r="AH15" s="999"/>
      <c r="AI15" s="2" t="b">
        <v>0</v>
      </c>
      <c r="AK15" s="251"/>
    </row>
    <row r="16" spans="1:44" s="2" customFormat="1" ht="15.75" thickBot="1" x14ac:dyDescent="0.25">
      <c r="B16" s="13" t="s">
        <v>5</v>
      </c>
      <c r="C16" s="704" t="s">
        <v>97</v>
      </c>
      <c r="D16" s="704" t="s">
        <v>102</v>
      </c>
      <c r="E16" s="704" t="s">
        <v>103</v>
      </c>
      <c r="F16" s="704" t="s">
        <v>104</v>
      </c>
      <c r="G16" s="704" t="s">
        <v>105</v>
      </c>
      <c r="H16" s="704" t="s">
        <v>106</v>
      </c>
      <c r="I16" s="704" t="s">
        <v>107</v>
      </c>
      <c r="J16" s="704" t="s">
        <v>108</v>
      </c>
      <c r="K16" s="704"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Maibach 1822 eV</v>
      </c>
      <c r="D17" s="1">
        <f t="shared" ref="D17:G20" ca="1" si="4">K4</f>
        <v>3</v>
      </c>
      <c r="E17" s="1">
        <f t="shared" ca="1" si="4"/>
        <v>1</v>
      </c>
      <c r="F17" s="1">
        <f t="shared" ca="1" si="4"/>
        <v>2</v>
      </c>
      <c r="G17" s="1">
        <f t="shared" ca="1" si="4"/>
        <v>0</v>
      </c>
      <c r="H17" s="1">
        <f t="shared" ref="H17:K20" ca="1" si="5">G4</f>
        <v>140</v>
      </c>
      <c r="I17" s="1">
        <f t="shared" ca="1" si="5"/>
        <v>134</v>
      </c>
      <c r="J17" s="13">
        <f t="shared" ca="1" si="5"/>
        <v>6</v>
      </c>
      <c r="K17" s="1">
        <f t="shared" ca="1" si="5"/>
        <v>4</v>
      </c>
      <c r="L17" s="29">
        <f ca="1">K17*CalcE!$F$64+(J17+CalcE!$H$65)*CalcE!$F$65</f>
        <v>4506000</v>
      </c>
      <c r="M17" s="14">
        <f ca="1">IF($AI$15,COUNTIF($K$17:$K$25,K17),COUNTIF($L$17:$L$25,L17))</f>
        <v>1</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1.0308999999999999</v>
      </c>
      <c r="Y17" s="13">
        <f ca="1">'Endrunde 4'!$AI26</f>
        <v>0</v>
      </c>
      <c r="Z17" s="1">
        <f ca="1">RANK($W17,$W$17:$W$25)+(9-$Y17)/10</f>
        <v>3.9</v>
      </c>
      <c r="AA17" s="1">
        <f ca="1">SUM(E30:BP30)</f>
        <v>0</v>
      </c>
      <c r="AB17" s="1">
        <f ca="1">SUM(E41:BP41)</f>
        <v>0</v>
      </c>
      <c r="AC17" s="1"/>
      <c r="AD17" s="257">
        <f ca="1">RANK($K17,$K$17:$K$25)</f>
        <v>1</v>
      </c>
      <c r="AE17" s="29">
        <f ca="1">(J17+CalcE!$H$65)*CalcE!$F$65</f>
        <v>506000</v>
      </c>
      <c r="AF17" s="1">
        <f ca="1">RANK($AE17,$AE$17:$AE$25)</f>
        <v>1</v>
      </c>
      <c r="AG17" s="1">
        <f ca="1">RANK($W17,$W$17:$W$25)</f>
        <v>3</v>
      </c>
      <c r="AH17" s="259">
        <f ca="1">AD17+AG17/100+AF17/10000+(10-Y17)/1000000</f>
        <v>1.0301100000000001</v>
      </c>
      <c r="AI17" s="1"/>
    </row>
    <row r="18" spans="2:80" s="2" customFormat="1" x14ac:dyDescent="0.2">
      <c r="C18" s="2" t="str">
        <f ca="1">$C63</f>
        <v>Inter Mailand</v>
      </c>
      <c r="D18" s="1">
        <f t="shared" ca="1" si="4"/>
        <v>3</v>
      </c>
      <c r="E18" s="1">
        <f t="shared" ca="1" si="4"/>
        <v>0</v>
      </c>
      <c r="F18" s="1">
        <f t="shared" ca="1" si="4"/>
        <v>2</v>
      </c>
      <c r="G18" s="1">
        <f t="shared" ca="1" si="4"/>
        <v>1</v>
      </c>
      <c r="H18" s="1">
        <f t="shared" ca="1" si="5"/>
        <v>131</v>
      </c>
      <c r="I18" s="1">
        <f t="shared" ca="1" si="5"/>
        <v>131</v>
      </c>
      <c r="J18" s="13">
        <f t="shared" ca="1" si="5"/>
        <v>0</v>
      </c>
      <c r="K18" s="1">
        <f t="shared" ca="1" si="5"/>
        <v>2</v>
      </c>
      <c r="L18" s="29">
        <f ca="1">K18*CalcE!$F$64+(J18+CalcE!$H$65)*CalcE!$F$65</f>
        <v>2500000</v>
      </c>
      <c r="M18" s="14">
        <f t="shared" ref="M18:M25" ca="1" si="14">IF($AI$15,COUNTIF($K$17:$K$25,K18),COUNTIF($L$17:$L$25,L18))</f>
        <v>1</v>
      </c>
      <c r="N18" s="14">
        <f t="array" aca="1" ref="N18" ca="1">IF($AI$15,SUM(($K$17:$K$25&gt;=K18)/COUNTIF($K$17:$K$25,$K$17:$K$25)),SUM(($L$17:$L$25&gt;=L18)/COUNTIF($L$17:$L$25,$L$17:$L$25)))</f>
        <v>3</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4.0308999999999999</v>
      </c>
      <c r="Y18" s="13">
        <f ca="1">'Endrunde 4'!$AI27</f>
        <v>0</v>
      </c>
      <c r="Z18" s="1">
        <f t="shared" ref="Z18:Z25" ca="1" si="16">RANK($W18,$W$17:$W$25)+(9-$Y18)/10</f>
        <v>3.9</v>
      </c>
      <c r="AA18" s="1">
        <f t="shared" ref="AA18:AA20" ca="1" si="17">SUM(E31:BP31)</f>
        <v>0</v>
      </c>
      <c r="AB18" s="1">
        <f t="shared" ref="AB18:AB20" ca="1" si="18">SUM(E42:BP42)</f>
        <v>0</v>
      </c>
      <c r="AC18" s="1"/>
      <c r="AD18" s="257">
        <f t="shared" ref="AD18:AD25" ca="1" si="19">RANK($K18,$K$17:$K$25)</f>
        <v>4</v>
      </c>
      <c r="AE18" s="29">
        <f ca="1">(J18+CalcE!$H$65)*CalcE!$F$65</f>
        <v>500000</v>
      </c>
      <c r="AF18" s="1">
        <f t="shared" ref="AF18:AF25" ca="1" si="20">RANK($AE18,$AE$17:$AE$25)</f>
        <v>2</v>
      </c>
      <c r="AG18" s="1">
        <f t="shared" ref="AG18:AG25" ca="1" si="21">RANK($W18,$W$17:$W$25)</f>
        <v>3</v>
      </c>
      <c r="AH18" s="260">
        <f t="shared" ref="AH18:AH25" ca="1" si="22">AD18+AG18/100+AF18/10000+(10-Y18)/1000000</f>
        <v>4.0302100000000003</v>
      </c>
      <c r="AI18" s="1"/>
    </row>
    <row r="19" spans="2:80" s="2" customFormat="1" x14ac:dyDescent="0.2">
      <c r="C19" s="2" t="str">
        <f ca="1">$C64</f>
        <v>1. FC Nürnberg</v>
      </c>
      <c r="D19" s="1">
        <f t="shared" ca="1" si="4"/>
        <v>3</v>
      </c>
      <c r="E19" s="1">
        <f t="shared" ca="1" si="4"/>
        <v>0</v>
      </c>
      <c r="F19" s="1">
        <f t="shared" ca="1" si="4"/>
        <v>3</v>
      </c>
      <c r="G19" s="1">
        <f t="shared" ca="1" si="4"/>
        <v>0</v>
      </c>
      <c r="H19" s="1">
        <f t="shared" ca="1" si="5"/>
        <v>131</v>
      </c>
      <c r="I19" s="1">
        <f t="shared" ca="1" si="5"/>
        <v>134</v>
      </c>
      <c r="J19" s="13">
        <f t="shared" ca="1" si="5"/>
        <v>-3</v>
      </c>
      <c r="K19" s="1">
        <f t="shared" ca="1" si="5"/>
        <v>3</v>
      </c>
      <c r="L19" s="29">
        <f ca="1">K19*CalcE!$F$64+(J19+CalcE!$H$65)*CalcE!$F$65</f>
        <v>3497000</v>
      </c>
      <c r="M19" s="14">
        <f t="shared" ca="1" si="14"/>
        <v>2</v>
      </c>
      <c r="N19" s="14">
        <f t="array" aca="1" ref="N19" ca="1">IF($AI$15,SUM(($K$17:$K$25&gt;=K19)/COUNTIF($K$17:$K$25,$K$17:$K$25)),SUM(($L$17:$L$25&gt;=L19)/COUNTIF($L$17:$L$25,$L$17:$L$25)))</f>
        <v>2</v>
      </c>
      <c r="O19" s="6" t="str">
        <f t="shared" ca="1" si="6"/>
        <v/>
      </c>
      <c r="P19" s="4" t="str">
        <f t="shared" ca="1" si="7"/>
        <v>1. FC Nürnberg</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1499000</v>
      </c>
      <c r="X19" s="22">
        <f t="shared" ca="1" si="15"/>
        <v>2.0209000000000001</v>
      </c>
      <c r="Y19" s="13">
        <f ca="1">'Endrunde 4'!$AI28</f>
        <v>0</v>
      </c>
      <c r="Z19" s="1">
        <f t="shared" ca="1" si="16"/>
        <v>2.9</v>
      </c>
      <c r="AA19" s="1">
        <f t="shared" ca="1" si="17"/>
        <v>1</v>
      </c>
      <c r="AB19" s="1">
        <f t="shared" ca="1" si="18"/>
        <v>-1</v>
      </c>
      <c r="AC19" s="1"/>
      <c r="AD19" s="257">
        <f t="shared" ca="1" si="19"/>
        <v>2</v>
      </c>
      <c r="AE19" s="29">
        <f ca="1">(J19+CalcE!$H$65)*CalcE!$F$65</f>
        <v>497000</v>
      </c>
      <c r="AF19" s="1">
        <f t="shared" ca="1" si="20"/>
        <v>3</v>
      </c>
      <c r="AG19" s="1">
        <f t="shared" ca="1" si="21"/>
        <v>2</v>
      </c>
      <c r="AH19" s="260">
        <f t="shared" ca="1" si="22"/>
        <v>2.0203100000000003</v>
      </c>
      <c r="AI19" s="1"/>
    </row>
    <row r="20" spans="2:80" s="2" customFormat="1" x14ac:dyDescent="0.2">
      <c r="C20" s="2" t="str">
        <f ca="1">$C65</f>
        <v>RB Leipzig</v>
      </c>
      <c r="D20" s="1">
        <f t="shared" ca="1" si="4"/>
        <v>3</v>
      </c>
      <c r="E20" s="1">
        <f t="shared" ca="1" si="4"/>
        <v>0</v>
      </c>
      <c r="F20" s="1">
        <f t="shared" ca="1" si="4"/>
        <v>3</v>
      </c>
      <c r="G20" s="1">
        <f t="shared" ca="1" si="4"/>
        <v>0</v>
      </c>
      <c r="H20" s="1">
        <f t="shared" ca="1" si="5"/>
        <v>131</v>
      </c>
      <c r="I20" s="1">
        <f t="shared" ca="1" si="5"/>
        <v>134</v>
      </c>
      <c r="J20" s="13">
        <f t="shared" ca="1" si="5"/>
        <v>-3</v>
      </c>
      <c r="K20" s="1">
        <f t="shared" ca="1" si="5"/>
        <v>3</v>
      </c>
      <c r="L20" s="29">
        <f ca="1">K20*CalcE!$F$64+(J20+CalcE!$H$65)*CalcE!$F$65</f>
        <v>3497000</v>
      </c>
      <c r="M20" s="14">
        <f t="shared" ca="1" si="14"/>
        <v>2</v>
      </c>
      <c r="N20" s="14">
        <f t="array" aca="1" ref="N20" ca="1">IF($AI$15,SUM(($K$17:$K$25&gt;=K20)/COUNTIF($K$17:$K$25,$K$17:$K$25)),SUM(($L$17:$L$25&gt;=L20)/COUNTIF($L$17:$L$25,$L$17:$L$25)))</f>
        <v>2</v>
      </c>
      <c r="O20" s="6" t="str">
        <f t="shared" ca="1" si="6"/>
        <v/>
      </c>
      <c r="P20" s="4" t="str">
        <f t="shared" ca="1" si="7"/>
        <v>RB Leipzig</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1501000</v>
      </c>
      <c r="X20" s="22">
        <f t="shared" ca="1" si="15"/>
        <v>2.0108999999999999</v>
      </c>
      <c r="Y20" s="13">
        <f ca="1">'Endrunde 4'!$AI29</f>
        <v>0</v>
      </c>
      <c r="Z20" s="1">
        <f t="shared" ca="1" si="16"/>
        <v>1.9</v>
      </c>
      <c r="AA20" s="1">
        <f t="shared" ca="1" si="17"/>
        <v>1</v>
      </c>
      <c r="AB20" s="1">
        <f t="shared" ca="1" si="18"/>
        <v>1</v>
      </c>
      <c r="AC20" s="1"/>
      <c r="AD20" s="257">
        <f t="shared" ca="1" si="19"/>
        <v>2</v>
      </c>
      <c r="AE20" s="29">
        <f ca="1">(J20+CalcE!$H$65)*CalcE!$F$65</f>
        <v>497000</v>
      </c>
      <c r="AF20" s="1">
        <f t="shared" ca="1" si="20"/>
        <v>3</v>
      </c>
      <c r="AG20" s="1">
        <f t="shared" ca="1" si="21"/>
        <v>1</v>
      </c>
      <c r="AH20" s="260">
        <f t="shared" ca="1" si="22"/>
        <v>2.01031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4.0000000000000009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4.0000000000000009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4.0000000000000009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4.0000000000000009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4.0000000000000009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3">
        <v>1</v>
      </c>
      <c r="F29" s="990"/>
      <c r="G29" s="990"/>
      <c r="H29" s="990"/>
      <c r="I29" s="990"/>
      <c r="J29" s="990"/>
      <c r="K29" s="990"/>
      <c r="L29" s="992"/>
      <c r="M29" s="989">
        <v>2</v>
      </c>
      <c r="N29" s="990"/>
      <c r="O29" s="990"/>
      <c r="P29" s="990"/>
      <c r="Q29" s="990"/>
      <c r="R29" s="990"/>
      <c r="S29" s="990"/>
      <c r="T29" s="992"/>
      <c r="U29" s="989">
        <v>3</v>
      </c>
      <c r="V29" s="990"/>
      <c r="W29" s="990"/>
      <c r="X29" s="990"/>
      <c r="Y29" s="990"/>
      <c r="Z29" s="990"/>
      <c r="AA29" s="990"/>
      <c r="AB29" s="992"/>
      <c r="AC29" s="989">
        <v>4</v>
      </c>
      <c r="AD29" s="990"/>
      <c r="AE29" s="990"/>
      <c r="AF29" s="990"/>
      <c r="AG29" s="990"/>
      <c r="AH29" s="990"/>
      <c r="AI29" s="990"/>
      <c r="AJ29" s="992"/>
      <c r="AK29" s="989">
        <v>5</v>
      </c>
      <c r="AL29" s="990"/>
      <c r="AM29" s="990"/>
      <c r="AN29" s="990"/>
      <c r="AO29" s="990"/>
      <c r="AP29" s="990"/>
      <c r="AQ29" s="990"/>
      <c r="AR29" s="992"/>
      <c r="AS29" s="989">
        <v>6</v>
      </c>
      <c r="AT29" s="990"/>
      <c r="AU29" s="990"/>
      <c r="AV29" s="990"/>
      <c r="AW29" s="990"/>
      <c r="AX29" s="990"/>
      <c r="AY29" s="990"/>
      <c r="AZ29" s="992"/>
      <c r="BA29" s="989">
        <v>7</v>
      </c>
      <c r="BB29" s="990"/>
      <c r="BC29" s="990"/>
      <c r="BD29" s="990"/>
      <c r="BE29" s="990"/>
      <c r="BF29" s="990"/>
      <c r="BG29" s="990"/>
      <c r="BH29" s="992"/>
      <c r="BI29" s="989">
        <v>8</v>
      </c>
      <c r="BJ29" s="990"/>
      <c r="BK29" s="990"/>
      <c r="BL29" s="990"/>
      <c r="BM29" s="990"/>
      <c r="BN29" s="990"/>
      <c r="BO29" s="990"/>
      <c r="BP29" s="991"/>
      <c r="BQ29" s="13"/>
      <c r="BR29" s="5" t="s">
        <v>94</v>
      </c>
      <c r="BS29" s="2" t="str">
        <f ca="1">$F$4</f>
        <v>Maibach 1822 eV</v>
      </c>
      <c r="BT29" s="2" t="str">
        <f ca="1">$F$5</f>
        <v>Inter Mailand</v>
      </c>
      <c r="BU29" s="2" t="str">
        <f ca="1">$F$6</f>
        <v>1. FC Nürnberg</v>
      </c>
      <c r="BV29" s="2" t="str">
        <f ca="1">$F$7</f>
        <v>RB Leipzig</v>
      </c>
      <c r="BW29" s="2" t="str">
        <f>$F$8</f>
        <v/>
      </c>
      <c r="BX29" s="2" t="str">
        <f>$F$9</f>
        <v/>
      </c>
      <c r="BY29" s="2" t="str">
        <f>$F$10</f>
        <v/>
      </c>
      <c r="BZ29" s="2" t="str">
        <f>$F$11</f>
        <v/>
      </c>
      <c r="CA29" s="2" t="str">
        <f>$F$12</f>
        <v/>
      </c>
      <c r="CB29" s="51"/>
    </row>
    <row r="30" spans="2:80" s="2" customFormat="1" x14ac:dyDescent="0.2">
      <c r="C30" s="2" t="str">
        <f ca="1">$C62</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Maibach 1822 eV</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46</v>
      </c>
      <c r="BV30" s="8">
        <f ca="1">SUMIFS(CalcE!$X$64:$X$99,CalcE!$V$64:$V$99,$BR30,CalcE!$W$64:$W$99,BV$29)+SUMIFS(CalcE!$Y$64:$Y$99,CalcE!$W$64:$W$99,$BR30,CalcE!$V$64:$V$99,BV$29)+SUMIFS(CalcE!$AG$64:$AG$99,CalcE!$V$64:$V$99,$BR30,CalcE!$W$64:$W$99,BV$29)+SUMIFS(CalcE!$AH$64:$AH$99,CalcE!$W$64:$W$99,$BR30,CalcE!$V$64:$V$99,BV$29)</f>
        <v>44</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Inter Mailand</v>
      </c>
      <c r="BS31" s="9">
        <f ca="1">SUMIFS(CalcE!$X$64:$X$99,CalcE!$V$64:$V$99,$BR31,CalcE!$W$64:$W$99,BS$29)+SUMIFS(CalcE!$Y$64:$Y$99,CalcE!$W$64:$W$99,$BR31,CalcE!$V$64:$V$99,BS$29)+SUMIFS(CalcE!$AG$64:$AG$99,CalcE!$V$64:$V$99,$BR31,CalcE!$W$64:$W$99,BS$29)+SUMIFS(CalcE!$AH$64:$AH$99,CalcE!$W$64:$W$99,$BR31,CalcE!$V$64:$V$99,BS$29)</f>
        <v>44</v>
      </c>
      <c r="BT31" s="7"/>
      <c r="BU31" s="8">
        <f ca="1">SUMIFS(CalcE!$X$64:$X$99,CalcE!$V$64:$V$99,$BR31,CalcE!$W$64:$W$99,BU$29)+SUMIFS(CalcE!$Y$64:$Y$99,CalcE!$W$64:$W$99,$BR31,CalcE!$V$64:$V$99,BU$29)+SUMIFS(CalcE!$AG$64:$AG$99,CalcE!$V$64:$V$99,$BR31,CalcE!$W$64:$W$99,BU$29)+SUMIFS(CalcE!$AH$64:$AH$99,CalcE!$W$64:$W$99,$BR31,CalcE!$V$64:$V$99,BU$29)</f>
        <v>42</v>
      </c>
      <c r="BV31" s="8">
        <f ca="1">SUMIFS(CalcE!$X$64:$X$99,CalcE!$V$64:$V$99,$BR31,CalcE!$W$64:$W$99,BV$29)+SUMIFS(CalcE!$Y$64:$Y$99,CalcE!$W$64:$W$99,$BR31,CalcE!$V$64:$V$99,BV$29)+SUMIFS(CalcE!$AG$64:$AG$99,CalcE!$V$64:$V$99,$BR31,CalcE!$W$64:$W$99,BV$29)+SUMIFS(CalcE!$AH$64:$AH$99,CalcE!$W$64:$W$99,$BR31,CalcE!$V$64:$V$99,BV$29)</f>
        <v>45</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1</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1. FC Nürnberg</v>
      </c>
      <c r="BS32" s="9">
        <f ca="1">SUMIFS(CalcE!$X$64:$X$99,CalcE!$V$64:$V$99,$BR32,CalcE!$W$64:$W$99,BS$29)+SUMIFS(CalcE!$Y$64:$Y$99,CalcE!$W$64:$W$99,$BR32,CalcE!$V$64:$V$99,BS$29)+SUMIFS(CalcE!$AG$64:$AG$99,CalcE!$V$64:$V$99,$BR32,CalcE!$W$64:$W$99,BS$29)+SUMIFS(CalcE!$AH$64:$AH$99,CalcE!$W$64:$W$99,$BR32,CalcE!$V$64:$V$99,BS$29)</f>
        <v>43</v>
      </c>
      <c r="BT32" s="9">
        <f ca="1">SUMIFS(CalcE!$X$64:$X$99,CalcE!$V$64:$V$99,$BR32,CalcE!$W$64:$W$99,BT$29)+SUMIFS(CalcE!$Y$64:$Y$99,CalcE!$W$64:$W$99,$BR32,CalcE!$V$64:$V$99,BT$29)+SUMIFS(CalcE!$AG$64:$AG$99,CalcE!$V$64:$V$99,$BR32,CalcE!$W$64:$W$99,BT$29)+SUMIFS(CalcE!$AH$64:$AH$99,CalcE!$W$64:$W$99,$BR32,CalcE!$V$64:$V$99,BT$29)</f>
        <v>43</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1</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RB Leipzig</v>
      </c>
      <c r="BS33" s="9">
        <f ca="1">SUMIFS(CalcE!$X$64:$X$99,CalcE!$V$64:$V$99,$BR33,CalcE!$W$64:$W$99,BS$29)+SUMIFS(CalcE!$Y$64:$Y$99,CalcE!$W$64:$W$99,$BR33,CalcE!$V$64:$V$99,BS$29)+SUMIFS(CalcE!$AG$64:$AG$99,CalcE!$V$64:$V$99,$BR33,CalcE!$W$64:$W$99,BS$29)+SUMIFS(CalcE!$AH$64:$AH$99,CalcE!$W$64:$W$99,$BR33,CalcE!$V$64:$V$99,BS$29)</f>
        <v>47</v>
      </c>
      <c r="BT33" s="9">
        <f ca="1">SUMIFS(CalcE!$X$64:$X$99,CalcE!$V$64:$V$99,$BR33,CalcE!$W$64:$W$99,BT$29)+SUMIFS(CalcE!$Y$64:$Y$99,CalcE!$W$64:$W$99,$BR33,CalcE!$V$64:$V$99,BT$29)+SUMIFS(CalcE!$AG$64:$AG$99,CalcE!$V$64:$V$99,$BR33,CalcE!$W$64:$W$99,BT$29)+SUMIFS(CalcE!$AH$64:$AH$99,CalcE!$W$64:$W$99,$BR33,CalcE!$V$64:$V$99,BT$29)</f>
        <v>38</v>
      </c>
      <c r="BU33" s="9">
        <f ca="1">SUMIFS(CalcE!$X$64:$X$99,CalcE!$V$64:$V$99,$BR33,CalcE!$W$64:$W$99,BU$29)+SUMIFS(CalcE!$Y$64:$Y$99,CalcE!$W$64:$W$99,$BR33,CalcE!$V$64:$V$99,BU$29)+SUMIFS(CalcE!$AG$64:$AG$99,CalcE!$V$64:$V$99,$BR33,CalcE!$W$64:$W$99,BU$29)+SUMIFS(CalcE!$AH$64:$AH$99,CalcE!$W$64:$W$99,$BR33,CalcE!$V$64:$V$99,BU$29)</f>
        <v>46</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Maibach 1822 eV</v>
      </c>
      <c r="BT40" s="2" t="str">
        <f ca="1">$F$5</f>
        <v>Inter Mailand</v>
      </c>
      <c r="BU40" s="2" t="str">
        <f ca="1">$F$6</f>
        <v>1. FC Nürnberg</v>
      </c>
      <c r="BV40" s="2" t="str">
        <f ca="1">$F$7</f>
        <v>RB Leipzig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Maibach 1822 eV</v>
      </c>
      <c r="BS41" s="7"/>
      <c r="BT41" s="8">
        <f ca="1">BT30-BS31</f>
        <v>6</v>
      </c>
      <c r="BU41" s="8">
        <f ca="1">BU30-BS32</f>
        <v>3</v>
      </c>
      <c r="BV41" s="8">
        <f ca="1">BV30-BS33</f>
        <v>-3</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Inter Mailand</v>
      </c>
      <c r="BS42" s="9">
        <f ca="1">IF(BT41="","",-1*BT41)</f>
        <v>-6</v>
      </c>
      <c r="BT42" s="7"/>
      <c r="BU42" s="8">
        <f ca="1">BU31-BT32</f>
        <v>-1</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-1</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1. FC Nürnberg</v>
      </c>
      <c r="BS43" s="9">
        <f ca="1">IF(BU41="","",-1*BU41)</f>
        <v>-3</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1</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RB Leipzig</v>
      </c>
      <c r="BS44" s="9">
        <f ca="1">IF(BV41="","",-1*BV41)</f>
        <v>3</v>
      </c>
      <c r="BT44" s="9">
        <f ca="1">IF(BV42="","",-1*BV42)</f>
        <v>-7</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Maibach 1822 eV</v>
      </c>
      <c r="BT51" s="2" t="str">
        <f ca="1">$F$5</f>
        <v>Inter Mailand</v>
      </c>
      <c r="BU51" s="2" t="str">
        <f ca="1">$F$6</f>
        <v>1. FC Nürnberg</v>
      </c>
      <c r="BV51" s="2" t="str">
        <f ca="1">$F$7</f>
        <v>RB Leipzig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Maibach 1822 eV</v>
      </c>
      <c r="BS52" s="7"/>
      <c r="BT52" s="8">
        <f ca="1">SUMIFS(CalcE!$AE$64:$AE$99,CalcE!$V$64:$V$99,$BR52,CalcE!$W$64:$W$99,BT$51)+SUMIFS(CalcE!$AF$64:$AF$99,CalcE!$W$64:$W$99,$BR52,CalcE!$V$64:$V$99,BT$51)</f>
        <v>2</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Inter Mailand</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1. FC Nürnberg</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RB Leipzig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3" t="str">
        <f ca="1">IF('Endrunde 4'!$AG26="","",'Endrunde 4'!$AG26)</f>
        <v>Maibach 1822 eV</v>
      </c>
      <c r="D62" s="1004"/>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5" t="str">
        <f ca="1">IF('Endrunde 4'!$AG27="","",'Endrunde 4'!$AG27)</f>
        <v>Inter Mailand</v>
      </c>
      <c r="D63" s="1006"/>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5" t="str">
        <f ca="1">IF('Endrunde 4'!$AG28="","",'Endrunde 4'!$AG28)</f>
        <v>1. FC Nürnberg</v>
      </c>
      <c r="D64" s="1006"/>
      <c r="F64" s="312"/>
      <c r="G64" s="85"/>
      <c r="H64" s="4"/>
      <c r="I64" s="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1007" t="str">
        <f ca="1">IF('Endrunde 4'!$AG29="","",'Endrunde 4'!$AG29)</f>
        <v>RB Leipzig</v>
      </c>
      <c r="D65" s="1008"/>
      <c r="P65" s="4"/>
      <c r="Q65" s="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21"/>
      <c r="Q66" s="722"/>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21"/>
      <c r="Q67" s="722"/>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C62:D62"/>
    <mergeCell ref="C63:D63"/>
    <mergeCell ref="C64:D64"/>
    <mergeCell ref="C65:D65"/>
    <mergeCell ref="AS29:AZ29"/>
    <mergeCell ref="E29:L29"/>
    <mergeCell ref="M29:T29"/>
    <mergeCell ref="BA29:BH29"/>
    <mergeCell ref="BI29:BP29"/>
    <mergeCell ref="W3:AA3"/>
    <mergeCell ref="AB3:AF3"/>
    <mergeCell ref="AG3:AK3"/>
    <mergeCell ref="AL3:AP3"/>
    <mergeCell ref="AD15:AH15"/>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36"/>
      <c r="C2" s="736"/>
      <c r="D2" s="736"/>
      <c r="E2" s="736"/>
      <c r="F2" s="1"/>
      <c r="G2" s="1"/>
      <c r="H2" s="1"/>
      <c r="I2" s="1"/>
      <c r="J2" s="1" t="s">
        <v>376</v>
      </c>
      <c r="K2" s="1"/>
      <c r="L2" s="1"/>
      <c r="M2" s="1"/>
      <c r="N2" s="736"/>
      <c r="O2" s="1"/>
      <c r="P2" s="1"/>
      <c r="Q2" s="1"/>
    </row>
    <row r="3" spans="1:44" s="2" customFormat="1" ht="13.5" customHeight="1" thickBot="1" x14ac:dyDescent="0.25">
      <c r="B3" s="1"/>
      <c r="C3" s="736"/>
      <c r="D3" s="736"/>
      <c r="E3" s="736"/>
      <c r="F3" s="736"/>
      <c r="G3" s="69" t="s">
        <v>106</v>
      </c>
      <c r="H3" s="69" t="s">
        <v>107</v>
      </c>
      <c r="I3" s="734" t="s">
        <v>108</v>
      </c>
      <c r="J3" s="27" t="s">
        <v>109</v>
      </c>
      <c r="K3" s="734" t="s">
        <v>102</v>
      </c>
      <c r="L3" s="27" t="s">
        <v>103</v>
      </c>
      <c r="M3" s="27" t="s">
        <v>104</v>
      </c>
      <c r="N3" s="27" t="s">
        <v>105</v>
      </c>
      <c r="O3" s="736"/>
      <c r="P3" s="736"/>
      <c r="Q3" s="736"/>
      <c r="R3" s="736"/>
      <c r="S3" s="736"/>
      <c r="T3" s="736"/>
      <c r="U3" s="736"/>
      <c r="V3" s="736"/>
      <c r="W3" s="1009"/>
      <c r="X3" s="1010"/>
      <c r="Y3" s="1010"/>
      <c r="Z3" s="1010"/>
      <c r="AA3" s="1010"/>
      <c r="AB3" s="1009"/>
      <c r="AC3" s="1010"/>
      <c r="AD3" s="1010"/>
      <c r="AE3" s="1010"/>
      <c r="AF3" s="1010"/>
      <c r="AG3" s="1009"/>
      <c r="AH3" s="1010"/>
      <c r="AI3" s="1010"/>
      <c r="AJ3" s="1010"/>
      <c r="AK3" s="1010"/>
      <c r="AL3" s="1009"/>
      <c r="AM3" s="1010"/>
      <c r="AN3" s="1010"/>
      <c r="AO3" s="1010"/>
      <c r="AP3" s="1010"/>
    </row>
    <row r="4" spans="1:44" s="2" customFormat="1" ht="12.75" thickTop="1" x14ac:dyDescent="0.2">
      <c r="A4" s="251"/>
      <c r="B4" s="1">
        <v>1</v>
      </c>
      <c r="C4" s="21">
        <f ca="1">RANK(D4,$D$4:$D$12,1)</f>
        <v>4</v>
      </c>
      <c r="D4" s="736">
        <f ca="1">E4+ROW()/1000+(F4="")*10</f>
        <v>4.0039999999999996</v>
      </c>
      <c r="E4" s="263">
        <f ca="1">IF($AI$15,RANK(AH17,AH$17:AH$25,1),RANK(X17,X$17:X$25,1))</f>
        <v>4</v>
      </c>
      <c r="F4" s="1" t="str">
        <f ca="1">$C62</f>
        <v>FC Barcelona</v>
      </c>
      <c r="G4" s="1">
        <f ca="1">SUMIFS(CalcE!$X$64:$X$99,CalcE!$V$64:$V$99,$F4)+SUMIFS(CalcE!$Y$64:$Y$99,CalcE!$W$64:$W$99,$F4)+SUMIFS(CalcE!$AG$64:$AG$99,CalcE!$V$64:$V$99,$F4)+SUMIFS(CalcE!$AH$64:$AH$99,CalcE!$W$64:$W$99,$F4)</f>
        <v>123</v>
      </c>
      <c r="H4" s="1">
        <f ca="1">SUMIFS(CalcE!$Y$64:$Y$99,CalcE!$V$64:$V$99,$F4)+SUMIFS(CalcE!$X$64:$X$99,CalcE!$W$64:$W$99,$F4)+SUMIFS(CalcE!$AH$64:$AH$99,CalcE!$V$64:$V$99,$F4)+SUMIFS(CalcE!$AG$64:$AG$99,CalcE!$W$64:$W$99,$F4)</f>
        <v>139</v>
      </c>
      <c r="I4" s="736">
        <f ca="1">IF(Einstellungen!$G$7,G4-H4,IF(H4=0,IF(G4=0,0,Einstellungen!$F$7),G4/H4))</f>
        <v>-16</v>
      </c>
      <c r="J4" s="1">
        <f ca="1">SUMPRODUCT((CalcE!$V$64:$V$135=F4)*CalcE!$AE$64:$AE$135*CalcE!$AA$64:$AA$135)+SUMPRODUCT((CalcE!$W$64:$W$135=F4)*CalcE!$AF$64:$AF$135*CalcE!$AA$64:$AA$135)</f>
        <v>2</v>
      </c>
      <c r="K4" s="1">
        <f ca="1">SUMPRODUCT((CalcE!$V$64:$V$99=F4)*CalcE!$AA$64:$AA$99)+SUMPRODUCT((CalcE!$W$64:$W$99=F4)*CalcE!$AA$64:$AA$99)</f>
        <v>3</v>
      </c>
      <c r="L4" s="1">
        <f ca="1">K4-M4-N4</f>
        <v>0</v>
      </c>
      <c r="M4" s="1">
        <f ca="1">SUMPRODUCT((CalcE!$V$64:$W$99=F4)*(CalcE!$AE$64:$AE$99=CalcE!$AF$64:$AF$99)*CalcE!$AA$64:$AA$99)</f>
        <v>2</v>
      </c>
      <c r="N4" s="1">
        <f ca="1">SUMPRODUCT((CalcE!$V$64:$V$99=F4)*(CalcE!$AE$64:$AE$99&lt;CalcE!$AF$64:$AF$99)*CalcE!$AA$64:$AA$99)+SUMPRODUCT((CalcE!$W$64:$W$99=F4)*(CalcE!$AE$64:$AE$99&gt;CalcE!$AF$64:$AF$99)*CalcE!$AA$64:$AA$99)</f>
        <v>1</v>
      </c>
      <c r="O4" s="735"/>
      <c r="P4" s="735"/>
      <c r="Q4" s="735"/>
      <c r="R4" s="735"/>
      <c r="S4" s="4"/>
      <c r="T4" s="4"/>
      <c r="U4" s="4"/>
      <c r="V4" s="736"/>
      <c r="W4" s="635"/>
      <c r="X4" s="635"/>
      <c r="Y4" s="632"/>
      <c r="Z4" s="632"/>
      <c r="AA4" s="632"/>
      <c r="AB4" s="635"/>
      <c r="AC4" s="635"/>
      <c r="AD4" s="636"/>
      <c r="AE4" s="632"/>
      <c r="AF4" s="632"/>
      <c r="AG4" s="635"/>
      <c r="AH4" s="635"/>
      <c r="AI4" s="636"/>
      <c r="AJ4" s="632"/>
      <c r="AK4" s="632"/>
      <c r="AL4" s="635"/>
      <c r="AM4" s="635"/>
      <c r="AN4" s="636"/>
      <c r="AO4" s="632"/>
      <c r="AP4" s="632"/>
      <c r="AR4" s="2">
        <f ca="1">IF(Einstellungen!$G$7,$I4,ROUND($I4,Einstellungen!$H$7))</f>
        <v>-16</v>
      </c>
    </row>
    <row r="5" spans="1:44" s="2" customFormat="1" x14ac:dyDescent="0.2">
      <c r="A5" s="251"/>
      <c r="B5" s="1">
        <v>2</v>
      </c>
      <c r="C5" s="22">
        <f t="shared" ref="C5:C12" ca="1" si="0">RANK(D5,$D$4:$D$12,1)</f>
        <v>2</v>
      </c>
      <c r="D5" s="736">
        <f t="shared" ref="D5:D12" ca="1" si="1">E5+ROW()/1000+(F5="")*10</f>
        <v>2.0049999999999999</v>
      </c>
      <c r="E5" s="263">
        <f t="shared" ref="E5:E12" ca="1" si="2">IF($AI$15,RANK(AH18,AH$17:AH$25,1),RANK(X18,X$17:X$25,1))</f>
        <v>2</v>
      </c>
      <c r="F5" s="1" t="str">
        <f ca="1">$C63</f>
        <v>Manchester City</v>
      </c>
      <c r="G5" s="1">
        <f ca="1">SUMIFS(CalcE!$X$64:$X$99,CalcE!$V$64:$V$99,$F5)+SUMIFS(CalcE!$Y$64:$Y$99,CalcE!$W$64:$W$99,$F5)+SUMIFS(CalcE!$AG$64:$AG$99,CalcE!$V$64:$V$99,$F5)+SUMIFS(CalcE!$AH$64:$AH$99,CalcE!$W$64:$W$99,$F5)</f>
        <v>136</v>
      </c>
      <c r="H5" s="1">
        <f ca="1">SUMIFS(CalcE!$Y$64:$Y$99,CalcE!$V$64:$V$99,$F5)+SUMIFS(CalcE!$X$64:$X$99,CalcE!$W$64:$W$99,$F5)+SUMIFS(CalcE!$AH$64:$AH$99,CalcE!$V$64:$V$99,$F5)+SUMIFS(CalcE!$AG$64:$AG$99,CalcE!$W$64:$W$99,$F5)</f>
        <v>133</v>
      </c>
      <c r="I5" s="736">
        <f ca="1">IF(Einstellungen!$G$7,G5-H5,IF(H5=0,IF(G5=0,0,Einstellungen!$F$7),G5/H5))</f>
        <v>3</v>
      </c>
      <c r="J5" s="1">
        <f ca="1">SUMPRODUCT((CalcE!$V$64:$V$135=F5)*CalcE!$AE$64:$AE$135*CalcE!$AA$64:$AA$135)+SUMPRODUCT((CalcE!$W$64:$W$135=F5)*CalcE!$AF$64:$AF$135*CalcE!$AA$64:$AA$135)</f>
        <v>3</v>
      </c>
      <c r="K5" s="1">
        <f ca="1">SUMPRODUCT((CalcE!$V$64:$V$99=F5)*CalcE!$AA$64:$AA$99)+SUMPRODUCT((CalcE!$W$64:$W$99=F5)*CalcE!$AA$64:$AA$99)</f>
        <v>3</v>
      </c>
      <c r="L5" s="1">
        <f t="shared" ref="L5:L7" ca="1" si="3">K5-M5-N5</f>
        <v>1</v>
      </c>
      <c r="M5" s="1">
        <f ca="1">SUMPRODUCT((CalcE!$V$64:$W$99=F5)*(CalcE!$AE$64:$AE$99=CalcE!$AF$64:$AF$99)*CalcE!$AA$64:$AA$99)</f>
        <v>1</v>
      </c>
      <c r="N5" s="1">
        <f ca="1">SUMPRODUCT((CalcE!$V$64:$V$99=F5)*(CalcE!$AE$64:$AE$99&lt;CalcE!$AF$64:$AF$99)*CalcE!$AA$64:$AA$99)+SUMPRODUCT((CalcE!$W$64:$W$99=F5)*(CalcE!$AE$64:$AE$99&gt;CalcE!$AF$64:$AF$99)*CalcE!$AA$64:$AA$99)</f>
        <v>1</v>
      </c>
      <c r="O5" s="725"/>
      <c r="P5" s="726"/>
      <c r="Q5" s="4"/>
      <c r="R5" s="4"/>
      <c r="S5" s="4"/>
      <c r="T5" s="4"/>
      <c r="U5" s="4"/>
      <c r="V5" s="736"/>
      <c r="W5" s="635"/>
      <c r="X5" s="635"/>
      <c r="Y5" s="632"/>
      <c r="Z5" s="632"/>
      <c r="AA5" s="632"/>
      <c r="AB5" s="635"/>
      <c r="AC5" s="635"/>
      <c r="AD5" s="636"/>
      <c r="AE5" s="632"/>
      <c r="AF5" s="632"/>
      <c r="AG5" s="635"/>
      <c r="AH5" s="635"/>
      <c r="AI5" s="636"/>
      <c r="AJ5" s="632"/>
      <c r="AK5" s="632"/>
      <c r="AL5" s="635"/>
      <c r="AM5" s="635"/>
      <c r="AN5" s="636"/>
      <c r="AO5" s="632"/>
      <c r="AP5" s="632"/>
      <c r="AR5" s="2">
        <f ca="1">IF(Einstellungen!$G$7,$I5,ROUND($I5,Einstellungen!$H$7))</f>
        <v>3</v>
      </c>
    </row>
    <row r="6" spans="1:44" s="2" customFormat="1" x14ac:dyDescent="0.2">
      <c r="A6" s="251"/>
      <c r="B6" s="1">
        <v>3</v>
      </c>
      <c r="C6" s="22">
        <f t="shared" ca="1" si="0"/>
        <v>1</v>
      </c>
      <c r="D6" s="736">
        <f t="shared" ca="1" si="1"/>
        <v>1.006</v>
      </c>
      <c r="E6" s="263">
        <f t="shared" ca="1" si="2"/>
        <v>1</v>
      </c>
      <c r="F6" s="1" t="str">
        <f ca="1">$C64</f>
        <v>Real Madrid</v>
      </c>
      <c r="G6" s="1">
        <f ca="1">SUMIFS(CalcE!$X$64:$X$99,CalcE!$V$64:$V$99,$F6)+SUMIFS(CalcE!$Y$64:$Y$99,CalcE!$W$64:$W$99,$F6)+SUMIFS(CalcE!$AG$64:$AG$99,CalcE!$V$64:$V$99,$F6)+SUMIFS(CalcE!$AH$64:$AH$99,CalcE!$W$64:$W$99,$F6)</f>
        <v>137</v>
      </c>
      <c r="H6" s="1">
        <f ca="1">SUMIFS(CalcE!$Y$64:$Y$99,CalcE!$V$64:$V$99,$F6)+SUMIFS(CalcE!$X$64:$X$99,CalcE!$W$64:$W$99,$F6)+SUMIFS(CalcE!$AH$64:$AH$99,CalcE!$V$64:$V$99,$F6)+SUMIFS(CalcE!$AG$64:$AG$99,CalcE!$W$64:$W$99,$F6)</f>
        <v>123</v>
      </c>
      <c r="I6" s="736">
        <f ca="1">IF(Einstellungen!$G$7,G6-H6,IF(H6=0,IF(G6=0,0,Einstellungen!$F$7),G6/H6))</f>
        <v>14</v>
      </c>
      <c r="J6" s="1">
        <f ca="1">SUMPRODUCT((CalcE!$V$64:$V$135=F6)*CalcE!$AE$64:$AE$135*CalcE!$AA$64:$AA$135)+SUMPRODUCT((CalcE!$W$64:$W$135=F6)*CalcE!$AF$64:$AF$135*CalcE!$AA$64:$AA$135)</f>
        <v>4</v>
      </c>
      <c r="K6" s="1">
        <f ca="1">SUMPRODUCT((CalcE!$V$64:$V$99=F6)*CalcE!$AA$64:$AA$99)+SUMPRODUCT((CalcE!$W$64:$W$99=F6)*CalcE!$AA$64:$AA$99)</f>
        <v>3</v>
      </c>
      <c r="L6" s="1">
        <f t="shared" ca="1" si="3"/>
        <v>1</v>
      </c>
      <c r="M6" s="1">
        <f ca="1">SUMPRODUCT((CalcE!$V$64:$W$99=F6)*(CalcE!$AE$64:$AE$99=CalcE!$AF$64:$AF$99)*CalcE!$AA$64:$AA$99)</f>
        <v>2</v>
      </c>
      <c r="N6" s="1">
        <f ca="1">SUMPRODUCT((CalcE!$V$64:$V$99=F6)*(CalcE!$AE$64:$AE$99&lt;CalcE!$AF$64:$AF$99)*CalcE!$AA$64:$AA$99)+SUMPRODUCT((CalcE!$W$64:$W$99=F6)*(CalcE!$AE$64:$AE$99&gt;CalcE!$AF$64:$AF$99)*CalcE!$AA$64:$AA$99)</f>
        <v>0</v>
      </c>
      <c r="O6" s="725"/>
      <c r="P6" s="726"/>
      <c r="Q6" s="4"/>
      <c r="R6" s="4"/>
      <c r="S6" s="4"/>
      <c r="T6" s="4"/>
      <c r="U6" s="4"/>
      <c r="V6" s="736"/>
      <c r="W6" s="635"/>
      <c r="X6" s="635"/>
      <c r="Y6" s="632"/>
      <c r="Z6" s="632"/>
      <c r="AA6" s="632"/>
      <c r="AB6" s="635"/>
      <c r="AC6" s="635"/>
      <c r="AD6" s="636"/>
      <c r="AE6" s="632"/>
      <c r="AF6" s="632"/>
      <c r="AG6" s="635"/>
      <c r="AH6" s="635"/>
      <c r="AI6" s="636"/>
      <c r="AJ6" s="632"/>
      <c r="AK6" s="632"/>
      <c r="AL6" s="635"/>
      <c r="AM6" s="635"/>
      <c r="AN6" s="636"/>
      <c r="AO6" s="632"/>
      <c r="AP6" s="632"/>
      <c r="AR6" s="2">
        <f ca="1">IF(Einstellungen!$G$7,$I6,ROUND($I6,Einstellungen!$H$7))</f>
        <v>14</v>
      </c>
    </row>
    <row r="7" spans="1:44" s="2" customFormat="1" x14ac:dyDescent="0.2">
      <c r="A7" s="251"/>
      <c r="B7" s="1">
        <v>4</v>
      </c>
      <c r="C7" s="22">
        <f t="shared" ca="1" si="0"/>
        <v>3</v>
      </c>
      <c r="D7" s="736">
        <f t="shared" ca="1" si="1"/>
        <v>3.0070000000000001</v>
      </c>
      <c r="E7" s="263">
        <f t="shared" ca="1" si="2"/>
        <v>3</v>
      </c>
      <c r="F7" s="1" t="str">
        <f ca="1">$C65</f>
        <v>HSV</v>
      </c>
      <c r="G7" s="1">
        <f ca="1">SUMIFS(CalcE!$X$64:$X$99,CalcE!$V$64:$V$99,$F7)+SUMIFS(CalcE!$Y$64:$Y$99,CalcE!$W$64:$W$99,$F7)+SUMIFS(CalcE!$AG$64:$AG$99,CalcE!$V$64:$V$99,$F7)+SUMIFS(CalcE!$AH$64:$AH$99,CalcE!$W$64:$W$99,$F7)</f>
        <v>134</v>
      </c>
      <c r="H7" s="1">
        <f ca="1">SUMIFS(CalcE!$Y$64:$Y$99,CalcE!$V$64:$V$99,$F7)+SUMIFS(CalcE!$X$64:$X$99,CalcE!$W$64:$W$99,$F7)+SUMIFS(CalcE!$AH$64:$AH$99,CalcE!$V$64:$V$99,$F7)+SUMIFS(CalcE!$AG$64:$AG$99,CalcE!$W$64:$W$99,$F7)</f>
        <v>135</v>
      </c>
      <c r="I7" s="736">
        <f ca="1">IF(Einstellungen!$G$7,G7-H7,IF(H7=0,IF(G7=0,0,Einstellungen!$F$7),G7/H7))</f>
        <v>-1</v>
      </c>
      <c r="J7" s="1">
        <f ca="1">SUMPRODUCT((CalcE!$V$64:$V$135=F7)*CalcE!$AE$64:$AE$135*CalcE!$AA$64:$AA$135)+SUMPRODUCT((CalcE!$W$64:$W$135=F7)*CalcE!$AF$64:$AF$135*CalcE!$AA$64:$AA$135)</f>
        <v>3</v>
      </c>
      <c r="K7" s="1">
        <f ca="1">SUMPRODUCT((CalcE!$V$64:$V$99=F7)*CalcE!$AA$64:$AA$99)+SUMPRODUCT((CalcE!$W$64:$W$99=F7)*CalcE!$AA$64:$AA$99)</f>
        <v>3</v>
      </c>
      <c r="L7" s="1">
        <f t="shared" ca="1" si="3"/>
        <v>1</v>
      </c>
      <c r="M7" s="1">
        <f ca="1">SUMPRODUCT((CalcE!$V$64:$W$99=F7)*(CalcE!$AE$64:$AE$99=CalcE!$AF$64:$AF$99)*CalcE!$AA$64:$AA$99)</f>
        <v>1</v>
      </c>
      <c r="N7" s="1">
        <f ca="1">SUMPRODUCT((CalcE!$V$64:$V$99=F7)*(CalcE!$AE$64:$AE$99&lt;CalcE!$AF$64:$AF$99)*CalcE!$AA$64:$AA$99)+SUMPRODUCT((CalcE!$W$64:$W$99=F7)*(CalcE!$AE$64:$AE$99&gt;CalcE!$AF$64:$AF$99)*CalcE!$AA$64:$AA$99)</f>
        <v>1</v>
      </c>
      <c r="O7" s="725"/>
      <c r="P7" s="726"/>
      <c r="Q7" s="4"/>
      <c r="R7" s="4"/>
      <c r="S7" s="4"/>
      <c r="T7" s="4"/>
      <c r="U7" s="4"/>
      <c r="V7" s="736"/>
      <c r="W7" s="635"/>
      <c r="X7" s="635"/>
      <c r="Y7" s="632"/>
      <c r="Z7" s="632"/>
      <c r="AA7" s="632"/>
      <c r="AB7" s="635"/>
      <c r="AC7" s="635"/>
      <c r="AD7" s="636"/>
      <c r="AE7" s="632"/>
      <c r="AF7" s="632"/>
      <c r="AG7" s="635"/>
      <c r="AH7" s="635"/>
      <c r="AI7" s="636"/>
      <c r="AJ7" s="632"/>
      <c r="AK7" s="632"/>
      <c r="AL7" s="635"/>
      <c r="AM7" s="635"/>
      <c r="AN7" s="636"/>
      <c r="AO7" s="632"/>
      <c r="AP7" s="632"/>
      <c r="AR7" s="2">
        <f ca="1">IF(Einstellungen!$G$7,$I7,ROUND($I7,Einstellungen!$H$7))</f>
        <v>-1</v>
      </c>
    </row>
    <row r="8" spans="1:44" s="2" customFormat="1" x14ac:dyDescent="0.2">
      <c r="A8" s="251"/>
      <c r="B8" s="1">
        <v>5</v>
      </c>
      <c r="C8" s="22">
        <f t="shared" ca="1" si="0"/>
        <v>5</v>
      </c>
      <c r="D8" s="736">
        <f t="shared" ca="1" si="1"/>
        <v>15.007999999999999</v>
      </c>
      <c r="E8" s="263">
        <f t="shared" ca="1" si="2"/>
        <v>5</v>
      </c>
      <c r="F8" s="1" t="str">
        <f>""</f>
        <v/>
      </c>
      <c r="G8" s="1">
        <v>0</v>
      </c>
      <c r="H8" s="1">
        <v>0</v>
      </c>
      <c r="I8" s="736">
        <f>IF(Einstellungen!$G$7,G8-H8,IF(H8=0,IF(G8=0,0,Einstellungen!$F$7),G8/H8))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IF(Einstellungen!$G$7,$I8,ROUND($I8,Einstellungen!$H$7))</f>
        <v>0</v>
      </c>
    </row>
    <row r="9" spans="1:44" s="2" customFormat="1" x14ac:dyDescent="0.2">
      <c r="A9" s="251"/>
      <c r="B9" s="1">
        <v>6</v>
      </c>
      <c r="C9" s="22">
        <f t="shared" ca="1" si="0"/>
        <v>6</v>
      </c>
      <c r="D9" s="736">
        <f t="shared" ca="1" si="1"/>
        <v>15.009</v>
      </c>
      <c r="E9" s="263">
        <f t="shared" ca="1" si="2"/>
        <v>5</v>
      </c>
      <c r="F9" s="1" t="str">
        <f>""</f>
        <v/>
      </c>
      <c r="G9" s="1">
        <v>0</v>
      </c>
      <c r="H9" s="1">
        <v>0</v>
      </c>
      <c r="I9" s="736">
        <f>IF(Einstellungen!$G$7,G9-H9,IF(H9=0,IF(G9=0,0,Einstellungen!$F$7),G9/H9))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IF(Einstellungen!$G$7,$I9,ROUND($I9,Einstellungen!$H$7))</f>
        <v>0</v>
      </c>
    </row>
    <row r="10" spans="1:44" s="2" customFormat="1" x14ac:dyDescent="0.2">
      <c r="A10" s="251"/>
      <c r="B10" s="1">
        <v>7</v>
      </c>
      <c r="C10" s="22">
        <f t="shared" ca="1" si="0"/>
        <v>7</v>
      </c>
      <c r="D10" s="736">
        <f t="shared" ca="1" si="1"/>
        <v>15.01</v>
      </c>
      <c r="E10" s="263">
        <f t="shared" ca="1" si="2"/>
        <v>5</v>
      </c>
      <c r="F10" s="1" t="str">
        <f>""</f>
        <v/>
      </c>
      <c r="G10" s="1">
        <v>0</v>
      </c>
      <c r="H10" s="1">
        <v>0</v>
      </c>
      <c r="I10" s="736">
        <f>IF(Einstellungen!$G$7,G10-H10,IF(H10=0,IF(G10=0,0,Einstellungen!$F$7),G10/H10))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IF(Einstellungen!$G$7,$I10,ROUND($I10,Einstellungen!$H$7))</f>
        <v>0</v>
      </c>
    </row>
    <row r="11" spans="1:44" s="2" customFormat="1" x14ac:dyDescent="0.2">
      <c r="A11" s="251"/>
      <c r="B11" s="1">
        <v>8</v>
      </c>
      <c r="C11" s="22">
        <f t="shared" ca="1" si="0"/>
        <v>8</v>
      </c>
      <c r="D11" s="736">
        <f t="shared" ca="1" si="1"/>
        <v>15.010999999999999</v>
      </c>
      <c r="E11" s="263">
        <f t="shared" ca="1" si="2"/>
        <v>5</v>
      </c>
      <c r="F11" s="1" t="str">
        <f>""</f>
        <v/>
      </c>
      <c r="G11" s="1">
        <v>0</v>
      </c>
      <c r="H11" s="1">
        <v>0</v>
      </c>
      <c r="I11" s="736">
        <f>IF(Einstellungen!$G$7,G11-H11,IF(H11=0,IF(G11=0,0,Einstellungen!$F$7),G11/H11))</f>
        <v>0</v>
      </c>
      <c r="J11" s="1">
        <f ca="1">SUMPRODUCT((CalcE!$V$64:$V$135=F11)*CalcE!$AE$64:$AE$135*CalcE!$AA$64:$AA$135)+SUMPRODUCT((CalcE!$W$64:$W$135=F11)*CalcE!$AF$64:$AF$135*CalcE!$AA$64:$AA$135)</f>
        <v>0</v>
      </c>
      <c r="K11" s="1">
        <v>0</v>
      </c>
      <c r="L11" s="1">
        <v>0</v>
      </c>
      <c r="M11" s="1">
        <v>0</v>
      </c>
      <c r="N11" s="1">
        <v>0</v>
      </c>
      <c r="O11" s="736"/>
      <c r="P11" s="736"/>
      <c r="Q11" s="736"/>
      <c r="R11" s="736"/>
      <c r="S11" s="736"/>
      <c r="T11" s="736"/>
      <c r="U11" s="736"/>
      <c r="V11" s="736"/>
      <c r="W11" s="635"/>
      <c r="X11" s="635"/>
      <c r="Y11" s="632"/>
      <c r="Z11" s="632"/>
      <c r="AA11" s="632"/>
      <c r="AB11" s="635"/>
      <c r="AC11" s="635"/>
      <c r="AD11" s="636"/>
      <c r="AE11" s="632"/>
      <c r="AF11" s="632"/>
      <c r="AG11" s="635"/>
      <c r="AH11" s="635"/>
      <c r="AI11" s="636"/>
      <c r="AJ11" s="632"/>
      <c r="AK11" s="632"/>
      <c r="AL11" s="635"/>
      <c r="AM11" s="635"/>
      <c r="AN11" s="636"/>
      <c r="AO11" s="632"/>
      <c r="AP11" s="632"/>
      <c r="AR11" s="2">
        <f>IF(Einstellungen!$G$7,$I11,ROUND($I11,Einstellungen!$H$7))</f>
        <v>0</v>
      </c>
    </row>
    <row r="12" spans="1:44" s="2" customFormat="1" ht="12.75" thickBot="1" x14ac:dyDescent="0.25">
      <c r="A12" s="251"/>
      <c r="B12" s="1">
        <v>9</v>
      </c>
      <c r="C12" s="23">
        <f t="shared" ca="1" si="0"/>
        <v>9</v>
      </c>
      <c r="D12" s="736">
        <f t="shared" ca="1" si="1"/>
        <v>15.012</v>
      </c>
      <c r="E12" s="263">
        <f t="shared" ca="1" si="2"/>
        <v>5</v>
      </c>
      <c r="F12" s="1" t="str">
        <f>""</f>
        <v/>
      </c>
      <c r="G12" s="1">
        <v>0</v>
      </c>
      <c r="H12" s="1">
        <v>0</v>
      </c>
      <c r="I12" s="736">
        <f>IF(Einstellungen!$G$7,G12-H12,IF(H12=0,IF(G12=0,0,Einstellungen!$F$7),G12/H12))</f>
        <v>0</v>
      </c>
      <c r="J12" s="1">
        <f ca="1">SUMPRODUCT((CalcE!$V$64:$V$135=F12)*CalcE!$AE$64:$AE$135*CalcE!$AA$64:$AA$135)+SUMPRODUCT((CalcE!$W$64:$W$135=F12)*CalcE!$AF$64:$AF$135*CalcE!$AA$64:$AA$135)</f>
        <v>0</v>
      </c>
      <c r="K12" s="28">
        <v>0</v>
      </c>
      <c r="L12" s="1">
        <v>0</v>
      </c>
      <c r="M12" s="1">
        <v>0</v>
      </c>
      <c r="N12" s="1">
        <v>0</v>
      </c>
      <c r="O12" s="736"/>
      <c r="P12" s="736"/>
      <c r="Q12" s="736"/>
      <c r="R12" s="736"/>
      <c r="S12" s="736"/>
      <c r="T12" s="736"/>
      <c r="U12" s="736"/>
      <c r="V12" s="736"/>
      <c r="W12" s="635"/>
      <c r="X12" s="635"/>
      <c r="Y12" s="632"/>
      <c r="Z12" s="632"/>
      <c r="AA12" s="632"/>
      <c r="AB12" s="635"/>
      <c r="AC12" s="635"/>
      <c r="AD12" s="636"/>
      <c r="AE12" s="632"/>
      <c r="AF12" s="632"/>
      <c r="AG12" s="635"/>
      <c r="AH12" s="635"/>
      <c r="AI12" s="636"/>
      <c r="AJ12" s="632"/>
      <c r="AK12" s="632"/>
      <c r="AL12" s="635"/>
      <c r="AM12" s="635"/>
      <c r="AN12" s="636"/>
      <c r="AO12" s="632"/>
      <c r="AP12" s="632"/>
      <c r="AR12" s="2">
        <f>IF(Einstellungen!$G$7,$I12,ROUND($I12,Einstellungen!$H$7))</f>
        <v>0</v>
      </c>
    </row>
    <row r="13" spans="1:44" s="2" customFormat="1" ht="12.75" thickTop="1" x14ac:dyDescent="0.2">
      <c r="B13" s="736">
        <f ca="1">$F$13*($F$13-1)</f>
        <v>12</v>
      </c>
      <c r="C13" s="736"/>
      <c r="D13" s="736"/>
      <c r="E13" s="736"/>
      <c r="F13" s="736">
        <f ca="1">9-COUNTBLANK($F$4:$F$12)</f>
        <v>4</v>
      </c>
      <c r="G13" s="736"/>
      <c r="H13" s="736"/>
      <c r="I13" s="736"/>
      <c r="J13" s="736"/>
      <c r="K13" s="27">
        <f ca="1">QUOTIENT(SUM(K4:K12),2)</f>
        <v>6</v>
      </c>
      <c r="L13" s="1"/>
      <c r="M13" s="1"/>
      <c r="N13" s="1"/>
      <c r="O13" s="1"/>
      <c r="P13" s="1"/>
      <c r="Q13" s="1"/>
      <c r="R13" s="1"/>
      <c r="S13" s="1"/>
      <c r="T13" s="1"/>
      <c r="U13" s="1"/>
      <c r="V13" s="1"/>
      <c r="Y13" s="1"/>
      <c r="Z13" s="1"/>
    </row>
    <row r="14" spans="1:44" s="2" customFormat="1" x14ac:dyDescent="0.2">
      <c r="B14" s="736"/>
      <c r="C14" s="4"/>
      <c r="D14" s="736"/>
      <c r="E14" s="4"/>
      <c r="F14" s="736"/>
      <c r="O14" s="1"/>
      <c r="P14" s="1"/>
      <c r="Q14" s="1"/>
      <c r="R14" s="1"/>
      <c r="S14" s="1"/>
      <c r="T14" s="1"/>
      <c r="U14" s="1"/>
      <c r="V14" s="1"/>
      <c r="W14" s="1"/>
      <c r="Y14" s="1"/>
      <c r="Z14" s="1"/>
    </row>
    <row r="15" spans="1:44" s="2" customFormat="1" x14ac:dyDescent="0.2">
      <c r="O15" s="12"/>
      <c r="AD15" s="997" t="s">
        <v>179</v>
      </c>
      <c r="AE15" s="998"/>
      <c r="AF15" s="998"/>
      <c r="AG15" s="998"/>
      <c r="AH15" s="999"/>
      <c r="AI15" s="2" t="b">
        <v>0</v>
      </c>
      <c r="AK15" s="251"/>
    </row>
    <row r="16" spans="1:44" s="2" customFormat="1" ht="15.75" thickBot="1" x14ac:dyDescent="0.25">
      <c r="B16" s="13" t="s">
        <v>5</v>
      </c>
      <c r="C16" s="720" t="s">
        <v>97</v>
      </c>
      <c r="D16" s="720" t="s">
        <v>102</v>
      </c>
      <c r="E16" s="720" t="s">
        <v>103</v>
      </c>
      <c r="F16" s="720" t="s">
        <v>104</v>
      </c>
      <c r="G16" s="720" t="s">
        <v>105</v>
      </c>
      <c r="H16" s="720" t="s">
        <v>106</v>
      </c>
      <c r="I16" s="720" t="s">
        <v>107</v>
      </c>
      <c r="J16" s="720" t="s">
        <v>108</v>
      </c>
      <c r="K16" s="720"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FC Barcelona</v>
      </c>
      <c r="D17" s="1">
        <f t="shared" ref="D17:G20" ca="1" si="4">K4</f>
        <v>3</v>
      </c>
      <c r="E17" s="1">
        <f t="shared" ca="1" si="4"/>
        <v>0</v>
      </c>
      <c r="F17" s="1">
        <f t="shared" ca="1" si="4"/>
        <v>2</v>
      </c>
      <c r="G17" s="1">
        <f t="shared" ca="1" si="4"/>
        <v>1</v>
      </c>
      <c r="H17" s="1">
        <f t="shared" ref="H17:K20" ca="1" si="5">G4</f>
        <v>123</v>
      </c>
      <c r="I17" s="1">
        <f t="shared" ca="1" si="5"/>
        <v>139</v>
      </c>
      <c r="J17" s="13">
        <f t="shared" ca="1" si="5"/>
        <v>-16</v>
      </c>
      <c r="K17" s="1">
        <f t="shared" ca="1" si="5"/>
        <v>2</v>
      </c>
      <c r="L17" s="29">
        <f ca="1">K17*CalcE!$F$64+(J17+CalcE!$H$65)*CalcE!$F$65</f>
        <v>2484000</v>
      </c>
      <c r="M17" s="14">
        <f ca="1">IF($AI$15,COUNTIF($K$17:$K$25,K17),COUNTIF($L$17:$L$25,L17))</f>
        <v>1</v>
      </c>
      <c r="N17" s="14">
        <f t="array" aca="1" ref="N17" ca="1">IF($AI$15,SUM(($K$17:$K$25&gt;=K17)/COUNTIF($K$17:$K$25,$K$17:$K$25)),SUM(($L$17:$L$25&gt;=L17)/COUNTIF($L$17:$L$25,$L$17:$L$25)))</f>
        <v>4</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4.0108999999999995</v>
      </c>
      <c r="Y17" s="13">
        <f ca="1">'Endrunde 4'!$AI19</f>
        <v>0</v>
      </c>
      <c r="Z17" s="1">
        <f ca="1">RANK($W17,$W$17:$W$25)+(9-$Y17)/10</f>
        <v>1.9</v>
      </c>
      <c r="AA17" s="1">
        <f ca="1">SUM(E30:BP30)</f>
        <v>0</v>
      </c>
      <c r="AB17" s="1">
        <f ca="1">SUM(E41:BP41)</f>
        <v>0</v>
      </c>
      <c r="AC17" s="1"/>
      <c r="AD17" s="257">
        <f ca="1">RANK($K17,$K$17:$K$25)</f>
        <v>4</v>
      </c>
      <c r="AE17" s="29">
        <f ca="1">(J17+CalcE!$H$65)*CalcE!$F$65</f>
        <v>484000</v>
      </c>
      <c r="AF17" s="1">
        <f ca="1">RANK($AE17,$AE$17:$AE$25)</f>
        <v>4</v>
      </c>
      <c r="AG17" s="1">
        <f ca="1">RANK($W17,$W$17:$W$25)</f>
        <v>1</v>
      </c>
      <c r="AH17" s="259">
        <f ca="1">AD17+AG17/100+AF17/10000+(10-Y17)/1000000</f>
        <v>4.0104099999999994</v>
      </c>
      <c r="AI17" s="1"/>
    </row>
    <row r="18" spans="2:80" s="2" customFormat="1" x14ac:dyDescent="0.2">
      <c r="C18" s="2" t="str">
        <f ca="1">$C63</f>
        <v>Manchester City</v>
      </c>
      <c r="D18" s="1">
        <f t="shared" ca="1" si="4"/>
        <v>3</v>
      </c>
      <c r="E18" s="1">
        <f t="shared" ca="1" si="4"/>
        <v>1</v>
      </c>
      <c r="F18" s="1">
        <f t="shared" ca="1" si="4"/>
        <v>1</v>
      </c>
      <c r="G18" s="1">
        <f t="shared" ca="1" si="4"/>
        <v>1</v>
      </c>
      <c r="H18" s="1">
        <f t="shared" ca="1" si="5"/>
        <v>136</v>
      </c>
      <c r="I18" s="1">
        <f t="shared" ca="1" si="5"/>
        <v>133</v>
      </c>
      <c r="J18" s="13">
        <f t="shared" ca="1" si="5"/>
        <v>3</v>
      </c>
      <c r="K18" s="1">
        <f t="shared" ca="1" si="5"/>
        <v>3</v>
      </c>
      <c r="L18" s="29">
        <f ca="1">K18*CalcE!$F$64+(J18+CalcE!$H$65)*CalcE!$F$65</f>
        <v>3503000</v>
      </c>
      <c r="M18" s="14">
        <f t="shared" ref="M18:M25" ca="1" si="14">IF($AI$15,COUNTIF($K$17:$K$25,K18),COUNTIF($L$17:$L$25,L18))</f>
        <v>1</v>
      </c>
      <c r="N18" s="14">
        <f t="array" aca="1" ref="N18" ca="1">IF($AI$15,SUM(($K$17:$K$25&gt;=K18)/COUNTIF($K$17:$K$25,$K$17:$K$25)),SUM(($L$17:$L$25&gt;=L18)/COUNTIF($L$17:$L$25,$L$17:$L$25)))</f>
        <v>2</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2.0108999999999999</v>
      </c>
      <c r="Y18" s="13">
        <f ca="1">'Endrunde 4'!$AI20</f>
        <v>0</v>
      </c>
      <c r="Z18" s="1">
        <f t="shared" ref="Z18:Z25" ca="1" si="16">RANK($W18,$W$17:$W$25)+(9-$Y18)/10</f>
        <v>1.9</v>
      </c>
      <c r="AA18" s="1">
        <f t="shared" ref="AA18:AA20" ca="1" si="17">SUM(E31:BP31)</f>
        <v>0</v>
      </c>
      <c r="AB18" s="1">
        <f t="shared" ref="AB18:AB20" ca="1" si="18">SUM(E42:BP42)</f>
        <v>0</v>
      </c>
      <c r="AC18" s="1"/>
      <c r="AD18" s="257">
        <f t="shared" ref="AD18:AD25" ca="1" si="19">RANK($K18,$K$17:$K$25)</f>
        <v>2</v>
      </c>
      <c r="AE18" s="29">
        <f ca="1">(J18+CalcE!$H$65)*CalcE!$F$65</f>
        <v>503000</v>
      </c>
      <c r="AF18" s="1">
        <f t="shared" ref="AF18:AF25" ca="1" si="20">RANK($AE18,$AE$17:$AE$25)</f>
        <v>2</v>
      </c>
      <c r="AG18" s="1">
        <f t="shared" ref="AG18:AG25" ca="1" si="21">RANK($W18,$W$17:$W$25)</f>
        <v>1</v>
      </c>
      <c r="AH18" s="260">
        <f t="shared" ref="AH18:AH25" ca="1" si="22">AD18+AG18/100+AF18/10000+(10-Y18)/1000000</f>
        <v>2.0102099999999998</v>
      </c>
      <c r="AI18" s="1"/>
    </row>
    <row r="19" spans="2:80" s="2" customFormat="1" x14ac:dyDescent="0.2">
      <c r="C19" s="2" t="str">
        <f ca="1">$C64</f>
        <v>Real Madrid</v>
      </c>
      <c r="D19" s="1">
        <f t="shared" ca="1" si="4"/>
        <v>3</v>
      </c>
      <c r="E19" s="1">
        <f t="shared" ca="1" si="4"/>
        <v>1</v>
      </c>
      <c r="F19" s="1">
        <f t="shared" ca="1" si="4"/>
        <v>2</v>
      </c>
      <c r="G19" s="1">
        <f t="shared" ca="1" si="4"/>
        <v>0</v>
      </c>
      <c r="H19" s="1">
        <f t="shared" ca="1" si="5"/>
        <v>137</v>
      </c>
      <c r="I19" s="1">
        <f t="shared" ca="1" si="5"/>
        <v>123</v>
      </c>
      <c r="J19" s="13">
        <f t="shared" ca="1" si="5"/>
        <v>14</v>
      </c>
      <c r="K19" s="1">
        <f t="shared" ca="1" si="5"/>
        <v>4</v>
      </c>
      <c r="L19" s="29">
        <f ca="1">K19*CalcE!$F$64+(J19+CalcE!$H$65)*CalcE!$F$65</f>
        <v>4514000</v>
      </c>
      <c r="M19" s="14">
        <f t="shared" ca="1" si="14"/>
        <v>1</v>
      </c>
      <c r="N19" s="14">
        <f t="array" aca="1" ref="N19" ca="1">IF($AI$15,SUM(($K$17:$K$25&gt;=K19)/COUNTIF($K$17:$K$25,$K$17:$K$25)),SUM(($L$17:$L$25&gt;=L19)/COUNTIF($L$17:$L$25,$L$17:$L$25)))</f>
        <v>1</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1.0108999999999999</v>
      </c>
      <c r="Y19" s="13">
        <f ca="1">'Endrunde 4'!$AI21</f>
        <v>0</v>
      </c>
      <c r="Z19" s="1">
        <f t="shared" ca="1" si="16"/>
        <v>1.9</v>
      </c>
      <c r="AA19" s="1">
        <f t="shared" ca="1" si="17"/>
        <v>0</v>
      </c>
      <c r="AB19" s="1">
        <f t="shared" ca="1" si="18"/>
        <v>0</v>
      </c>
      <c r="AC19" s="1"/>
      <c r="AD19" s="257">
        <f t="shared" ca="1" si="19"/>
        <v>1</v>
      </c>
      <c r="AE19" s="29">
        <f ca="1">(J19+CalcE!$H$65)*CalcE!$F$65</f>
        <v>514000</v>
      </c>
      <c r="AF19" s="1">
        <f t="shared" ca="1" si="20"/>
        <v>1</v>
      </c>
      <c r="AG19" s="1">
        <f t="shared" ca="1" si="21"/>
        <v>1</v>
      </c>
      <c r="AH19" s="260">
        <f t="shared" ca="1" si="22"/>
        <v>1.0101100000000001</v>
      </c>
      <c r="AI19" s="1"/>
    </row>
    <row r="20" spans="2:80" s="2" customFormat="1" x14ac:dyDescent="0.2">
      <c r="C20" s="2" t="str">
        <f ca="1">$C65</f>
        <v>HSV</v>
      </c>
      <c r="D20" s="1">
        <f t="shared" ca="1" si="4"/>
        <v>3</v>
      </c>
      <c r="E20" s="1">
        <f t="shared" ca="1" si="4"/>
        <v>1</v>
      </c>
      <c r="F20" s="1">
        <f t="shared" ca="1" si="4"/>
        <v>1</v>
      </c>
      <c r="G20" s="1">
        <f t="shared" ca="1" si="4"/>
        <v>1</v>
      </c>
      <c r="H20" s="1">
        <f t="shared" ca="1" si="5"/>
        <v>134</v>
      </c>
      <c r="I20" s="1">
        <f t="shared" ca="1" si="5"/>
        <v>135</v>
      </c>
      <c r="J20" s="13">
        <f t="shared" ca="1" si="5"/>
        <v>-1</v>
      </c>
      <c r="K20" s="1">
        <f t="shared" ca="1" si="5"/>
        <v>3</v>
      </c>
      <c r="L20" s="29">
        <f ca="1">K20*CalcE!$F$64+(J20+CalcE!$H$65)*CalcE!$F$65</f>
        <v>3499000</v>
      </c>
      <c r="M20" s="14">
        <f t="shared" ca="1" si="14"/>
        <v>1</v>
      </c>
      <c r="N20" s="14">
        <f t="array" aca="1" ref="N20" ca="1">IF($AI$15,SUM(($K$17:$K$25&gt;=K20)/COUNTIF($K$17:$K$25,$K$17:$K$25)),SUM(($L$17:$L$25&gt;=L20)/COUNTIF($L$17:$L$25,$L$17:$L$25)))</f>
        <v>3</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3.0108999999999999</v>
      </c>
      <c r="Y20" s="13">
        <f ca="1">'Endrunde 4'!$AI22</f>
        <v>0</v>
      </c>
      <c r="Z20" s="1">
        <f t="shared" ca="1" si="16"/>
        <v>1.9</v>
      </c>
      <c r="AA20" s="1">
        <f t="shared" ca="1" si="17"/>
        <v>0</v>
      </c>
      <c r="AB20" s="1">
        <f t="shared" ca="1" si="18"/>
        <v>0</v>
      </c>
      <c r="AC20" s="1"/>
      <c r="AD20" s="257">
        <f t="shared" ca="1" si="19"/>
        <v>2</v>
      </c>
      <c r="AE20" s="29">
        <f ca="1">(J20+CalcE!$H$65)*CalcE!$F$65</f>
        <v>499000</v>
      </c>
      <c r="AF20" s="1">
        <f t="shared" ca="1" si="20"/>
        <v>3</v>
      </c>
      <c r="AG20" s="1">
        <f t="shared" ca="1" si="21"/>
        <v>1</v>
      </c>
      <c r="AH20" s="260">
        <f t="shared" ca="1" si="22"/>
        <v>2.01031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5.0000000000000009</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5</v>
      </c>
      <c r="AE21" s="29">
        <v>0</v>
      </c>
      <c r="AF21" s="1">
        <f t="shared" ca="1" si="20"/>
        <v>5</v>
      </c>
      <c r="AG21" s="1">
        <f t="shared" ca="1" si="21"/>
        <v>5</v>
      </c>
      <c r="AH21" s="260">
        <f t="shared" ca="1" si="22"/>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5.0000000000000009</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5</v>
      </c>
      <c r="AE22" s="29">
        <v>0</v>
      </c>
      <c r="AF22" s="1">
        <f t="shared" ca="1" si="20"/>
        <v>5</v>
      </c>
      <c r="AG22" s="1">
        <f t="shared" ca="1" si="21"/>
        <v>5</v>
      </c>
      <c r="AH22" s="260">
        <f t="shared" ca="1" si="22"/>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5.0000000000000009</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5</v>
      </c>
      <c r="AE23" s="29">
        <v>0</v>
      </c>
      <c r="AF23" s="1">
        <f t="shared" ca="1" si="20"/>
        <v>5</v>
      </c>
      <c r="AG23" s="1">
        <f t="shared" ca="1" si="21"/>
        <v>5</v>
      </c>
      <c r="AH23" s="260">
        <f t="shared" ca="1" si="22"/>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5.0000000000000009</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5</v>
      </c>
      <c r="AE24" s="29">
        <v>0</v>
      </c>
      <c r="AF24" s="1">
        <f t="shared" ca="1" si="20"/>
        <v>5</v>
      </c>
      <c r="AG24" s="1">
        <f t="shared" ca="1" si="21"/>
        <v>5</v>
      </c>
      <c r="AH24" s="260">
        <f t="shared" ca="1" si="22"/>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5.0000000000000009</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5</v>
      </c>
      <c r="AE25" s="29">
        <v>0</v>
      </c>
      <c r="AF25" s="1">
        <f t="shared" ca="1" si="20"/>
        <v>5</v>
      </c>
      <c r="AG25" s="1">
        <f t="shared" ca="1" si="21"/>
        <v>5</v>
      </c>
      <c r="AH25" s="261">
        <f t="shared" ca="1" si="22"/>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3">
        <v>1</v>
      </c>
      <c r="F29" s="990"/>
      <c r="G29" s="990"/>
      <c r="H29" s="990"/>
      <c r="I29" s="990"/>
      <c r="J29" s="990"/>
      <c r="K29" s="990"/>
      <c r="L29" s="992"/>
      <c r="M29" s="989">
        <v>2</v>
      </c>
      <c r="N29" s="990"/>
      <c r="O29" s="990"/>
      <c r="P29" s="990"/>
      <c r="Q29" s="990"/>
      <c r="R29" s="990"/>
      <c r="S29" s="990"/>
      <c r="T29" s="992"/>
      <c r="U29" s="989">
        <v>3</v>
      </c>
      <c r="V29" s="990"/>
      <c r="W29" s="990"/>
      <c r="X29" s="990"/>
      <c r="Y29" s="990"/>
      <c r="Z29" s="990"/>
      <c r="AA29" s="990"/>
      <c r="AB29" s="992"/>
      <c r="AC29" s="989">
        <v>4</v>
      </c>
      <c r="AD29" s="990"/>
      <c r="AE29" s="990"/>
      <c r="AF29" s="990"/>
      <c r="AG29" s="990"/>
      <c r="AH29" s="990"/>
      <c r="AI29" s="990"/>
      <c r="AJ29" s="992"/>
      <c r="AK29" s="989">
        <v>5</v>
      </c>
      <c r="AL29" s="990"/>
      <c r="AM29" s="990"/>
      <c r="AN29" s="990"/>
      <c r="AO29" s="990"/>
      <c r="AP29" s="990"/>
      <c r="AQ29" s="990"/>
      <c r="AR29" s="992"/>
      <c r="AS29" s="989">
        <v>6</v>
      </c>
      <c r="AT29" s="990"/>
      <c r="AU29" s="990"/>
      <c r="AV29" s="990"/>
      <c r="AW29" s="990"/>
      <c r="AX29" s="990"/>
      <c r="AY29" s="990"/>
      <c r="AZ29" s="992"/>
      <c r="BA29" s="989">
        <v>7</v>
      </c>
      <c r="BB29" s="990"/>
      <c r="BC29" s="990"/>
      <c r="BD29" s="990"/>
      <c r="BE29" s="990"/>
      <c r="BF29" s="990"/>
      <c r="BG29" s="990"/>
      <c r="BH29" s="992"/>
      <c r="BI29" s="989">
        <v>8</v>
      </c>
      <c r="BJ29" s="990"/>
      <c r="BK29" s="990"/>
      <c r="BL29" s="990"/>
      <c r="BM29" s="990"/>
      <c r="BN29" s="990"/>
      <c r="BO29" s="990"/>
      <c r="BP29" s="991"/>
      <c r="BQ29" s="13"/>
      <c r="BR29" s="5" t="s">
        <v>94</v>
      </c>
      <c r="BS29" s="2" t="str">
        <f ca="1">$F$4</f>
        <v>FC Barcelona</v>
      </c>
      <c r="BT29" s="2" t="str">
        <f ca="1">$F$5</f>
        <v>Manchester City</v>
      </c>
      <c r="BU29" s="2" t="str">
        <f ca="1">$F$6</f>
        <v>Real Madrid</v>
      </c>
      <c r="BV29" s="2" t="str">
        <f ca="1">$F$7</f>
        <v>HSV</v>
      </c>
      <c r="BW29" s="2" t="str">
        <f>$F$8</f>
        <v/>
      </c>
      <c r="BX29" s="2" t="str">
        <f>$F$9</f>
        <v/>
      </c>
      <c r="BY29" s="2" t="str">
        <f>$F$10</f>
        <v/>
      </c>
      <c r="BZ29" s="2" t="str">
        <f>$F$11</f>
        <v/>
      </c>
      <c r="CA29" s="2" t="str">
        <f>$F$12</f>
        <v/>
      </c>
      <c r="CB29" s="51"/>
    </row>
    <row r="30" spans="2:80" s="2" customFormat="1" x14ac:dyDescent="0.2">
      <c r="C30" s="2" t="str">
        <f ca="1">$C62</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FC Barcelona</v>
      </c>
      <c r="BS30" s="7"/>
      <c r="BT30" s="8">
        <f ca="1">SUMIFS(CalcE!$X$64:$X$99,CalcE!$V$64:$V$99,$BR30,CalcE!$W$64:$W$99,BT$29)+SUMIFS(CalcE!$Y$64:$Y$99,CalcE!$W$64:$W$99,$BR30,CalcE!$V$64:$V$99,BT$29)+SUMIFS(CalcE!$AG$64:$AG$99,CalcE!$V$64:$V$99,$BR30,CalcE!$W$64:$W$99,BT$29)+SUMIFS(CalcE!$AH$64:$AH$99,CalcE!$W$64:$W$99,$BR30,CalcE!$V$64:$V$99,BT$29)</f>
        <v>41</v>
      </c>
      <c r="BU30" s="8">
        <f ca="1">SUMIFS(CalcE!$X$64:$X$99,CalcE!$V$64:$V$99,$BR30,CalcE!$W$64:$W$99,BU$29)+SUMIFS(CalcE!$Y$64:$Y$99,CalcE!$W$64:$W$99,$BR30,CalcE!$V$64:$V$99,BU$29)+SUMIFS(CalcE!$AG$64:$AG$99,CalcE!$V$64:$V$99,$BR30,CalcE!$W$64:$W$99,BU$29)+SUMIFS(CalcE!$AH$64:$AH$99,CalcE!$W$64:$W$99,$BR30,CalcE!$V$64:$V$99,BU$29)</f>
        <v>39</v>
      </c>
      <c r="BV30" s="8">
        <f ca="1">SUMIFS(CalcE!$X$64:$X$99,CalcE!$V$64:$V$99,$BR30,CalcE!$W$64:$W$99,BV$29)+SUMIFS(CalcE!$Y$64:$Y$99,CalcE!$W$64:$W$99,$BR30,CalcE!$V$64:$V$99,BV$29)+SUMIFS(CalcE!$AG$64:$AG$99,CalcE!$V$64:$V$99,$BR30,CalcE!$W$64:$W$99,BV$29)+SUMIFS(CalcE!$AH$64:$AH$99,CalcE!$W$64:$W$99,$BR30,CalcE!$V$64:$V$99,BV$29)</f>
        <v>43</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Manchester City</v>
      </c>
      <c r="BS31" s="9">
        <f ca="1">SUMIFS(CalcE!$X$64:$X$99,CalcE!$V$64:$V$99,$BR31,CalcE!$W$64:$W$99,BS$29)+SUMIFS(CalcE!$Y$64:$Y$99,CalcE!$W$64:$W$99,$BR31,CalcE!$V$64:$V$99,BS$29)+SUMIFS(CalcE!$AG$64:$AG$99,CalcE!$V$64:$V$99,$BR31,CalcE!$W$64:$W$99,BS$29)+SUMIFS(CalcE!$AH$64:$AH$99,CalcE!$W$64:$W$99,$BR31,CalcE!$V$64:$V$99,BS$29)</f>
        <v>50</v>
      </c>
      <c r="BT31" s="7"/>
      <c r="BU31" s="8">
        <f ca="1">SUMIFS(CalcE!$X$64:$X$99,CalcE!$V$64:$V$99,$BR31,CalcE!$W$64:$W$99,BU$29)+SUMIFS(CalcE!$Y$64:$Y$99,CalcE!$W$64:$W$99,$BR31,CalcE!$V$64:$V$99,BU$29)+SUMIFS(CalcE!$AG$64:$AG$99,CalcE!$V$64:$V$99,$BR31,CalcE!$W$64:$W$99,BU$29)+SUMIFS(CalcE!$AH$64:$AH$99,CalcE!$W$64:$W$99,$BR31,CalcE!$V$64:$V$99,BU$29)</f>
        <v>44</v>
      </c>
      <c r="BV31" s="8">
        <f ca="1">SUMIFS(CalcE!$X$64:$X$99,CalcE!$V$64:$V$99,$BR31,CalcE!$W$64:$W$99,BV$29)+SUMIFS(CalcE!$Y$64:$Y$99,CalcE!$W$64:$W$99,$BR31,CalcE!$V$64:$V$99,BV$29)+SUMIFS(CalcE!$AG$64:$AG$99,CalcE!$V$64:$V$99,$BR31,CalcE!$W$64:$W$99,BV$29)+SUMIFS(CalcE!$AH$64:$AH$99,CalcE!$W$64:$W$99,$BR31,CalcE!$V$64:$V$99,BV$29)</f>
        <v>42</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Real Madrid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42</v>
      </c>
      <c r="BU32" s="7"/>
      <c r="BV32" s="8">
        <f ca="1">SUMIFS(CalcE!$X$64:$X$99,CalcE!$V$64:$V$99,$BR32,CalcE!$W$64:$W$99,BV$29)+SUMIFS(CalcE!$Y$64:$Y$99,CalcE!$W$64:$W$99,$BR32,CalcE!$V$64:$V$99,BV$29)+SUMIFS(CalcE!$AG$64:$AG$99,CalcE!$V$64:$V$99,$BR32,CalcE!$W$64:$W$99,BV$29)+SUMIFS(CalcE!$AH$64:$AH$99,CalcE!$W$64:$W$99,$BR32,CalcE!$V$64:$V$99,BV$29)</f>
        <v>50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HSV</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50</v>
      </c>
      <c r="BU33" s="9">
        <f ca="1">SUMIFS(CalcE!$X$64:$X$99,CalcE!$V$64:$V$99,$BR33,CalcE!$W$64:$W$99,BU$29)+SUMIFS(CalcE!$Y$64:$Y$99,CalcE!$W$64:$W$99,$BR33,CalcE!$V$64:$V$99,BU$29)+SUMIFS(CalcE!$AG$64:$AG$99,CalcE!$V$64:$V$99,$BR33,CalcE!$W$64:$W$99,BU$29)+SUMIFS(CalcE!$AH$64:$AH$99,CalcE!$W$64:$W$99,$BR33,CalcE!$V$64:$V$99,BU$29)</f>
        <v>40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FC Barcelona</v>
      </c>
      <c r="BT40" s="2" t="str">
        <f ca="1">$F$5</f>
        <v>Manchester City</v>
      </c>
      <c r="BU40" s="2" t="str">
        <f ca="1">$F$6</f>
        <v>Real Madrid</v>
      </c>
      <c r="BV40" s="2" t="str">
        <f ca="1">$F$7</f>
        <v>HSV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FC Barcelona</v>
      </c>
      <c r="BS41" s="7"/>
      <c r="BT41" s="8">
        <f ca="1">BT30-BS31</f>
        <v>-9</v>
      </c>
      <c r="BU41" s="8">
        <f ca="1">BU30-BS32</f>
        <v>-6</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Manchester City</v>
      </c>
      <c r="BS42" s="9">
        <f ca="1">IF(BT41="","",-1*BT41)</f>
        <v>9</v>
      </c>
      <c r="BT42" s="7"/>
      <c r="BU42" s="8">
        <f ca="1">BU31-BT32</f>
        <v>2</v>
      </c>
      <c r="BV42" s="8">
        <f ca="1">BV31-BT33</f>
        <v>-8</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Real Madrid</v>
      </c>
      <c r="BS43" s="9">
        <f ca="1">IF(BU41="","",-1*BU41)</f>
        <v>6</v>
      </c>
      <c r="BT43" s="9">
        <f ca="1">IF(BU42="","",-1*BU42)</f>
        <v>-2</v>
      </c>
      <c r="BU43" s="7"/>
      <c r="BV43" s="8">
        <f ca="1">BV32-BU33</f>
        <v>10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HSV</v>
      </c>
      <c r="BS44" s="9">
        <f ca="1">IF(BV41="","",-1*BV41)</f>
        <v>1</v>
      </c>
      <c r="BT44" s="9">
        <f ca="1">IF(BV42="","",-1*BV42)</f>
        <v>8</v>
      </c>
      <c r="BU44" s="9">
        <f ca="1">IF(BV43="","",-1*BV43)</f>
        <v>-10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Barcelona</v>
      </c>
      <c r="BT51" s="2" t="str">
        <f ca="1">$F$5</f>
        <v>Manchester City</v>
      </c>
      <c r="BU51" s="2" t="str">
        <f ca="1">$F$6</f>
        <v>Real Madrid</v>
      </c>
      <c r="BV51" s="2" t="str">
        <f ca="1">$F$7</f>
        <v>HSV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FC Barcelona</v>
      </c>
      <c r="BS52" s="7"/>
      <c r="BT52" s="8">
        <f ca="1">SUMIFS(CalcE!$AE$64:$AE$99,CalcE!$V$64:$V$99,$BR52,CalcE!$W$64:$W$99,BT$51)+SUMIFS(CalcE!$AF$64:$AF$99,CalcE!$W$64:$W$99,$BR52,CalcE!$V$64:$V$99,BT$51)</f>
        <v>0</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Manchester City</v>
      </c>
      <c r="BS53" s="9">
        <f ca="1">SUMIFS(CalcE!$AE$64:$AE$99,CalcE!$V$64:$V$99,$BR53,CalcE!$W$64:$W$99,BS$51)+SUMIFS(CalcE!$AF$64:$AF$99,CalcE!$W$64:$W$99,$BR53,CalcE!$V$64:$V$99,BS$51)</f>
        <v>2</v>
      </c>
      <c r="BT53" s="7"/>
      <c r="BU53" s="8">
        <f ca="1">SUMIFS(CalcE!$AE$64:$AE$99,CalcE!$V$64:$V$99,$BR53,CalcE!$W$64:$W$99,BU$51)+SUMIFS(CalcE!$AF$64:$AF$99,CalcE!$W$64:$W$99,$BR53,CalcE!$V$64:$V$99,BU$51)</f>
        <v>1</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Real Madrid</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2</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HSV</v>
      </c>
      <c r="BS55" s="9">
        <f ca="1">SUMIFS(CalcE!$AE$64:$AE$99,CalcE!$V$64:$V$99,$BR55,CalcE!$W$64:$W$99,BS$51)+SUMIFS(CalcE!$AF$64:$AF$99,CalcE!$W$64:$W$99,$BR55,CalcE!$V$64:$V$99,BS$51)</f>
        <v>1</v>
      </c>
      <c r="BT55" s="9">
        <f ca="1">SUMIFS(CalcE!$AE$64:$AE$99,CalcE!$V$64:$V$99,$BR55,CalcE!$W$64:$W$99,BT$51)+SUMIFS(CalcE!$AF$64:$AF$99,CalcE!$W$64:$W$99,$BR55,CalcE!$V$64:$V$99,BT$51)</f>
        <v>2</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3" t="str">
        <f ca="1">IF('Endrunde 4'!$AG19="","",'Endrunde 4'!$AG19)</f>
        <v>FC Barcelona</v>
      </c>
      <c r="D62" s="1004"/>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5" t="str">
        <f ca="1">IF('Endrunde 4'!$AG20="","",'Endrunde 4'!$AG20)</f>
        <v>Manchester City</v>
      </c>
      <c r="D63" s="1006"/>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5" t="str">
        <f ca="1">IF('Endrunde 4'!$AG21="","",'Endrunde 4'!$AG21)</f>
        <v>Real Madrid</v>
      </c>
      <c r="D64" s="1006"/>
      <c r="F64" s="312"/>
      <c r="G64" s="85"/>
      <c r="H64" s="4"/>
      <c r="I64" s="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1007" t="str">
        <f ca="1">IF('Endrunde 4'!$AG22="","",'Endrunde 4'!$AG22)</f>
        <v>HSV</v>
      </c>
      <c r="D65" s="1008"/>
      <c r="P65" s="4"/>
      <c r="Q65" s="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21"/>
      <c r="Q66" s="722"/>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21"/>
      <c r="Q67" s="722"/>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C62:D62"/>
    <mergeCell ref="C63:D63"/>
    <mergeCell ref="C64:D64"/>
    <mergeCell ref="C65:D65"/>
    <mergeCell ref="AS29:AZ29"/>
    <mergeCell ref="E29:L29"/>
    <mergeCell ref="M29:T29"/>
    <mergeCell ref="BA29:BH29"/>
    <mergeCell ref="BI29:BP29"/>
    <mergeCell ref="W3:AA3"/>
    <mergeCell ref="AB3:AF3"/>
    <mergeCell ref="AG3:AK3"/>
    <mergeCell ref="AL3:AP3"/>
    <mergeCell ref="AD15:AH15"/>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4" s="2" customFormat="1" x14ac:dyDescent="0.2"/>
    <row r="2" spans="1:44" s="2" customFormat="1" x14ac:dyDescent="0.2">
      <c r="B2" s="736"/>
      <c r="C2" s="736"/>
      <c r="D2" s="736"/>
      <c r="E2" s="736"/>
      <c r="F2" s="1"/>
      <c r="G2" s="1"/>
      <c r="H2" s="1"/>
      <c r="I2" s="1"/>
      <c r="J2" s="1" t="s">
        <v>376</v>
      </c>
      <c r="K2" s="1"/>
      <c r="L2" s="1"/>
      <c r="M2" s="1"/>
      <c r="N2" s="736"/>
      <c r="O2" s="1"/>
      <c r="P2" s="1"/>
      <c r="Q2" s="1"/>
    </row>
    <row r="3" spans="1:44" s="2" customFormat="1" ht="13.5" customHeight="1" thickBot="1" x14ac:dyDescent="0.25">
      <c r="B3" s="1"/>
      <c r="C3" s="736"/>
      <c r="D3" s="736"/>
      <c r="E3" s="736"/>
      <c r="F3" s="736"/>
      <c r="G3" s="69" t="s">
        <v>106</v>
      </c>
      <c r="H3" s="69" t="s">
        <v>107</v>
      </c>
      <c r="I3" s="734" t="s">
        <v>108</v>
      </c>
      <c r="J3" s="27" t="s">
        <v>109</v>
      </c>
      <c r="K3" s="734" t="s">
        <v>102</v>
      </c>
      <c r="L3" s="27" t="s">
        <v>103</v>
      </c>
      <c r="M3" s="27" t="s">
        <v>104</v>
      </c>
      <c r="N3" s="27" t="s">
        <v>105</v>
      </c>
      <c r="O3" s="736"/>
      <c r="P3" s="736"/>
      <c r="Q3" s="736"/>
      <c r="R3" s="736"/>
      <c r="S3" s="736"/>
      <c r="T3" s="736"/>
      <c r="U3" s="736"/>
      <c r="V3" s="736"/>
      <c r="W3" s="1009"/>
      <c r="X3" s="1010"/>
      <c r="Y3" s="1010"/>
      <c r="Z3" s="1010"/>
      <c r="AA3" s="1010"/>
      <c r="AB3" s="1009"/>
      <c r="AC3" s="1010"/>
      <c r="AD3" s="1010"/>
      <c r="AE3" s="1010"/>
      <c r="AF3" s="1010"/>
      <c r="AG3" s="1009"/>
      <c r="AH3" s="1010"/>
      <c r="AI3" s="1010"/>
      <c r="AJ3" s="1010"/>
      <c r="AK3" s="1010"/>
      <c r="AL3" s="1009"/>
      <c r="AM3" s="1010"/>
      <c r="AN3" s="1010"/>
      <c r="AO3" s="1010"/>
      <c r="AP3" s="1010"/>
    </row>
    <row r="4" spans="1:44" s="2" customFormat="1" ht="12.75" thickTop="1" x14ac:dyDescent="0.2">
      <c r="A4" s="251"/>
      <c r="B4" s="1">
        <v>1</v>
      </c>
      <c r="C4" s="21">
        <f ca="1">RANK(D4,$D$4:$D$12,1)</f>
        <v>1</v>
      </c>
      <c r="D4" s="736">
        <f ca="1">E4+ROW()/1000+(F4="")*10</f>
        <v>11.004</v>
      </c>
      <c r="E4" s="263">
        <f ca="1">IF($AI$15,RANK(AH17,AH$17:AH$25,1),RANK(X17,X$17:X$25,1))</f>
        <v>1</v>
      </c>
      <c r="F4" s="1" t="str">
        <f ca="1">$C62</f>
        <v/>
      </c>
      <c r="G4" s="1">
        <f ca="1">SUMIFS(CalcE!$X$64:$X$99,CalcE!$V$64:$V$99,$F4)+SUMIFS(CalcE!$Y$64:$Y$99,CalcE!$W$64:$W$99,$F4)+SUMIFS(CalcE!$AG$64:$AG$99,CalcE!$V$64:$V$99,$F4)+SUMIFS(CalcE!$AH$64:$AH$99,CalcE!$W$64:$W$99,$F4)</f>
        <v>0</v>
      </c>
      <c r="H4" s="1">
        <f ca="1">SUMIFS(CalcE!$Y$64:$Y$99,CalcE!$V$64:$V$99,$F4)+SUMIFS(CalcE!$X$64:$X$99,CalcE!$W$64:$W$99,$F4)+SUMIFS(CalcE!$AH$64:$AH$99,CalcE!$V$64:$V$99,$F4)+SUMIFS(CalcE!$AG$64:$AG$99,CalcE!$W$64:$W$99,$F4)</f>
        <v>0</v>
      </c>
      <c r="I4" s="736">
        <f ca="1">IF(Einstellungen!$G$7,G4-H4,IF(H4=0,IF(G4=0,0,Einstellungen!$F$7),G4/H4))</f>
        <v>0</v>
      </c>
      <c r="J4" s="1">
        <f ca="1">SUMPRODUCT((CalcE!$V$64:$V$135=F4)*CalcE!$AE$64:$AE$135*CalcE!$AA$64:$AA$135)+SUMPRODUCT((CalcE!$W$64:$W$135=F4)*CalcE!$AF$64:$AF$135*CalcE!$AA$64:$AA$135)</f>
        <v>0</v>
      </c>
      <c r="K4" s="1">
        <f ca="1">SUMPRODUCT((CalcE!$V$64:$V$99=F4)*CalcE!$AA$64:$AA$99)+SUMPRODUCT((CalcE!$W$64:$W$99=F4)*CalcE!$AA$64:$AA$99)</f>
        <v>0</v>
      </c>
      <c r="L4" s="1">
        <f ca="1">K4-M4-N4</f>
        <v>0</v>
      </c>
      <c r="M4" s="1">
        <f ca="1">SUMPRODUCT((CalcE!$V$64:$W$99=F4)*(CalcE!$AE$64:$AE$99=CalcE!$AF$64:$AF$99)*CalcE!$AA$64:$AA$99)</f>
        <v>0</v>
      </c>
      <c r="N4" s="1">
        <f ca="1">SUMPRODUCT((CalcE!$V$64:$V$99=F4)*(CalcE!$AE$64:$AE$99&lt;CalcE!$AF$64:$AF$99)*CalcE!$AA$64:$AA$99)+SUMPRODUCT((CalcE!$W$64:$W$99=F4)*(CalcE!$AE$64:$AE$99&gt;CalcE!$AF$64:$AF$99)*CalcE!$AA$64:$AA$99)</f>
        <v>0</v>
      </c>
      <c r="O4" s="735"/>
      <c r="P4" s="735"/>
      <c r="Q4" s="735"/>
      <c r="R4" s="735"/>
      <c r="S4" s="4"/>
      <c r="T4" s="4"/>
      <c r="U4" s="4"/>
      <c r="V4" s="736"/>
      <c r="W4" s="635"/>
      <c r="X4" s="635"/>
      <c r="Y4" s="632"/>
      <c r="Z4" s="632"/>
      <c r="AA4" s="632"/>
      <c r="AB4" s="635"/>
      <c r="AC4" s="635"/>
      <c r="AD4" s="636"/>
      <c r="AE4" s="632"/>
      <c r="AF4" s="632"/>
      <c r="AG4" s="635"/>
      <c r="AH4" s="635"/>
      <c r="AI4" s="636"/>
      <c r="AJ4" s="632"/>
      <c r="AK4" s="632"/>
      <c r="AL4" s="635"/>
      <c r="AM4" s="635"/>
      <c r="AN4" s="636"/>
      <c r="AO4" s="632"/>
      <c r="AP4" s="632"/>
      <c r="AR4" s="2">
        <f ca="1">IF(Einstellungen!$G$7,$I4,ROUND($I4,Einstellungen!$H$7))</f>
        <v>0</v>
      </c>
    </row>
    <row r="5" spans="1:44" s="2" customFormat="1" x14ac:dyDescent="0.2">
      <c r="A5" s="251"/>
      <c r="B5" s="1">
        <v>2</v>
      </c>
      <c r="C5" s="22">
        <f t="shared" ref="C5:C12" ca="1" si="0">RANK(D5,$D$4:$D$12,1)</f>
        <v>2</v>
      </c>
      <c r="D5" s="736">
        <f t="shared" ref="D5:D12" ca="1" si="1">E5+ROW()/1000+(F5="")*10</f>
        <v>11.004999999999999</v>
      </c>
      <c r="E5" s="263">
        <f t="shared" ref="E5:E12" ca="1" si="2">IF($AI$15,RANK(AH18,AH$17:AH$25,1),RANK(X18,X$17:X$25,1))</f>
        <v>1</v>
      </c>
      <c r="F5" s="1" t="str">
        <f ca="1">$C63</f>
        <v/>
      </c>
      <c r="G5" s="1">
        <f ca="1">SUMIFS(CalcE!$X$64:$X$99,CalcE!$V$64:$V$99,$F5)+SUMIFS(CalcE!$Y$64:$Y$99,CalcE!$W$64:$W$99,$F5)+SUMIFS(CalcE!$AG$64:$AG$99,CalcE!$V$64:$V$99,$F5)+SUMIFS(CalcE!$AH$64:$AH$99,CalcE!$W$64:$W$99,$F5)</f>
        <v>0</v>
      </c>
      <c r="H5" s="1">
        <f ca="1">SUMIFS(CalcE!$Y$64:$Y$99,CalcE!$V$64:$V$99,$F5)+SUMIFS(CalcE!$X$64:$X$99,CalcE!$W$64:$W$99,$F5)+SUMIFS(CalcE!$AH$64:$AH$99,CalcE!$V$64:$V$99,$F5)+SUMIFS(CalcE!$AG$64:$AG$99,CalcE!$W$64:$W$99,$F5)</f>
        <v>0</v>
      </c>
      <c r="I5" s="736">
        <f ca="1">IF(Einstellungen!$G$7,G5-H5,IF(H5=0,IF(G5=0,0,Einstellungen!$F$7),G5/H5))</f>
        <v>0</v>
      </c>
      <c r="J5" s="1">
        <f ca="1">SUMPRODUCT((CalcE!$V$64:$V$135=F5)*CalcE!$AE$64:$AE$135*CalcE!$AA$64:$AA$135)+SUMPRODUCT((CalcE!$W$64:$W$135=F5)*CalcE!$AF$64:$AF$135*CalcE!$AA$64:$AA$135)</f>
        <v>0</v>
      </c>
      <c r="K5" s="1">
        <f ca="1">SUMPRODUCT((CalcE!$V$64:$V$99=F5)*CalcE!$AA$64:$AA$99)+SUMPRODUCT((CalcE!$W$64:$W$99=F5)*CalcE!$AA$64:$AA$99)</f>
        <v>0</v>
      </c>
      <c r="L5" s="1">
        <f t="shared" ref="L5:L7" ca="1" si="3">K5-M5-N5</f>
        <v>0</v>
      </c>
      <c r="M5" s="1">
        <f ca="1">SUMPRODUCT((CalcE!$V$64:$W$99=F5)*(CalcE!$AE$64:$AE$99=CalcE!$AF$64:$AF$99)*CalcE!$AA$64:$AA$99)</f>
        <v>0</v>
      </c>
      <c r="N5" s="1">
        <f ca="1">SUMPRODUCT((CalcE!$V$64:$V$99=F5)*(CalcE!$AE$64:$AE$99&lt;CalcE!$AF$64:$AF$99)*CalcE!$AA$64:$AA$99)+SUMPRODUCT((CalcE!$W$64:$W$99=F5)*(CalcE!$AE$64:$AE$99&gt;CalcE!$AF$64:$AF$99)*CalcE!$AA$64:$AA$99)</f>
        <v>0</v>
      </c>
      <c r="O5" s="725"/>
      <c r="P5" s="726"/>
      <c r="Q5" s="4"/>
      <c r="R5" s="4"/>
      <c r="S5" s="4"/>
      <c r="T5" s="4"/>
      <c r="U5" s="4"/>
      <c r="V5" s="736"/>
      <c r="W5" s="635"/>
      <c r="X5" s="635"/>
      <c r="Y5" s="632"/>
      <c r="Z5" s="632"/>
      <c r="AA5" s="632"/>
      <c r="AB5" s="635"/>
      <c r="AC5" s="635"/>
      <c r="AD5" s="636"/>
      <c r="AE5" s="632"/>
      <c r="AF5" s="632"/>
      <c r="AG5" s="635"/>
      <c r="AH5" s="635"/>
      <c r="AI5" s="636"/>
      <c r="AJ5" s="632"/>
      <c r="AK5" s="632"/>
      <c r="AL5" s="635"/>
      <c r="AM5" s="635"/>
      <c r="AN5" s="636"/>
      <c r="AO5" s="632"/>
      <c r="AP5" s="632"/>
      <c r="AR5" s="2">
        <f ca="1">IF(Einstellungen!$G$7,$I5,ROUND($I5,Einstellungen!$H$7))</f>
        <v>0</v>
      </c>
    </row>
    <row r="6" spans="1:44" s="2" customFormat="1" x14ac:dyDescent="0.2">
      <c r="A6" s="251"/>
      <c r="B6" s="1">
        <v>3</v>
      </c>
      <c r="C6" s="22">
        <f t="shared" ca="1" si="0"/>
        <v>3</v>
      </c>
      <c r="D6" s="736">
        <f t="shared" ca="1" si="1"/>
        <v>11.006</v>
      </c>
      <c r="E6" s="263">
        <f t="shared" ca="1" si="2"/>
        <v>1</v>
      </c>
      <c r="F6" s="1" t="str">
        <f ca="1">$C64</f>
        <v/>
      </c>
      <c r="G6" s="1">
        <f ca="1">SUMIFS(CalcE!$X$64:$X$99,CalcE!$V$64:$V$99,$F6)+SUMIFS(CalcE!$Y$64:$Y$99,CalcE!$W$64:$W$99,$F6)+SUMIFS(CalcE!$AG$64:$AG$99,CalcE!$V$64:$V$99,$F6)+SUMIFS(CalcE!$AH$64:$AH$99,CalcE!$W$64:$W$99,$F6)</f>
        <v>0</v>
      </c>
      <c r="H6" s="1">
        <f ca="1">SUMIFS(CalcE!$Y$64:$Y$99,CalcE!$V$64:$V$99,$F6)+SUMIFS(CalcE!$X$64:$X$99,CalcE!$W$64:$W$99,$F6)+SUMIFS(CalcE!$AH$64:$AH$99,CalcE!$V$64:$V$99,$F6)+SUMIFS(CalcE!$AG$64:$AG$99,CalcE!$W$64:$W$99,$F6)</f>
        <v>0</v>
      </c>
      <c r="I6" s="736">
        <f ca="1">IF(Einstellungen!$G$7,G6-H6,IF(H6=0,IF(G6=0,0,Einstellungen!$F$7),G6/H6))</f>
        <v>0</v>
      </c>
      <c r="J6" s="1">
        <f ca="1">SUMPRODUCT((CalcE!$V$64:$V$135=F6)*CalcE!$AE$64:$AE$135*CalcE!$AA$64:$AA$135)+SUMPRODUCT((CalcE!$W$64:$W$135=F6)*CalcE!$AF$64:$AF$135*CalcE!$AA$64:$AA$135)</f>
        <v>0</v>
      </c>
      <c r="K6" s="1">
        <f ca="1">SUMPRODUCT((CalcE!$V$64:$V$99=F6)*CalcE!$AA$64:$AA$99)+SUMPRODUCT((CalcE!$W$64:$W$99=F6)*CalcE!$AA$64:$AA$99)</f>
        <v>0</v>
      </c>
      <c r="L6" s="1">
        <f t="shared" ca="1" si="3"/>
        <v>0</v>
      </c>
      <c r="M6" s="1">
        <f ca="1">SUMPRODUCT((CalcE!$V$64:$W$99=F6)*(CalcE!$AE$64:$AE$99=CalcE!$AF$64:$AF$99)*CalcE!$AA$64:$AA$99)</f>
        <v>0</v>
      </c>
      <c r="N6" s="1">
        <f ca="1">SUMPRODUCT((CalcE!$V$64:$V$99=F6)*(CalcE!$AE$64:$AE$99&lt;CalcE!$AF$64:$AF$99)*CalcE!$AA$64:$AA$99)+SUMPRODUCT((CalcE!$W$64:$W$99=F6)*(CalcE!$AE$64:$AE$99&gt;CalcE!$AF$64:$AF$99)*CalcE!$AA$64:$AA$99)</f>
        <v>0</v>
      </c>
      <c r="O6" s="725"/>
      <c r="P6" s="726"/>
      <c r="Q6" s="4"/>
      <c r="R6" s="4"/>
      <c r="S6" s="4"/>
      <c r="T6" s="4"/>
      <c r="U6" s="4"/>
      <c r="V6" s="736"/>
      <c r="W6" s="635"/>
      <c r="X6" s="635"/>
      <c r="Y6" s="632"/>
      <c r="Z6" s="632"/>
      <c r="AA6" s="632"/>
      <c r="AB6" s="635"/>
      <c r="AC6" s="635"/>
      <c r="AD6" s="636"/>
      <c r="AE6" s="632"/>
      <c r="AF6" s="632"/>
      <c r="AG6" s="635"/>
      <c r="AH6" s="635"/>
      <c r="AI6" s="636"/>
      <c r="AJ6" s="632"/>
      <c r="AK6" s="632"/>
      <c r="AL6" s="635"/>
      <c r="AM6" s="635"/>
      <c r="AN6" s="636"/>
      <c r="AO6" s="632"/>
      <c r="AP6" s="632"/>
      <c r="AR6" s="2">
        <f ca="1">IF(Einstellungen!$G$7,$I6,ROUND($I6,Einstellungen!$H$7))</f>
        <v>0</v>
      </c>
    </row>
    <row r="7" spans="1:44" s="2" customFormat="1" x14ac:dyDescent="0.2">
      <c r="A7" s="251"/>
      <c r="B7" s="1">
        <v>4</v>
      </c>
      <c r="C7" s="22">
        <f t="shared" ca="1" si="0"/>
        <v>4</v>
      </c>
      <c r="D7" s="736">
        <f t="shared" ca="1" si="1"/>
        <v>11.007</v>
      </c>
      <c r="E7" s="263">
        <f t="shared" ca="1" si="2"/>
        <v>1</v>
      </c>
      <c r="F7" s="1" t="str">
        <f ca="1">$C65</f>
        <v/>
      </c>
      <c r="G7" s="1">
        <f ca="1">SUMIFS(CalcE!$X$64:$X$99,CalcE!$V$64:$V$99,$F7)+SUMIFS(CalcE!$Y$64:$Y$99,CalcE!$W$64:$W$99,$F7)+SUMIFS(CalcE!$AG$64:$AG$99,CalcE!$V$64:$V$99,$F7)+SUMIFS(CalcE!$AH$64:$AH$99,CalcE!$W$64:$W$99,$F7)</f>
        <v>0</v>
      </c>
      <c r="H7" s="1">
        <f ca="1">SUMIFS(CalcE!$Y$64:$Y$99,CalcE!$V$64:$V$99,$F7)+SUMIFS(CalcE!$X$64:$X$99,CalcE!$W$64:$W$99,$F7)+SUMIFS(CalcE!$AH$64:$AH$99,CalcE!$V$64:$V$99,$F7)+SUMIFS(CalcE!$AG$64:$AG$99,CalcE!$W$64:$W$99,$F7)</f>
        <v>0</v>
      </c>
      <c r="I7" s="736">
        <f ca="1">IF(Einstellungen!$G$7,G7-H7,IF(H7=0,IF(G7=0,0,Einstellungen!$F$7),G7/H7))</f>
        <v>0</v>
      </c>
      <c r="J7" s="1">
        <f ca="1">SUMPRODUCT((CalcE!$V$64:$V$135=F7)*CalcE!$AE$64:$AE$135*CalcE!$AA$64:$AA$135)+SUMPRODUCT((CalcE!$W$64:$W$135=F7)*CalcE!$AF$64:$AF$135*CalcE!$AA$64:$AA$135)</f>
        <v>0</v>
      </c>
      <c r="K7" s="1">
        <f ca="1">SUMPRODUCT((CalcE!$V$64:$V$99=F7)*CalcE!$AA$64:$AA$99)+SUMPRODUCT((CalcE!$W$64:$W$99=F7)*CalcE!$AA$64:$AA$99)</f>
        <v>0</v>
      </c>
      <c r="L7" s="1">
        <f t="shared" ca="1" si="3"/>
        <v>0</v>
      </c>
      <c r="M7" s="1">
        <f ca="1">SUMPRODUCT((CalcE!$V$64:$W$99=F7)*(CalcE!$AE$64:$AE$99=CalcE!$AF$64:$AF$99)*CalcE!$AA$64:$AA$99)</f>
        <v>0</v>
      </c>
      <c r="N7" s="1">
        <f ca="1">SUMPRODUCT((CalcE!$V$64:$V$99=F7)*(CalcE!$AE$64:$AE$99&lt;CalcE!$AF$64:$AF$99)*CalcE!$AA$64:$AA$99)+SUMPRODUCT((CalcE!$W$64:$W$99=F7)*(CalcE!$AE$64:$AE$99&gt;CalcE!$AF$64:$AF$99)*CalcE!$AA$64:$AA$99)</f>
        <v>0</v>
      </c>
      <c r="O7" s="725"/>
      <c r="P7" s="726"/>
      <c r="Q7" s="4"/>
      <c r="R7" s="4"/>
      <c r="S7" s="4"/>
      <c r="T7" s="4"/>
      <c r="U7" s="4"/>
      <c r="V7" s="736"/>
      <c r="W7" s="635"/>
      <c r="X7" s="635"/>
      <c r="Y7" s="632"/>
      <c r="Z7" s="632"/>
      <c r="AA7" s="632"/>
      <c r="AB7" s="635"/>
      <c r="AC7" s="635"/>
      <c r="AD7" s="636"/>
      <c r="AE7" s="632"/>
      <c r="AF7" s="632"/>
      <c r="AG7" s="635"/>
      <c r="AH7" s="635"/>
      <c r="AI7" s="636"/>
      <c r="AJ7" s="632"/>
      <c r="AK7" s="632"/>
      <c r="AL7" s="635"/>
      <c r="AM7" s="635"/>
      <c r="AN7" s="636"/>
      <c r="AO7" s="632"/>
      <c r="AP7" s="632"/>
      <c r="AR7" s="2">
        <f ca="1">IF(Einstellungen!$G$7,$I7,ROUND($I7,Einstellungen!$H$7))</f>
        <v>0</v>
      </c>
    </row>
    <row r="8" spans="1:44" s="2" customFormat="1" x14ac:dyDescent="0.2">
      <c r="A8" s="251"/>
      <c r="B8" s="1">
        <v>5</v>
      </c>
      <c r="C8" s="22">
        <f t="shared" ca="1" si="0"/>
        <v>5</v>
      </c>
      <c r="D8" s="736">
        <f t="shared" ca="1" si="1"/>
        <v>15.007999999999999</v>
      </c>
      <c r="E8" s="263">
        <f t="shared" ca="1" si="2"/>
        <v>5</v>
      </c>
      <c r="F8" s="1" t="str">
        <f>""</f>
        <v/>
      </c>
      <c r="G8" s="1">
        <v>0</v>
      </c>
      <c r="H8" s="1">
        <v>0</v>
      </c>
      <c r="I8" s="736">
        <f>IF(Einstellungen!$G$7,G8-H8,IF(H8=0,IF(G8=0,0,Einstellungen!$F$7),G8/H8))</f>
        <v>0</v>
      </c>
      <c r="J8" s="1">
        <f ca="1">SUMPRODUCT((CalcE!$V$64:$V$135=F8)*CalcE!$AE$64:$AE$135*CalcE!$AA$64:$AA$135)+SUMPRODUCT((CalcE!$W$64:$W$135=F8)*CalcE!$AF$64:$AF$135*CalcE!$AA$64:$AA$135)</f>
        <v>0</v>
      </c>
      <c r="K8" s="1">
        <v>0</v>
      </c>
      <c r="L8" s="1">
        <v>0</v>
      </c>
      <c r="M8" s="1">
        <v>0</v>
      </c>
      <c r="N8" s="1">
        <v>0</v>
      </c>
      <c r="O8" s="4"/>
      <c r="P8" s="726"/>
      <c r="Q8" s="4"/>
      <c r="R8" s="4"/>
      <c r="S8" s="4"/>
      <c r="T8" s="4"/>
      <c r="U8" s="4"/>
      <c r="V8" s="4"/>
      <c r="W8" s="635"/>
      <c r="X8" s="635"/>
      <c r="Y8" s="632"/>
      <c r="Z8" s="632"/>
      <c r="AA8" s="632"/>
      <c r="AB8" s="635"/>
      <c r="AC8" s="635"/>
      <c r="AD8" s="636"/>
      <c r="AE8" s="632"/>
      <c r="AF8" s="632"/>
      <c r="AG8" s="635"/>
      <c r="AH8" s="635"/>
      <c r="AI8" s="636"/>
      <c r="AJ8" s="632"/>
      <c r="AK8" s="632"/>
      <c r="AL8" s="635"/>
      <c r="AM8" s="635"/>
      <c r="AN8" s="636"/>
      <c r="AO8" s="632"/>
      <c r="AP8" s="632"/>
      <c r="AR8" s="2">
        <f>IF(Einstellungen!$G$7,$I8,ROUND($I8,Einstellungen!$H$7))</f>
        <v>0</v>
      </c>
    </row>
    <row r="9" spans="1:44" s="2" customFormat="1" x14ac:dyDescent="0.2">
      <c r="A9" s="251"/>
      <c r="B9" s="1">
        <v>6</v>
      </c>
      <c r="C9" s="22">
        <f t="shared" ca="1" si="0"/>
        <v>6</v>
      </c>
      <c r="D9" s="736">
        <f t="shared" ca="1" si="1"/>
        <v>15.009</v>
      </c>
      <c r="E9" s="263">
        <f t="shared" ca="1" si="2"/>
        <v>5</v>
      </c>
      <c r="F9" s="1" t="str">
        <f>""</f>
        <v/>
      </c>
      <c r="G9" s="1">
        <v>0</v>
      </c>
      <c r="H9" s="1">
        <v>0</v>
      </c>
      <c r="I9" s="736">
        <f>IF(Einstellungen!$G$7,G9-H9,IF(H9=0,IF(G9=0,0,Einstellungen!$F$7),G9/H9))</f>
        <v>0</v>
      </c>
      <c r="J9" s="1">
        <f ca="1">SUMPRODUCT((CalcE!$V$64:$V$135=F9)*CalcE!$AE$64:$AE$135*CalcE!$AA$64:$AA$135)+SUMPRODUCT((CalcE!$W$64:$W$135=F9)*CalcE!$AF$64:$AF$135*CalcE!$AA$64:$AA$135)</f>
        <v>0</v>
      </c>
      <c r="K9" s="1">
        <v>0</v>
      </c>
      <c r="L9" s="1">
        <v>0</v>
      </c>
      <c r="M9" s="1">
        <v>0</v>
      </c>
      <c r="N9" s="1">
        <v>0</v>
      </c>
      <c r="O9" s="4"/>
      <c r="P9" s="726"/>
      <c r="Q9" s="4"/>
      <c r="R9" s="4"/>
      <c r="S9" s="4"/>
      <c r="T9" s="4"/>
      <c r="U9" s="4"/>
      <c r="V9" s="4"/>
      <c r="W9" s="635"/>
      <c r="X9" s="635"/>
      <c r="Y9" s="632"/>
      <c r="Z9" s="632"/>
      <c r="AA9" s="632"/>
      <c r="AB9" s="635"/>
      <c r="AC9" s="635"/>
      <c r="AD9" s="636"/>
      <c r="AE9" s="632"/>
      <c r="AF9" s="632"/>
      <c r="AG9" s="635"/>
      <c r="AH9" s="635"/>
      <c r="AI9" s="636"/>
      <c r="AJ9" s="632"/>
      <c r="AK9" s="632"/>
      <c r="AL9" s="635"/>
      <c r="AM9" s="635"/>
      <c r="AN9" s="636"/>
      <c r="AO9" s="632"/>
      <c r="AP9" s="632"/>
      <c r="AR9" s="2">
        <f>IF(Einstellungen!$G$7,$I9,ROUND($I9,Einstellungen!$H$7))</f>
        <v>0</v>
      </c>
    </row>
    <row r="10" spans="1:44" s="2" customFormat="1" x14ac:dyDescent="0.2">
      <c r="A10" s="251"/>
      <c r="B10" s="1">
        <v>7</v>
      </c>
      <c r="C10" s="22">
        <f t="shared" ca="1" si="0"/>
        <v>7</v>
      </c>
      <c r="D10" s="736">
        <f t="shared" ca="1" si="1"/>
        <v>15.01</v>
      </c>
      <c r="E10" s="263">
        <f t="shared" ca="1" si="2"/>
        <v>5</v>
      </c>
      <c r="F10" s="1" t="str">
        <f>""</f>
        <v/>
      </c>
      <c r="G10" s="1">
        <v>0</v>
      </c>
      <c r="H10" s="1">
        <v>0</v>
      </c>
      <c r="I10" s="736">
        <f>IF(Einstellungen!$G$7,G10-H10,IF(H10=0,IF(G10=0,0,Einstellungen!$F$7),G10/H10))</f>
        <v>0</v>
      </c>
      <c r="J10" s="1">
        <f ca="1">SUMPRODUCT((CalcE!$V$64:$V$135=F10)*CalcE!$AE$64:$AE$135*CalcE!$AA$64:$AA$135)+SUMPRODUCT((CalcE!$W$64:$W$135=F10)*CalcE!$AF$64:$AF$135*CalcE!$AA$64:$AA$135)</f>
        <v>0</v>
      </c>
      <c r="K10" s="1">
        <v>0</v>
      </c>
      <c r="L10" s="1">
        <v>0</v>
      </c>
      <c r="M10" s="1">
        <v>0</v>
      </c>
      <c r="N10" s="1">
        <v>0</v>
      </c>
      <c r="O10" s="4"/>
      <c r="P10" s="726"/>
      <c r="Q10" s="4"/>
      <c r="R10" s="4"/>
      <c r="S10" s="4"/>
      <c r="T10" s="4"/>
      <c r="U10" s="4"/>
      <c r="V10" s="4"/>
      <c r="W10" s="635"/>
      <c r="X10" s="635"/>
      <c r="Y10" s="632"/>
      <c r="Z10" s="632"/>
      <c r="AA10" s="632"/>
      <c r="AB10" s="635"/>
      <c r="AC10" s="635"/>
      <c r="AD10" s="636"/>
      <c r="AE10" s="632"/>
      <c r="AF10" s="632"/>
      <c r="AG10" s="635"/>
      <c r="AH10" s="635"/>
      <c r="AI10" s="636"/>
      <c r="AJ10" s="632"/>
      <c r="AK10" s="632"/>
      <c r="AL10" s="635"/>
      <c r="AM10" s="635"/>
      <c r="AN10" s="636"/>
      <c r="AO10" s="632"/>
      <c r="AP10" s="632"/>
      <c r="AR10" s="2">
        <f>IF(Einstellungen!$G$7,$I10,ROUND($I10,Einstellungen!$H$7))</f>
        <v>0</v>
      </c>
    </row>
    <row r="11" spans="1:44" s="2" customFormat="1" x14ac:dyDescent="0.2">
      <c r="A11" s="251"/>
      <c r="B11" s="1">
        <v>8</v>
      </c>
      <c r="C11" s="22">
        <f t="shared" ca="1" si="0"/>
        <v>8</v>
      </c>
      <c r="D11" s="736">
        <f t="shared" ca="1" si="1"/>
        <v>15.010999999999999</v>
      </c>
      <c r="E11" s="263">
        <f t="shared" ca="1" si="2"/>
        <v>5</v>
      </c>
      <c r="F11" s="1" t="str">
        <f>""</f>
        <v/>
      </c>
      <c r="G11" s="1">
        <v>0</v>
      </c>
      <c r="H11" s="1">
        <v>0</v>
      </c>
      <c r="I11" s="736">
        <f>IF(Einstellungen!$G$7,G11-H11,IF(H11=0,IF(G11=0,0,Einstellungen!$F$7),G11/H11))</f>
        <v>0</v>
      </c>
      <c r="J11" s="1">
        <f ca="1">SUMPRODUCT((CalcE!$V$64:$V$135=F11)*CalcE!$AE$64:$AE$135*CalcE!$AA$64:$AA$135)+SUMPRODUCT((CalcE!$W$64:$W$135=F11)*CalcE!$AF$64:$AF$135*CalcE!$AA$64:$AA$135)</f>
        <v>0</v>
      </c>
      <c r="K11" s="1">
        <v>0</v>
      </c>
      <c r="L11" s="1">
        <v>0</v>
      </c>
      <c r="M11" s="1">
        <v>0</v>
      </c>
      <c r="N11" s="1">
        <v>0</v>
      </c>
      <c r="O11" s="736"/>
      <c r="P11" s="736"/>
      <c r="Q11" s="736"/>
      <c r="R11" s="736"/>
      <c r="S11" s="736"/>
      <c r="T11" s="736"/>
      <c r="U11" s="736"/>
      <c r="V11" s="736"/>
      <c r="W11" s="635"/>
      <c r="X11" s="635"/>
      <c r="Y11" s="632"/>
      <c r="Z11" s="632"/>
      <c r="AA11" s="632"/>
      <c r="AB11" s="635"/>
      <c r="AC11" s="635"/>
      <c r="AD11" s="636"/>
      <c r="AE11" s="632"/>
      <c r="AF11" s="632"/>
      <c r="AG11" s="635"/>
      <c r="AH11" s="635"/>
      <c r="AI11" s="636"/>
      <c r="AJ11" s="632"/>
      <c r="AK11" s="632"/>
      <c r="AL11" s="635"/>
      <c r="AM11" s="635"/>
      <c r="AN11" s="636"/>
      <c r="AO11" s="632"/>
      <c r="AP11" s="632"/>
      <c r="AR11" s="2">
        <f>IF(Einstellungen!$G$7,$I11,ROUND($I11,Einstellungen!$H$7))</f>
        <v>0</v>
      </c>
    </row>
    <row r="12" spans="1:44" s="2" customFormat="1" ht="12.75" thickBot="1" x14ac:dyDescent="0.25">
      <c r="A12" s="251"/>
      <c r="B12" s="1">
        <v>9</v>
      </c>
      <c r="C12" s="23">
        <f t="shared" ca="1" si="0"/>
        <v>9</v>
      </c>
      <c r="D12" s="736">
        <f t="shared" ca="1" si="1"/>
        <v>15.012</v>
      </c>
      <c r="E12" s="263">
        <f t="shared" ca="1" si="2"/>
        <v>5</v>
      </c>
      <c r="F12" s="1" t="str">
        <f>""</f>
        <v/>
      </c>
      <c r="G12" s="1">
        <v>0</v>
      </c>
      <c r="H12" s="1">
        <v>0</v>
      </c>
      <c r="I12" s="736">
        <f>IF(Einstellungen!$G$7,G12-H12,IF(H12=0,IF(G12=0,0,Einstellungen!$F$7),G12/H12))</f>
        <v>0</v>
      </c>
      <c r="J12" s="1">
        <f ca="1">SUMPRODUCT((CalcE!$V$64:$V$135=F12)*CalcE!$AE$64:$AE$135*CalcE!$AA$64:$AA$135)+SUMPRODUCT((CalcE!$W$64:$W$135=F12)*CalcE!$AF$64:$AF$135*CalcE!$AA$64:$AA$135)</f>
        <v>0</v>
      </c>
      <c r="K12" s="28">
        <v>0</v>
      </c>
      <c r="L12" s="1">
        <v>0</v>
      </c>
      <c r="M12" s="1">
        <v>0</v>
      </c>
      <c r="N12" s="1">
        <v>0</v>
      </c>
      <c r="O12" s="736"/>
      <c r="P12" s="736"/>
      <c r="Q12" s="736"/>
      <c r="R12" s="736"/>
      <c r="S12" s="736"/>
      <c r="T12" s="736"/>
      <c r="U12" s="736"/>
      <c r="V12" s="736"/>
      <c r="W12" s="635"/>
      <c r="X12" s="635"/>
      <c r="Y12" s="632"/>
      <c r="Z12" s="632"/>
      <c r="AA12" s="632"/>
      <c r="AB12" s="635"/>
      <c r="AC12" s="635"/>
      <c r="AD12" s="636"/>
      <c r="AE12" s="632"/>
      <c r="AF12" s="632"/>
      <c r="AG12" s="635"/>
      <c r="AH12" s="635"/>
      <c r="AI12" s="636"/>
      <c r="AJ12" s="632"/>
      <c r="AK12" s="632"/>
      <c r="AL12" s="635"/>
      <c r="AM12" s="635"/>
      <c r="AN12" s="636"/>
      <c r="AO12" s="632"/>
      <c r="AP12" s="632"/>
      <c r="AR12" s="2">
        <f>IF(Einstellungen!$G$7,$I12,ROUND($I12,Einstellungen!$H$7))</f>
        <v>0</v>
      </c>
    </row>
    <row r="13" spans="1:44" s="2" customFormat="1" ht="12.75" thickTop="1" x14ac:dyDescent="0.2">
      <c r="B13" s="736">
        <f ca="1">$F$13*($F$13-1)</f>
        <v>0</v>
      </c>
      <c r="C13" s="736"/>
      <c r="D13" s="736"/>
      <c r="E13" s="736"/>
      <c r="F13" s="736">
        <f ca="1">9-COUNTBLANK($F$4:$F$12)</f>
        <v>0</v>
      </c>
      <c r="G13" s="736"/>
      <c r="H13" s="736"/>
      <c r="I13" s="736"/>
      <c r="J13" s="736"/>
      <c r="K13" s="27">
        <f ca="1">QUOTIENT(SUM(K4:K12),2)</f>
        <v>0</v>
      </c>
      <c r="L13" s="1"/>
      <c r="M13" s="1"/>
      <c r="N13" s="1"/>
      <c r="O13" s="1"/>
      <c r="P13" s="1"/>
      <c r="Q13" s="1"/>
      <c r="R13" s="1"/>
      <c r="S13" s="1"/>
      <c r="T13" s="1"/>
      <c r="U13" s="1"/>
      <c r="V13" s="1"/>
      <c r="Y13" s="1"/>
      <c r="Z13" s="1"/>
    </row>
    <row r="14" spans="1:44" s="2" customFormat="1" x14ac:dyDescent="0.2">
      <c r="B14" s="736"/>
      <c r="C14" s="4"/>
      <c r="D14" s="736"/>
      <c r="E14" s="4"/>
      <c r="F14" s="736"/>
      <c r="O14" s="1"/>
      <c r="P14" s="1"/>
      <c r="Q14" s="1"/>
      <c r="R14" s="1"/>
      <c r="S14" s="1"/>
      <c r="T14" s="1"/>
      <c r="U14" s="1"/>
      <c r="V14" s="1"/>
      <c r="W14" s="1"/>
      <c r="Y14" s="1"/>
      <c r="Z14" s="1"/>
    </row>
    <row r="15" spans="1:44" s="2" customFormat="1" x14ac:dyDescent="0.2">
      <c r="O15" s="12"/>
      <c r="AD15" s="997" t="s">
        <v>179</v>
      </c>
      <c r="AE15" s="998"/>
      <c r="AF15" s="998"/>
      <c r="AG15" s="998"/>
      <c r="AH15" s="999"/>
      <c r="AI15" s="2" t="b">
        <v>0</v>
      </c>
      <c r="AK15" s="251"/>
    </row>
    <row r="16" spans="1:44" s="2" customFormat="1" ht="15.75" thickBot="1" x14ac:dyDescent="0.25">
      <c r="B16" s="13" t="s">
        <v>5</v>
      </c>
      <c r="C16" s="720" t="s">
        <v>97</v>
      </c>
      <c r="D16" s="720" t="s">
        <v>102</v>
      </c>
      <c r="E16" s="720" t="s">
        <v>103</v>
      </c>
      <c r="F16" s="720" t="s">
        <v>104</v>
      </c>
      <c r="G16" s="720" t="s">
        <v>105</v>
      </c>
      <c r="H16" s="720" t="s">
        <v>106</v>
      </c>
      <c r="I16" s="720" t="s">
        <v>107</v>
      </c>
      <c r="J16" s="720" t="s">
        <v>108</v>
      </c>
      <c r="K16" s="720" t="s">
        <v>109</v>
      </c>
      <c r="L16" s="11" t="s">
        <v>389</v>
      </c>
      <c r="M16" s="69" t="s">
        <v>96</v>
      </c>
      <c r="N16" s="69" t="s">
        <v>14</v>
      </c>
      <c r="O16" s="30">
        <v>1</v>
      </c>
      <c r="P16" s="1">
        <v>2</v>
      </c>
      <c r="Q16" s="1">
        <v>3</v>
      </c>
      <c r="R16" s="1">
        <v>4</v>
      </c>
      <c r="S16" s="1">
        <v>5</v>
      </c>
      <c r="T16" s="1">
        <v>6</v>
      </c>
      <c r="U16" s="1">
        <v>7</v>
      </c>
      <c r="V16" s="1">
        <v>8</v>
      </c>
      <c r="W16" s="11" t="s">
        <v>98</v>
      </c>
      <c r="X16" s="188" t="s">
        <v>166</v>
      </c>
      <c r="Y16" s="11" t="s">
        <v>205</v>
      </c>
      <c r="Z16" s="188" t="s">
        <v>206</v>
      </c>
      <c r="AA16" s="1" t="s">
        <v>109</v>
      </c>
      <c r="AB16" s="1" t="s">
        <v>108</v>
      </c>
      <c r="AC16" s="1"/>
      <c r="AD16" s="258" t="s">
        <v>109</v>
      </c>
      <c r="AE16" s="262" t="s">
        <v>108</v>
      </c>
      <c r="AF16" s="1" t="s">
        <v>108</v>
      </c>
      <c r="AG16" s="1" t="s">
        <v>178</v>
      </c>
      <c r="AH16" s="188" t="s">
        <v>166</v>
      </c>
    </row>
    <row r="17" spans="2:80" s="2" customFormat="1" ht="12.75" thickTop="1" x14ac:dyDescent="0.2">
      <c r="C17" s="2" t="str">
        <f ca="1">$C62</f>
        <v/>
      </c>
      <c r="D17" s="1">
        <f t="shared" ref="D17:G20" ca="1" si="4">K4</f>
        <v>0</v>
      </c>
      <c r="E17" s="1">
        <f t="shared" ca="1" si="4"/>
        <v>0</v>
      </c>
      <c r="F17" s="1">
        <f t="shared" ca="1" si="4"/>
        <v>0</v>
      </c>
      <c r="G17" s="1">
        <f t="shared" ca="1" si="4"/>
        <v>0</v>
      </c>
      <c r="H17" s="1">
        <f t="shared" ref="H17:K20" ca="1" si="5">G4</f>
        <v>0</v>
      </c>
      <c r="I17" s="1">
        <f t="shared" ca="1" si="5"/>
        <v>0</v>
      </c>
      <c r="J17" s="13">
        <f t="shared" ca="1" si="5"/>
        <v>0</v>
      </c>
      <c r="K17" s="1">
        <f t="shared" ca="1" si="5"/>
        <v>0</v>
      </c>
      <c r="L17" s="29">
        <f ca="1">K17*CalcE!$F$64+(J17+CalcE!$H$65)*CalcE!$F$65</f>
        <v>500000</v>
      </c>
      <c r="M17" s="14">
        <f ca="1">IF($AI$15,COUNTIF($K$17:$K$25,K17),COUNTIF($L$17:$L$25,L17))</f>
        <v>4</v>
      </c>
      <c r="N17" s="14">
        <f t="array" aca="1" ref="N17" ca="1">IF($AI$15,SUM(($K$17:$K$25&gt;=K17)/COUNTIF($K$17:$K$25,$K$17:$K$25)),SUM(($L$17:$L$25&gt;=L17)/COUNTIF($L$17:$L$25,$L$17:$L$25)))</f>
        <v>1</v>
      </c>
      <c r="O17" s="52" t="str">
        <f t="shared" ref="O17:O20" ca="1" si="6">IF(AND(M17&gt;1,N17=1),C17,"")</f>
        <v/>
      </c>
      <c r="P17" s="53" t="str">
        <f t="shared" ref="P17:P20" ca="1" si="7">IF(AND(M17&gt;1,N17=2),C17,"")</f>
        <v/>
      </c>
      <c r="Q17" s="53" t="str">
        <f t="shared" ref="Q17:Q20" ca="1" si="8">IF(AND(M17&gt;1,N17=3),C17,"")</f>
        <v/>
      </c>
      <c r="R17" s="53" t="str">
        <f t="shared" ref="R17:R20" ca="1" si="9">IF(AND(M17&gt;1,N17=4),C17,"")</f>
        <v/>
      </c>
      <c r="S17" s="53" t="str">
        <f t="shared" ref="S17:S20" ca="1" si="10">IF(AND(M17&gt;1,N17=5),C17,"")</f>
        <v/>
      </c>
      <c r="T17" s="53" t="str">
        <f t="shared" ref="T17:T20" ca="1" si="11">IF(AND($M17&gt;1,$N17=6),$C17,"")</f>
        <v/>
      </c>
      <c r="U17" s="53" t="str">
        <f t="shared" ref="U17:U20" ca="1" si="12">IF(AND($M17&gt;1,$N17=7),$C17,"")</f>
        <v/>
      </c>
      <c r="V17" s="54" t="str">
        <f t="shared" ref="V17:V20" ca="1" si="13">IF(AND($M17&gt;1,$N17=8),$C17,"")</f>
        <v/>
      </c>
      <c r="W17" s="62">
        <f ca="1">AA17*CalcE!$F$64+(AB17+CalcE!$H$65)*CalcE!$F$65</f>
        <v>500000</v>
      </c>
      <c r="X17" s="21">
        <f ca="1">RANK($L17,$L$17:$L$25)+RANK($W17,$W$17:$W$25)/100+(9-$Y17)/10000</f>
        <v>1.0108999999999999</v>
      </c>
      <c r="Y17" s="13">
        <f ca="1">'Endrunde 4'!$AI12</f>
        <v>0</v>
      </c>
      <c r="Z17" s="1">
        <f ca="1">RANK($W17,$W$17:$W$25)+(9-$Y17)/10</f>
        <v>1.9</v>
      </c>
      <c r="AA17" s="1">
        <f ca="1">SUM(E30:BP30)</f>
        <v>0</v>
      </c>
      <c r="AB17" s="1">
        <f ca="1">SUM(E41:BP41)</f>
        <v>0</v>
      </c>
      <c r="AC17" s="1"/>
      <c r="AD17" s="257">
        <f ca="1">RANK($K17,$K$17:$K$25)</f>
        <v>1</v>
      </c>
      <c r="AE17" s="29">
        <f ca="1">(J17+CalcE!$H$65)*CalcE!$F$65</f>
        <v>500000</v>
      </c>
      <c r="AF17" s="1">
        <f ca="1">RANK($AE17,$AE$17:$AE$25)</f>
        <v>1</v>
      </c>
      <c r="AG17" s="1">
        <f ca="1">RANK($W17,$W$17:$W$25)</f>
        <v>1</v>
      </c>
      <c r="AH17" s="259">
        <f ca="1">AD17+AG17/100+AF17/10000+(10-Y17)/1000000</f>
        <v>1.0101100000000001</v>
      </c>
      <c r="AI17" s="1"/>
    </row>
    <row r="18" spans="2:80" s="2" customFormat="1" x14ac:dyDescent="0.2">
      <c r="C18" s="2" t="str">
        <f ca="1">$C63</f>
        <v/>
      </c>
      <c r="D18" s="1">
        <f t="shared" ca="1" si="4"/>
        <v>0</v>
      </c>
      <c r="E18" s="1">
        <f t="shared" ca="1" si="4"/>
        <v>0</v>
      </c>
      <c r="F18" s="1">
        <f t="shared" ca="1" si="4"/>
        <v>0</v>
      </c>
      <c r="G18" s="1">
        <f t="shared" ca="1" si="4"/>
        <v>0</v>
      </c>
      <c r="H18" s="1">
        <f t="shared" ca="1" si="5"/>
        <v>0</v>
      </c>
      <c r="I18" s="1">
        <f t="shared" ca="1" si="5"/>
        <v>0</v>
      </c>
      <c r="J18" s="13">
        <f t="shared" ca="1" si="5"/>
        <v>0</v>
      </c>
      <c r="K18" s="1">
        <f t="shared" ca="1" si="5"/>
        <v>0</v>
      </c>
      <c r="L18" s="29">
        <f ca="1">K18*CalcE!$F$64+(J18+CalcE!$H$65)*CalcE!$F$65</f>
        <v>500000</v>
      </c>
      <c r="M18" s="14">
        <f t="shared" ref="M18:M25" ca="1" si="14">IF($AI$15,COUNTIF($K$17:$K$25,K18),COUNTIF($L$17:$L$25,L18))</f>
        <v>4</v>
      </c>
      <c r="N18" s="14">
        <f t="array" aca="1" ref="N18" ca="1">IF($AI$15,SUM(($K$17:$K$25&gt;=K18)/COUNTIF($K$17:$K$25,$K$17:$K$25)),SUM(($L$17:$L$25&gt;=L18)/COUNTIF($L$17:$L$25,$L$17:$L$25)))</f>
        <v>1</v>
      </c>
      <c r="O18" s="6" t="str">
        <f t="shared" ca="1" si="6"/>
        <v/>
      </c>
      <c r="P18" s="4" t="str">
        <f t="shared" ca="1" si="7"/>
        <v/>
      </c>
      <c r="Q18" s="4" t="str">
        <f t="shared" ca="1" si="8"/>
        <v/>
      </c>
      <c r="R18" s="4" t="str">
        <f t="shared" ca="1" si="9"/>
        <v/>
      </c>
      <c r="S18" s="4" t="str">
        <f t="shared" ca="1" si="10"/>
        <v/>
      </c>
      <c r="T18" s="4" t="str">
        <f t="shared" ca="1" si="11"/>
        <v/>
      </c>
      <c r="U18" s="4" t="str">
        <f t="shared" ca="1" si="12"/>
        <v/>
      </c>
      <c r="V18" s="55" t="str">
        <f t="shared" ca="1" si="13"/>
        <v/>
      </c>
      <c r="W18" s="62">
        <f ca="1">AA18*CalcE!$F$64+(AB18+CalcE!$H$65)*CalcE!$F$65</f>
        <v>500000</v>
      </c>
      <c r="X18" s="22">
        <f t="shared" ref="X18:X25" ca="1" si="15">RANK($L18,$L$17:$L$25)+RANK($W18,$W$17:$W$25)/100+(9-$Y18)/10000</f>
        <v>1.0108999999999999</v>
      </c>
      <c r="Y18" s="13">
        <f ca="1">'Endrunde 4'!$AI13</f>
        <v>0</v>
      </c>
      <c r="Z18" s="1">
        <f t="shared" ref="Z18:Z25" ca="1" si="16">RANK($W18,$W$17:$W$25)+(9-$Y18)/10</f>
        <v>1.9</v>
      </c>
      <c r="AA18" s="1">
        <f t="shared" ref="AA18:AA20" ca="1" si="17">SUM(E31:BP31)</f>
        <v>0</v>
      </c>
      <c r="AB18" s="1">
        <f t="shared" ref="AB18:AB20" ca="1" si="18">SUM(E42:BP42)</f>
        <v>0</v>
      </c>
      <c r="AC18" s="1"/>
      <c r="AD18" s="257">
        <f t="shared" ref="AD18:AD25" ca="1" si="19">RANK($K18,$K$17:$K$25)</f>
        <v>1</v>
      </c>
      <c r="AE18" s="29">
        <f ca="1">(J18+CalcE!$H$65)*CalcE!$F$65</f>
        <v>500000</v>
      </c>
      <c r="AF18" s="1">
        <f t="shared" ref="AF18:AF25" ca="1" si="20">RANK($AE18,$AE$17:$AE$25)</f>
        <v>1</v>
      </c>
      <c r="AG18" s="1">
        <f t="shared" ref="AG18:AG25" ca="1" si="21">RANK($W18,$W$17:$W$25)</f>
        <v>1</v>
      </c>
      <c r="AH18" s="260">
        <f t="shared" ref="AH18:AH25" ca="1" si="22">AD18+AG18/100+AF18/10000+(10-Y18)/1000000</f>
        <v>1.0101100000000001</v>
      </c>
      <c r="AI18" s="1"/>
    </row>
    <row r="19" spans="2:80" s="2" customFormat="1" x14ac:dyDescent="0.2">
      <c r="C19" s="2" t="str">
        <f ca="1">$C64</f>
        <v/>
      </c>
      <c r="D19" s="1">
        <f t="shared" ca="1" si="4"/>
        <v>0</v>
      </c>
      <c r="E19" s="1">
        <f t="shared" ca="1" si="4"/>
        <v>0</v>
      </c>
      <c r="F19" s="1">
        <f t="shared" ca="1" si="4"/>
        <v>0</v>
      </c>
      <c r="G19" s="1">
        <f t="shared" ca="1" si="4"/>
        <v>0</v>
      </c>
      <c r="H19" s="1">
        <f t="shared" ca="1" si="5"/>
        <v>0</v>
      </c>
      <c r="I19" s="1">
        <f t="shared" ca="1" si="5"/>
        <v>0</v>
      </c>
      <c r="J19" s="13">
        <f t="shared" ca="1" si="5"/>
        <v>0</v>
      </c>
      <c r="K19" s="1">
        <f t="shared" ca="1" si="5"/>
        <v>0</v>
      </c>
      <c r="L19" s="29">
        <f ca="1">K19*CalcE!$F$64+(J19+CalcE!$H$65)*CalcE!$F$65</f>
        <v>500000</v>
      </c>
      <c r="M19" s="14">
        <f t="shared" ca="1" si="14"/>
        <v>4</v>
      </c>
      <c r="N19" s="14">
        <f t="array" aca="1" ref="N19" ca="1">IF($AI$15,SUM(($K$17:$K$25&gt;=K19)/COUNTIF($K$17:$K$25,$K$17:$K$25)),SUM(($L$17:$L$25&gt;=L19)/COUNTIF($L$17:$L$25,$L$17:$L$25)))</f>
        <v>1</v>
      </c>
      <c r="O19" s="6" t="str">
        <f t="shared" ca="1" si="6"/>
        <v/>
      </c>
      <c r="P19" s="4" t="str">
        <f t="shared" ca="1" si="7"/>
        <v/>
      </c>
      <c r="Q19" s="4" t="str">
        <f t="shared" ca="1" si="8"/>
        <v/>
      </c>
      <c r="R19" s="4" t="str">
        <f t="shared" ca="1" si="9"/>
        <v/>
      </c>
      <c r="S19" s="4" t="str">
        <f t="shared" ca="1" si="10"/>
        <v/>
      </c>
      <c r="T19" s="4" t="str">
        <f t="shared" ca="1" si="11"/>
        <v/>
      </c>
      <c r="U19" s="4" t="str">
        <f t="shared" ca="1" si="12"/>
        <v/>
      </c>
      <c r="V19" s="55" t="str">
        <f t="shared" ca="1" si="13"/>
        <v/>
      </c>
      <c r="W19" s="62">
        <f ca="1">AA19*CalcE!$F$64+(AB19+CalcE!$H$65)*CalcE!$F$65</f>
        <v>500000</v>
      </c>
      <c r="X19" s="22">
        <f t="shared" ca="1" si="15"/>
        <v>1.0108999999999999</v>
      </c>
      <c r="Y19" s="13">
        <f ca="1">'Endrunde 4'!$AI14</f>
        <v>0</v>
      </c>
      <c r="Z19" s="1">
        <f t="shared" ca="1" si="16"/>
        <v>1.9</v>
      </c>
      <c r="AA19" s="1">
        <f t="shared" ca="1" si="17"/>
        <v>0</v>
      </c>
      <c r="AB19" s="1">
        <f t="shared" ca="1" si="18"/>
        <v>0</v>
      </c>
      <c r="AC19" s="1"/>
      <c r="AD19" s="257">
        <f t="shared" ca="1" si="19"/>
        <v>1</v>
      </c>
      <c r="AE19" s="29">
        <f ca="1">(J19+CalcE!$H$65)*CalcE!$F$65</f>
        <v>500000</v>
      </c>
      <c r="AF19" s="1">
        <f t="shared" ca="1" si="20"/>
        <v>1</v>
      </c>
      <c r="AG19" s="1">
        <f t="shared" ca="1" si="21"/>
        <v>1</v>
      </c>
      <c r="AH19" s="260">
        <f t="shared" ca="1" si="22"/>
        <v>1.0101100000000001</v>
      </c>
      <c r="AI19" s="1"/>
    </row>
    <row r="20" spans="2:80" s="2" customFormat="1" x14ac:dyDescent="0.2">
      <c r="C20" s="2" t="str">
        <f ca="1">$C65</f>
        <v/>
      </c>
      <c r="D20" s="1">
        <f t="shared" ca="1" si="4"/>
        <v>0</v>
      </c>
      <c r="E20" s="1">
        <f t="shared" ca="1" si="4"/>
        <v>0</v>
      </c>
      <c r="F20" s="1">
        <f t="shared" ca="1" si="4"/>
        <v>0</v>
      </c>
      <c r="G20" s="1">
        <f t="shared" ca="1" si="4"/>
        <v>0</v>
      </c>
      <c r="H20" s="1">
        <f t="shared" ca="1" si="5"/>
        <v>0</v>
      </c>
      <c r="I20" s="1">
        <f t="shared" ca="1" si="5"/>
        <v>0</v>
      </c>
      <c r="J20" s="13">
        <f t="shared" ca="1" si="5"/>
        <v>0</v>
      </c>
      <c r="K20" s="1">
        <f t="shared" ca="1" si="5"/>
        <v>0</v>
      </c>
      <c r="L20" s="29">
        <f ca="1">K20*CalcE!$F$64+(J20+CalcE!$H$65)*CalcE!$F$65</f>
        <v>500000</v>
      </c>
      <c r="M20" s="14">
        <f t="shared" ca="1" si="14"/>
        <v>4</v>
      </c>
      <c r="N20" s="14">
        <f t="array" aca="1" ref="N20" ca="1">IF($AI$15,SUM(($K$17:$K$25&gt;=K20)/COUNTIF($K$17:$K$25,$K$17:$K$25)),SUM(($L$17:$L$25&gt;=L20)/COUNTIF($L$17:$L$25,$L$17:$L$25)))</f>
        <v>1</v>
      </c>
      <c r="O20" s="6" t="str">
        <f t="shared" ca="1" si="6"/>
        <v/>
      </c>
      <c r="P20" s="4" t="str">
        <f t="shared" ca="1" si="7"/>
        <v/>
      </c>
      <c r="Q20" s="4" t="str">
        <f t="shared" ca="1" si="8"/>
        <v/>
      </c>
      <c r="R20" s="4" t="str">
        <f t="shared" ca="1" si="9"/>
        <v/>
      </c>
      <c r="S20" s="4" t="str">
        <f t="shared" ca="1" si="10"/>
        <v/>
      </c>
      <c r="T20" s="4" t="str">
        <f t="shared" ca="1" si="11"/>
        <v/>
      </c>
      <c r="U20" s="4" t="str">
        <f t="shared" ca="1" si="12"/>
        <v/>
      </c>
      <c r="V20" s="55" t="str">
        <f t="shared" ca="1" si="13"/>
        <v/>
      </c>
      <c r="W20" s="62">
        <f ca="1">AA20*CalcE!$F$64+(AB20+CalcE!$H$65)*CalcE!$F$65</f>
        <v>500000</v>
      </c>
      <c r="X20" s="22">
        <f t="shared" ca="1" si="15"/>
        <v>1.0108999999999999</v>
      </c>
      <c r="Y20" s="13">
        <f ca="1">'Endrunde 4'!$AI15</f>
        <v>0</v>
      </c>
      <c r="Z20" s="1">
        <f t="shared" ca="1" si="16"/>
        <v>1.9</v>
      </c>
      <c r="AA20" s="1">
        <f t="shared" ca="1" si="17"/>
        <v>0</v>
      </c>
      <c r="AB20" s="1">
        <f t="shared" ca="1" si="18"/>
        <v>0</v>
      </c>
      <c r="AC20" s="1"/>
      <c r="AD20" s="257">
        <f t="shared" ca="1" si="19"/>
        <v>1</v>
      </c>
      <c r="AE20" s="29">
        <f ca="1">(J20+CalcE!$H$65)*CalcE!$F$65</f>
        <v>500000</v>
      </c>
      <c r="AF20" s="1">
        <f t="shared" ca="1" si="20"/>
        <v>1</v>
      </c>
      <c r="AG20" s="1">
        <f t="shared" ca="1" si="21"/>
        <v>1</v>
      </c>
      <c r="AH20" s="260">
        <f t="shared" ca="1" si="22"/>
        <v>1.0101100000000001</v>
      </c>
      <c r="AI20" s="1"/>
    </row>
    <row r="21" spans="2:80" s="2" customFormat="1" x14ac:dyDescent="0.2">
      <c r="C21" s="2" t="str">
        <f>""</f>
        <v/>
      </c>
      <c r="D21" s="1">
        <v>0</v>
      </c>
      <c r="E21" s="1">
        <v>0</v>
      </c>
      <c r="F21" s="1">
        <v>0</v>
      </c>
      <c r="G21" s="1">
        <v>0</v>
      </c>
      <c r="H21" s="1">
        <v>0</v>
      </c>
      <c r="I21" s="1">
        <v>0</v>
      </c>
      <c r="J21" s="13">
        <v>0</v>
      </c>
      <c r="K21" s="1">
        <v>0</v>
      </c>
      <c r="L21" s="29">
        <v>0</v>
      </c>
      <c r="M21" s="14">
        <f t="shared" ca="1" si="14"/>
        <v>5</v>
      </c>
      <c r="N21" s="14">
        <f t="array" aca="1" ref="N21" ca="1">IF($AI$15,SUM(($K$17:$K$25&gt;=K21)/COUNTIF($K$17:$K$25,$K$17:$K$25)),SUM(($L$17:$L$25&gt;=L21)/COUNTIF($L$17:$L$25,$L$17:$L$25)))</f>
        <v>1.9999999999999998</v>
      </c>
      <c r="O21" s="6"/>
      <c r="P21" s="4"/>
      <c r="Q21" s="4"/>
      <c r="R21" s="4"/>
      <c r="S21" s="4"/>
      <c r="T21" s="4"/>
      <c r="U21" s="4"/>
      <c r="V21" s="55"/>
      <c r="W21" s="62">
        <v>0</v>
      </c>
      <c r="X21" s="22">
        <f t="shared" ca="1" si="15"/>
        <v>5.0508999999999995</v>
      </c>
      <c r="Y21" s="13">
        <v>0</v>
      </c>
      <c r="Z21" s="1">
        <f t="shared" ca="1" si="16"/>
        <v>5.9</v>
      </c>
      <c r="AA21" s="1">
        <v>0</v>
      </c>
      <c r="AB21" s="1">
        <v>0</v>
      </c>
      <c r="AC21" s="1"/>
      <c r="AD21" s="257">
        <f t="shared" ca="1" si="19"/>
        <v>1</v>
      </c>
      <c r="AE21" s="29">
        <v>0</v>
      </c>
      <c r="AF21" s="1">
        <f t="shared" ca="1" si="20"/>
        <v>5</v>
      </c>
      <c r="AG21" s="1">
        <f t="shared" ca="1" si="21"/>
        <v>5</v>
      </c>
      <c r="AH21" s="260">
        <f t="shared" ca="1" si="22"/>
        <v>1.0505100000000001</v>
      </c>
      <c r="AI21" s="1"/>
    </row>
    <row r="22" spans="2:80" s="2" customFormat="1" x14ac:dyDescent="0.2">
      <c r="C22" s="2" t="str">
        <f>""</f>
        <v/>
      </c>
      <c r="D22" s="1">
        <v>0</v>
      </c>
      <c r="E22" s="1">
        <v>0</v>
      </c>
      <c r="F22" s="1">
        <v>0</v>
      </c>
      <c r="G22" s="1">
        <v>0</v>
      </c>
      <c r="H22" s="1">
        <v>0</v>
      </c>
      <c r="I22" s="1">
        <v>0</v>
      </c>
      <c r="J22" s="13">
        <v>0</v>
      </c>
      <c r="K22" s="1">
        <v>0</v>
      </c>
      <c r="L22" s="29">
        <v>0</v>
      </c>
      <c r="M22" s="14">
        <f t="shared" ca="1" si="14"/>
        <v>5</v>
      </c>
      <c r="N22" s="14">
        <f t="array" aca="1" ref="N22" ca="1">IF($AI$15,SUM(($K$17:$K$25&gt;=K22)/COUNTIF($K$17:$K$25,$K$17:$K$25)),SUM(($L$17:$L$25&gt;=L22)/COUNTIF($L$17:$L$25,$L$17:$L$25)))</f>
        <v>1.9999999999999998</v>
      </c>
      <c r="O22" s="6"/>
      <c r="P22" s="4"/>
      <c r="Q22" s="4"/>
      <c r="R22" s="4"/>
      <c r="S22" s="4"/>
      <c r="T22" s="4"/>
      <c r="U22" s="4"/>
      <c r="V22" s="55"/>
      <c r="W22" s="62">
        <v>0</v>
      </c>
      <c r="X22" s="22">
        <f t="shared" ca="1" si="15"/>
        <v>5.0508999999999995</v>
      </c>
      <c r="Y22" s="13">
        <v>0</v>
      </c>
      <c r="Z22" s="1">
        <f t="shared" ca="1" si="16"/>
        <v>5.9</v>
      </c>
      <c r="AA22" s="1">
        <v>0</v>
      </c>
      <c r="AB22" s="1">
        <v>0</v>
      </c>
      <c r="AC22" s="1"/>
      <c r="AD22" s="257">
        <f t="shared" ca="1" si="19"/>
        <v>1</v>
      </c>
      <c r="AE22" s="29">
        <v>0</v>
      </c>
      <c r="AF22" s="1">
        <f t="shared" ca="1" si="20"/>
        <v>5</v>
      </c>
      <c r="AG22" s="1">
        <f t="shared" ca="1" si="21"/>
        <v>5</v>
      </c>
      <c r="AH22" s="260">
        <f t="shared" ca="1" si="22"/>
        <v>1.0505100000000001</v>
      </c>
      <c r="AI22" s="1"/>
    </row>
    <row r="23" spans="2:80" s="2" customFormat="1" x14ac:dyDescent="0.2">
      <c r="C23" s="2" t="str">
        <f>""</f>
        <v/>
      </c>
      <c r="D23" s="1">
        <v>0</v>
      </c>
      <c r="E23" s="1">
        <v>0</v>
      </c>
      <c r="F23" s="1">
        <v>0</v>
      </c>
      <c r="G23" s="1">
        <v>0</v>
      </c>
      <c r="H23" s="1">
        <v>0</v>
      </c>
      <c r="I23" s="1">
        <v>0</v>
      </c>
      <c r="J23" s="13">
        <v>0</v>
      </c>
      <c r="K23" s="1">
        <v>0</v>
      </c>
      <c r="L23" s="29">
        <v>0</v>
      </c>
      <c r="M23" s="14">
        <f t="shared" ca="1" si="14"/>
        <v>5</v>
      </c>
      <c r="N23" s="14">
        <f t="array" aca="1" ref="N23" ca="1">IF($AI$15,SUM(($K$17:$K$25&gt;=K23)/COUNTIF($K$17:$K$25,$K$17:$K$25)),SUM(($L$17:$L$25&gt;=L23)/COUNTIF($L$17:$L$25,$L$17:$L$25)))</f>
        <v>1.9999999999999998</v>
      </c>
      <c r="O23" s="6"/>
      <c r="P23" s="4"/>
      <c r="Q23" s="4"/>
      <c r="R23" s="4"/>
      <c r="S23" s="4"/>
      <c r="T23" s="4"/>
      <c r="U23" s="4"/>
      <c r="V23" s="55"/>
      <c r="W23" s="62">
        <v>0</v>
      </c>
      <c r="X23" s="22">
        <f t="shared" ca="1" si="15"/>
        <v>5.0508999999999995</v>
      </c>
      <c r="Y23" s="13">
        <v>0</v>
      </c>
      <c r="Z23" s="1">
        <f t="shared" ca="1" si="16"/>
        <v>5.9</v>
      </c>
      <c r="AA23" s="1">
        <v>0</v>
      </c>
      <c r="AB23" s="1">
        <v>0</v>
      </c>
      <c r="AC23" s="1"/>
      <c r="AD23" s="257">
        <f t="shared" ca="1" si="19"/>
        <v>1</v>
      </c>
      <c r="AE23" s="29">
        <v>0</v>
      </c>
      <c r="AF23" s="1">
        <f t="shared" ca="1" si="20"/>
        <v>5</v>
      </c>
      <c r="AG23" s="1">
        <f t="shared" ca="1" si="21"/>
        <v>5</v>
      </c>
      <c r="AH23" s="260">
        <f t="shared" ca="1" si="22"/>
        <v>1.0505100000000001</v>
      </c>
      <c r="AI23" s="1"/>
    </row>
    <row r="24" spans="2:80" s="2" customFormat="1" x14ac:dyDescent="0.2">
      <c r="C24" s="2" t="str">
        <f>""</f>
        <v/>
      </c>
      <c r="D24" s="1">
        <v>0</v>
      </c>
      <c r="E24" s="1">
        <v>0</v>
      </c>
      <c r="F24" s="1">
        <v>0</v>
      </c>
      <c r="G24" s="1">
        <v>0</v>
      </c>
      <c r="H24" s="1">
        <v>0</v>
      </c>
      <c r="I24" s="1">
        <v>0</v>
      </c>
      <c r="J24" s="13">
        <v>0</v>
      </c>
      <c r="K24" s="1">
        <v>0</v>
      </c>
      <c r="L24" s="29">
        <v>0</v>
      </c>
      <c r="M24" s="14">
        <f t="shared" ca="1" si="14"/>
        <v>5</v>
      </c>
      <c r="N24" s="14">
        <f t="array" aca="1" ref="N24" ca="1">IF($AI$15,SUM(($K$17:$K$25&gt;=K24)/COUNTIF($K$17:$K$25,$K$17:$K$25)),SUM(($L$17:$L$25&gt;=L24)/COUNTIF($L$17:$L$25,$L$17:$L$25)))</f>
        <v>1.9999999999999998</v>
      </c>
      <c r="O24" s="6"/>
      <c r="P24" s="4"/>
      <c r="Q24" s="4"/>
      <c r="R24" s="4"/>
      <c r="S24" s="4"/>
      <c r="T24" s="4"/>
      <c r="U24" s="4"/>
      <c r="V24" s="55"/>
      <c r="W24" s="62">
        <v>0</v>
      </c>
      <c r="X24" s="22">
        <f t="shared" ca="1" si="15"/>
        <v>5.0508999999999995</v>
      </c>
      <c r="Y24" s="13">
        <v>0</v>
      </c>
      <c r="Z24" s="1">
        <f t="shared" ca="1" si="16"/>
        <v>5.9</v>
      </c>
      <c r="AA24" s="1">
        <v>0</v>
      </c>
      <c r="AB24" s="1">
        <v>0</v>
      </c>
      <c r="AC24" s="1"/>
      <c r="AD24" s="257">
        <f t="shared" ca="1" si="19"/>
        <v>1</v>
      </c>
      <c r="AE24" s="29">
        <v>0</v>
      </c>
      <c r="AF24" s="1">
        <f t="shared" ca="1" si="20"/>
        <v>5</v>
      </c>
      <c r="AG24" s="1">
        <f t="shared" ca="1" si="21"/>
        <v>5</v>
      </c>
      <c r="AH24" s="260">
        <f t="shared" ca="1" si="22"/>
        <v>1.0505100000000001</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4"/>
        <v>5</v>
      </c>
      <c r="N25" s="14">
        <f t="array" aca="1" ref="N25" ca="1">IF($AI$15,SUM(($K$17:$K$25&gt;=K25)/COUNTIF($K$17:$K$25,$K$17:$K$25)),SUM(($L$17:$L$25&gt;=L25)/COUNTIF($L$17:$L$25,$L$17:$L$25)))</f>
        <v>1.9999999999999998</v>
      </c>
      <c r="O25" s="56"/>
      <c r="P25" s="57"/>
      <c r="Q25" s="57"/>
      <c r="R25" s="57"/>
      <c r="S25" s="57"/>
      <c r="T25" s="57"/>
      <c r="U25" s="57"/>
      <c r="V25" s="58"/>
      <c r="W25" s="62">
        <v>0</v>
      </c>
      <c r="X25" s="23">
        <f t="shared" ca="1" si="15"/>
        <v>5.0508999999999995</v>
      </c>
      <c r="Y25" s="13">
        <v>0</v>
      </c>
      <c r="Z25" s="1">
        <f t="shared" ca="1" si="16"/>
        <v>5.9</v>
      </c>
      <c r="AA25" s="1">
        <v>0</v>
      </c>
      <c r="AB25" s="1">
        <v>0</v>
      </c>
      <c r="AC25" s="1"/>
      <c r="AD25" s="257">
        <f t="shared" ca="1" si="19"/>
        <v>1</v>
      </c>
      <c r="AE25" s="29">
        <v>0</v>
      </c>
      <c r="AF25" s="1">
        <f t="shared" ca="1" si="20"/>
        <v>5</v>
      </c>
      <c r="AG25" s="1">
        <f t="shared" ca="1" si="21"/>
        <v>5</v>
      </c>
      <c r="AH25" s="261">
        <f t="shared" ca="1" si="22"/>
        <v>1.0505100000000001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93">
        <v>1</v>
      </c>
      <c r="F29" s="990"/>
      <c r="G29" s="990"/>
      <c r="H29" s="990"/>
      <c r="I29" s="990"/>
      <c r="J29" s="990"/>
      <c r="K29" s="990"/>
      <c r="L29" s="992"/>
      <c r="M29" s="989">
        <v>2</v>
      </c>
      <c r="N29" s="990"/>
      <c r="O29" s="990"/>
      <c r="P29" s="990"/>
      <c r="Q29" s="990"/>
      <c r="R29" s="990"/>
      <c r="S29" s="990"/>
      <c r="T29" s="992"/>
      <c r="U29" s="989">
        <v>3</v>
      </c>
      <c r="V29" s="990"/>
      <c r="W29" s="990"/>
      <c r="X29" s="990"/>
      <c r="Y29" s="990"/>
      <c r="Z29" s="990"/>
      <c r="AA29" s="990"/>
      <c r="AB29" s="992"/>
      <c r="AC29" s="989">
        <v>4</v>
      </c>
      <c r="AD29" s="990"/>
      <c r="AE29" s="990"/>
      <c r="AF29" s="990"/>
      <c r="AG29" s="990"/>
      <c r="AH29" s="990"/>
      <c r="AI29" s="990"/>
      <c r="AJ29" s="992"/>
      <c r="AK29" s="989">
        <v>5</v>
      </c>
      <c r="AL29" s="990"/>
      <c r="AM29" s="990"/>
      <c r="AN29" s="990"/>
      <c r="AO29" s="990"/>
      <c r="AP29" s="990"/>
      <c r="AQ29" s="990"/>
      <c r="AR29" s="992"/>
      <c r="AS29" s="989">
        <v>6</v>
      </c>
      <c r="AT29" s="990"/>
      <c r="AU29" s="990"/>
      <c r="AV29" s="990"/>
      <c r="AW29" s="990"/>
      <c r="AX29" s="990"/>
      <c r="AY29" s="990"/>
      <c r="AZ29" s="992"/>
      <c r="BA29" s="989">
        <v>7</v>
      </c>
      <c r="BB29" s="990"/>
      <c r="BC29" s="990"/>
      <c r="BD29" s="990"/>
      <c r="BE29" s="990"/>
      <c r="BF29" s="990"/>
      <c r="BG29" s="990"/>
      <c r="BH29" s="992"/>
      <c r="BI29" s="989">
        <v>8</v>
      </c>
      <c r="BJ29" s="990"/>
      <c r="BK29" s="990"/>
      <c r="BL29" s="990"/>
      <c r="BM29" s="990"/>
      <c r="BN29" s="990"/>
      <c r="BO29" s="990"/>
      <c r="BP29" s="991"/>
      <c r="BQ29" s="13"/>
      <c r="BR29" s="5" t="s">
        <v>94</v>
      </c>
      <c r="BS29" s="2" t="str">
        <f ca="1">$F$4</f>
        <v/>
      </c>
      <c r="BT29" s="2" t="str">
        <f ca="1">$F$5</f>
        <v/>
      </c>
      <c r="BU29" s="2" t="str">
        <f ca="1">$F$6</f>
        <v/>
      </c>
      <c r="BV29" s="2" t="str">
        <f ca="1">$F$7</f>
        <v/>
      </c>
      <c r="BW29" s="2" t="str">
        <f>$F$8</f>
        <v/>
      </c>
      <c r="BX29" s="2" t="str">
        <f>$F$9</f>
        <v/>
      </c>
      <c r="BY29" s="2" t="str">
        <f>$F$10</f>
        <v/>
      </c>
      <c r="BZ29" s="2" t="str">
        <f>$F$11</f>
        <v/>
      </c>
      <c r="CA29" s="2" t="str">
        <f>$F$12</f>
        <v/>
      </c>
      <c r="CB29" s="51"/>
    </row>
    <row r="30" spans="2:80" s="2" customFormat="1" x14ac:dyDescent="0.2">
      <c r="C30" s="2" t="str">
        <f ca="1">$C62</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3">F4</f>
        <v/>
      </c>
      <c r="BS30" s="7"/>
      <c r="BT30" s="8">
        <f ca="1">SUMIFS(CalcE!$X$64:$X$99,CalcE!$V$64:$V$99,$BR30,CalcE!$W$64:$W$99,BT$29)+SUMIFS(CalcE!$Y$64:$Y$99,CalcE!$W$64:$W$99,$BR30,CalcE!$V$64:$V$99,BT$29)+SUMIFS(CalcE!$AG$64:$AG$99,CalcE!$V$64:$V$99,$BR30,CalcE!$W$64:$W$99,BT$29)+SUMIFS(CalcE!$AH$64:$AH$99,CalcE!$W$64:$W$99,$BR30,CalcE!$V$64:$V$99,BT$29)</f>
        <v>0</v>
      </c>
      <c r="BU30" s="8">
        <f ca="1">SUMIFS(CalcE!$X$64:$X$99,CalcE!$V$64:$V$99,$BR30,CalcE!$W$64:$W$99,BU$29)+SUMIFS(CalcE!$Y$64:$Y$99,CalcE!$W$64:$W$99,$BR30,CalcE!$V$64:$V$99,BU$29)+SUMIFS(CalcE!$AG$64:$AG$99,CalcE!$V$64:$V$99,$BR30,CalcE!$W$64:$W$99,BU$29)+SUMIFS(CalcE!$AH$64:$AH$99,CalcE!$W$64:$W$99,$BR30,CalcE!$V$64:$V$99,BU$29)</f>
        <v>0</v>
      </c>
      <c r="BV30" s="8">
        <f ca="1">SUMIFS(CalcE!$X$64:$X$99,CalcE!$V$64:$V$99,$BR30,CalcE!$W$64:$W$99,BV$29)+SUMIFS(CalcE!$Y$64:$Y$99,CalcE!$W$64:$W$99,$BR30,CalcE!$V$64:$V$99,BV$29)+SUMIFS(CalcE!$AG$64:$AG$99,CalcE!$V$64:$V$99,$BR30,CalcE!$W$64:$W$99,BV$29)+SUMIFS(CalcE!$AH$64:$AH$99,CalcE!$W$64:$W$99,$BR30,CalcE!$V$64:$V$99,BV$29)</f>
        <v>0</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3"/>
        <v/>
      </c>
      <c r="BS31" s="9">
        <f ca="1">SUMIFS(CalcE!$X$64:$X$99,CalcE!$V$64:$V$99,$BR31,CalcE!$W$64:$W$99,BS$29)+SUMIFS(CalcE!$Y$64:$Y$99,CalcE!$W$64:$W$99,$BR31,CalcE!$V$64:$V$99,BS$29)+SUMIFS(CalcE!$AG$64:$AG$99,CalcE!$V$64:$V$99,$BR31,CalcE!$W$64:$W$99,BS$29)+SUMIFS(CalcE!$AH$64:$AH$99,CalcE!$W$64:$W$99,$BR31,CalcE!$V$64:$V$99,BS$29)</f>
        <v>0</v>
      </c>
      <c r="BT31" s="7"/>
      <c r="BU31" s="8">
        <f ca="1">SUMIFS(CalcE!$X$64:$X$99,CalcE!$V$64:$V$99,$BR31,CalcE!$W$64:$W$99,BU$29)+SUMIFS(CalcE!$Y$64:$Y$99,CalcE!$W$64:$W$99,$BR31,CalcE!$V$64:$V$99,BU$29)+SUMIFS(CalcE!$AG$64:$AG$99,CalcE!$V$64:$V$99,$BR31,CalcE!$W$64:$W$99,BU$29)+SUMIFS(CalcE!$AH$64:$AH$99,CalcE!$W$64:$W$99,$BR31,CalcE!$V$64:$V$99,BU$29)</f>
        <v>0</v>
      </c>
      <c r="BV31" s="8">
        <f ca="1">SUMIFS(CalcE!$X$64:$X$99,CalcE!$V$64:$V$99,$BR31,CalcE!$W$64:$W$99,BV$29)+SUMIFS(CalcE!$Y$64:$Y$99,CalcE!$W$64:$W$99,$BR31,CalcE!$V$64:$V$99,BV$29)+SUMIFS(CalcE!$AG$64:$AG$99,CalcE!$V$64:$V$99,$BR31,CalcE!$W$64:$W$99,BV$29)+SUMIFS(CalcE!$AH$64:$AH$99,CalcE!$W$64:$W$99,$BR31,CalcE!$V$64:$V$99,BV$29)</f>
        <v>0</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3"/>
        <v/>
      </c>
      <c r="BS32" s="9">
        <f ca="1">SUMIFS(CalcE!$X$64:$X$99,CalcE!$V$64:$V$99,$BR32,CalcE!$W$64:$W$99,BS$29)+SUMIFS(CalcE!$Y$64:$Y$99,CalcE!$W$64:$W$99,$BR32,CalcE!$V$64:$V$99,BS$29)+SUMIFS(CalcE!$AG$64:$AG$99,CalcE!$V$64:$V$99,$BR32,CalcE!$W$64:$W$99,BS$29)+SUMIFS(CalcE!$AH$64:$AH$99,CalcE!$W$64:$W$99,$BR32,CalcE!$V$64:$V$99,BS$29)</f>
        <v>0</v>
      </c>
      <c r="BT32" s="9">
        <f ca="1">SUMIFS(CalcE!$X$64:$X$99,CalcE!$V$64:$V$99,$BR32,CalcE!$W$64:$W$99,BT$29)+SUMIFS(CalcE!$Y$64:$Y$99,CalcE!$W$64:$W$99,$BR32,CalcE!$V$64:$V$99,BT$29)+SUMIFS(CalcE!$AG$64:$AG$99,CalcE!$V$64:$V$99,$BR32,CalcE!$W$64:$W$99,BT$29)+SUMIFS(CalcE!$AH$64:$AH$99,CalcE!$W$64:$W$99,$BR32,CalcE!$V$64:$V$99,BT$29)</f>
        <v>0</v>
      </c>
      <c r="BU32" s="7"/>
      <c r="BV32" s="8">
        <f ca="1">SUMIFS(CalcE!$X$64:$X$99,CalcE!$V$64:$V$99,$BR32,CalcE!$W$64:$W$99,BV$29)+SUMIFS(CalcE!$Y$64:$Y$99,CalcE!$W$64:$W$99,$BR32,CalcE!$V$64:$V$99,BV$29)+SUMIFS(CalcE!$AG$64:$AG$99,CalcE!$V$64:$V$99,$BR32,CalcE!$W$64:$W$99,BV$29)+SUMIFS(CalcE!$AH$64:$AH$99,CalcE!$W$64:$W$99,$BR32,CalcE!$V$64:$V$99,BV$29)</f>
        <v>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3"/>
        <v/>
      </c>
      <c r="BS33" s="9">
        <f ca="1">SUMIFS(CalcE!$X$64:$X$99,CalcE!$V$64:$V$99,$BR33,CalcE!$W$64:$W$99,BS$29)+SUMIFS(CalcE!$Y$64:$Y$99,CalcE!$W$64:$W$99,$BR33,CalcE!$V$64:$V$99,BS$29)+SUMIFS(CalcE!$AG$64:$AG$99,CalcE!$V$64:$V$99,$BR33,CalcE!$W$64:$W$99,BS$29)+SUMIFS(CalcE!$AH$64:$AH$99,CalcE!$W$64:$W$99,$BR33,CalcE!$V$64:$V$99,BS$29)</f>
        <v>0</v>
      </c>
      <c r="BT33" s="9">
        <f ca="1">SUMIFS(CalcE!$X$64:$X$99,CalcE!$V$64:$V$99,$BR33,CalcE!$W$64:$W$99,BT$29)+SUMIFS(CalcE!$Y$64:$Y$99,CalcE!$W$64:$W$99,$BR33,CalcE!$V$64:$V$99,BT$29)+SUMIFS(CalcE!$AG$64:$AG$99,CalcE!$V$64:$V$99,$BR33,CalcE!$W$64:$W$99,BT$29)+SUMIFS(CalcE!$AH$64:$AH$99,CalcE!$W$64:$W$99,$BR33,CalcE!$V$64:$V$99,BT$29)</f>
        <v>0</v>
      </c>
      <c r="BU33" s="9">
        <f ca="1">SUMIFS(CalcE!$X$64:$X$99,CalcE!$V$64:$V$99,$BR33,CalcE!$W$64:$W$99,BU$29)+SUMIFS(CalcE!$Y$64:$Y$99,CalcE!$W$64:$W$99,$BR33,CalcE!$V$64:$V$99,BU$29)+SUMIFS(CalcE!$AG$64:$AG$99,CalcE!$V$64:$V$99,$BR33,CalcE!$W$64:$W$99,BU$29)+SUMIFS(CalcE!$AH$64:$AH$99,CalcE!$W$64:$W$99,$BR33,CalcE!$V$64:$V$99,BU$29)</f>
        <v>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3"/>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3"/>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3"/>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3"/>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3"/>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4">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4"/>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4"/>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4"/>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4"/>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4"/>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4"/>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4"/>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4"/>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5">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6">F4</f>
        <v/>
      </c>
      <c r="BS52" s="7"/>
      <c r="BT52" s="8">
        <f ca="1">SUMIFS(CalcE!$AE$64:$AE$99,CalcE!$V$64:$V$99,$BR52,CalcE!$W$64:$W$99,BT$51)+SUMIFS(CalcE!$AF$64:$AF$99,CalcE!$W$64:$W$99,$BR52,CalcE!$V$64:$V$99,BT$51)</f>
        <v>0</v>
      </c>
      <c r="BU52" s="8">
        <f ca="1">SUMIFS(CalcE!$AE$64:$AE$99,CalcE!$V$64:$V$99,$BR52,CalcE!$W$64:$W$99,BU$51)+SUMIFS(CalcE!$AF$64:$AF$99,CalcE!$W$64:$W$99,$BR52,CalcE!$V$64:$V$99,BU$51)</f>
        <v>0</v>
      </c>
      <c r="BV52" s="8">
        <f ca="1">SUMIFS(CalcE!$AE$64:$AE$99,CalcE!$V$64:$V$99,$BR52,CalcE!$W$64:$W$99,BV$51)+SUMIFS(CalcE!$AF$64:$AF$99,CalcE!$W$64:$W$99,$BR52,CalcE!$V$64:$V$99,BV$51)</f>
        <v>0</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6"/>
        <v/>
      </c>
      <c r="BS53" s="9">
        <f ca="1">SUMIFS(CalcE!$AE$64:$AE$99,CalcE!$V$64:$V$99,$BR53,CalcE!$W$64:$W$99,BS$51)+SUMIFS(CalcE!$AF$64:$AF$99,CalcE!$W$64:$W$99,$BR53,CalcE!$V$64:$V$99,BS$51)</f>
        <v>0</v>
      </c>
      <c r="BT53" s="7"/>
      <c r="BU53" s="8">
        <f ca="1">SUMIFS(CalcE!$AE$64:$AE$99,CalcE!$V$64:$V$99,$BR53,CalcE!$W$64:$W$99,BU$51)+SUMIFS(CalcE!$AF$64:$AF$99,CalcE!$W$64:$W$99,$BR53,CalcE!$V$64:$V$99,BU$51)</f>
        <v>0</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6"/>
        <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0</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6"/>
        <v/>
      </c>
      <c r="BS55" s="9">
        <f ca="1">SUMIFS(CalcE!$AE$64:$AE$99,CalcE!$V$64:$V$99,$BR55,CalcE!$W$64:$W$99,BS$51)+SUMIFS(CalcE!$AF$64:$AF$99,CalcE!$W$64:$W$99,$BR55,CalcE!$V$64:$V$99,BS$51)</f>
        <v>0</v>
      </c>
      <c r="BT55" s="9">
        <f ca="1">SUMIFS(CalcE!$AE$64:$AE$99,CalcE!$V$64:$V$99,$BR55,CalcE!$W$64:$W$99,BT$51)+SUMIFS(CalcE!$AF$64:$AF$99,CalcE!$W$64:$W$99,$BR55,CalcE!$V$64:$V$99,BT$51)</f>
        <v>0</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6"/>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6"/>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6"/>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6"/>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6"/>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5" t="s">
        <v>6</v>
      </c>
      <c r="C62" s="1003" t="str">
        <f ca="1">IF('Endrunde 4'!$AG12="","",'Endrunde 4'!$AG12)</f>
        <v/>
      </c>
      <c r="D62" s="1004"/>
      <c r="F62" s="312"/>
      <c r="G62" s="85"/>
      <c r="H62" s="4"/>
      <c r="I62" s="4"/>
      <c r="U62" s="721"/>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6" t="s">
        <v>7</v>
      </c>
      <c r="C63" s="1005" t="str">
        <f ca="1">IF('Endrunde 4'!$AG13="","",'Endrunde 4'!$AG13)</f>
        <v/>
      </c>
      <c r="D63" s="1006"/>
      <c r="F63" s="312"/>
      <c r="G63" s="85"/>
      <c r="H63" s="13"/>
      <c r="I63" s="4"/>
      <c r="U63" s="721"/>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6" t="s">
        <v>8</v>
      </c>
      <c r="C64" s="1005" t="str">
        <f ca="1">IF('Endrunde 4'!$AG14="","",'Endrunde 4'!$AG14)</f>
        <v/>
      </c>
      <c r="D64" s="1006"/>
      <c r="F64" s="312"/>
      <c r="G64" s="85"/>
      <c r="H64" s="4"/>
      <c r="I64" s="4"/>
      <c r="U64" s="721"/>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7" t="s">
        <v>9</v>
      </c>
      <c r="C65" s="1007" t="str">
        <f ca="1">IF('Endrunde 4'!$AG15="","",'Endrunde 4'!$AG15)</f>
        <v/>
      </c>
      <c r="D65" s="1008"/>
      <c r="P65" s="4"/>
      <c r="Q65" s="4"/>
      <c r="U65" s="721"/>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21"/>
      <c r="Q66" s="722"/>
      <c r="U66" s="721"/>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21"/>
      <c r="Q67" s="722"/>
      <c r="U67" s="721"/>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21"/>
      <c r="Q68" s="722"/>
      <c r="U68" s="721"/>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21"/>
      <c r="Q69" s="722"/>
      <c r="U69" s="721"/>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21"/>
      <c r="Q70" s="722"/>
      <c r="U70" s="721"/>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C62:D62"/>
    <mergeCell ref="C63:D63"/>
    <mergeCell ref="C64:D64"/>
    <mergeCell ref="C65:D65"/>
    <mergeCell ref="AS29:AZ29"/>
    <mergeCell ref="E29:L29"/>
    <mergeCell ref="M29:T29"/>
    <mergeCell ref="BA29:BH29"/>
    <mergeCell ref="BI29:BP29"/>
    <mergeCell ref="W3:AA3"/>
    <mergeCell ref="AB3:AF3"/>
    <mergeCell ref="AG3:AK3"/>
    <mergeCell ref="AL3:AP3"/>
    <mergeCell ref="AD15:AH15"/>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27</vt:i4>
      </vt:variant>
    </vt:vector>
  </HeadingPairs>
  <TitlesOfParts>
    <vt:vector size="27" baseType="lpstr">
      <vt:lpstr>Planung</vt:lpstr>
      <vt:lpstr>proof</vt:lpstr>
      <vt:lpstr>Pairings</vt:lpstr>
      <vt:lpstr>Vorrunde</vt:lpstr>
      <vt:lpstr>TieBreak</vt:lpstr>
      <vt:lpstr>Endrunde 1</vt:lpstr>
      <vt:lpstr>Endrunde 2</vt:lpstr>
      <vt:lpstr>Endrunde 3</vt:lpstr>
      <vt:lpstr>Endrunde 4</vt:lpstr>
      <vt:lpstr>DirVergleich_A</vt:lpstr>
      <vt:lpstr>DirVergleich_B</vt:lpstr>
      <vt:lpstr>DirVergleich_C</vt:lpstr>
      <vt:lpstr>DirVergleich_D</vt:lpstr>
      <vt:lpstr>Sprache</vt:lpstr>
      <vt:lpstr>Einstellungen</vt:lpstr>
      <vt:lpstr>Info</vt:lpstr>
      <vt:lpstr>Calc1</vt:lpstr>
      <vt:lpstr>Calc2</vt:lpstr>
      <vt:lpstr>Calc3</vt:lpstr>
      <vt:lpstr>Calc4</vt:lpstr>
      <vt:lpstr>CalcE</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2025-04-13T20:25:20Z</dcterms:modified>
</cp:coreProperties>
</file>