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AFDA6ABB-1ED3-49CC-BA1C-69B1DEDFD714}" xr6:coauthVersionLast="36" xr6:coauthVersionMax="36" xr10:uidLastSave="{00000000-0000-0000-0000-000000000000}"/>
  <bookViews>
    <workbookView xWindow="-120" yWindow="-120" windowWidth="29040" windowHeight="15750" tabRatio="712" activeTab="3" xr2:uid="{00000000-000D-0000-FFFF-FFFF00000000}"/>
  </bookViews>
  <sheets>
    <sheet name="Planung" sheetId="22" r:id="rId1"/>
    <sheet name="proof" sheetId="34" state="hidden" r:id="rId2"/>
    <sheet name="Pairings" sheetId="13" state="hidden" r:id="rId3"/>
    <sheet name="Vorrunde" sheetId="6" r:id="rId4"/>
    <sheet name="Playoffs" sheetId="41" r:id="rId5"/>
    <sheet name="Endrunde 1" sheetId="21" r:id="rId6"/>
    <sheet name="Endrunde 2" sheetId="24" r:id="rId7"/>
    <sheet name="Endrunde 3" sheetId="39" r:id="rId8"/>
    <sheet name="Endrunde 4" sheetId="49" r:id="rId9"/>
    <sheet name="DirVergleich_A" sheetId="36" state="hidden" r:id="rId10"/>
    <sheet name="DirVergleich_B" sheetId="46" state="hidden" r:id="rId11"/>
    <sheet name="DirVergleich_C" sheetId="47" state="hidden" r:id="rId12"/>
    <sheet name="DirVergleich_D" sheetId="48" state="hidden" r:id="rId13"/>
    <sheet name="Sprache" sheetId="9" r:id="rId14"/>
    <sheet name="Einstellungen" sheetId="44" r:id="rId15"/>
    <sheet name="Info" sheetId="43" r:id="rId16"/>
    <sheet name="Calc1" sheetId="3" state="hidden" r:id="rId17"/>
    <sheet name="Calc2" sheetId="17" state="hidden" r:id="rId18"/>
    <sheet name="Calc3" sheetId="25" state="hidden" r:id="rId19"/>
    <sheet name="Calc4" sheetId="35" state="hidden" r:id="rId20"/>
    <sheet name="CalcE" sheetId="42" state="hidden" r:id="rId21"/>
    <sheet name="CalcE1" sheetId="26" state="hidden" r:id="rId22"/>
    <sheet name="CalcE2" sheetId="27" state="hidden" r:id="rId23"/>
    <sheet name="CalcE3" sheetId="28" state="hidden" r:id="rId24"/>
    <sheet name="CalcE4" sheetId="29" state="hidden" r:id="rId25"/>
    <sheet name="CalcE5" sheetId="30" state="hidden" r:id="rId26"/>
    <sheet name="CalcE6" sheetId="31" state="hidden" r:id="rId27"/>
  </sheets>
  <calcPr calcId="191029" concurrentCalc="0"/>
</workbook>
</file>

<file path=xl/calcChain.xml><?xml version="1.0" encoding="utf-8"?>
<calcChain xmlns="http://schemas.openxmlformats.org/spreadsheetml/2006/main">
  <c r="AA10" i="21" l="1"/>
  <c r="AC27" i="21"/>
  <c r="AE27" i="21"/>
  <c r="I6" i="22" a="1"/>
  <c r="I6" i="22"/>
  <c r="L6" i="22"/>
  <c r="V64" i="3"/>
  <c r="F12" i="6"/>
  <c r="K6" i="22" a="1"/>
  <c r="K6" i="22"/>
  <c r="N6" i="22"/>
  <c r="H12" i="6"/>
  <c r="BA12" i="6"/>
  <c r="R12" i="6"/>
  <c r="AJ64" i="3"/>
  <c r="W64" i="3"/>
  <c r="T12" i="6"/>
  <c r="AA64" i="3"/>
  <c r="I7" i="22"/>
  <c r="L7" i="22"/>
  <c r="V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I51" i="22"/>
  <c r="L51" i="22"/>
  <c r="V109" i="3"/>
  <c r="I52" i="22"/>
  <c r="L52" i="22"/>
  <c r="V110" i="3"/>
  <c r="I53" i="22"/>
  <c r="L53" i="22"/>
  <c r="V111" i="3"/>
  <c r="I54" i="22"/>
  <c r="L54" i="22"/>
  <c r="V112" i="3"/>
  <c r="I55" i="22"/>
  <c r="L55" i="22"/>
  <c r="V113" i="3"/>
  <c r="I56" i="22"/>
  <c r="L56" i="22"/>
  <c r="V114" i="3"/>
  <c r="I57" i="22"/>
  <c r="L57" i="22"/>
  <c r="V115" i="3"/>
  <c r="I58" i="22"/>
  <c r="L58" i="22"/>
  <c r="V116" i="3"/>
  <c r="I59" i="22"/>
  <c r="L59" i="22"/>
  <c r="V117" i="3"/>
  <c r="I60" i="22"/>
  <c r="L60" i="22"/>
  <c r="V118" i="3"/>
  <c r="I61" i="22"/>
  <c r="L61" i="22"/>
  <c r="V119" i="3"/>
  <c r="I62" i="22"/>
  <c r="L62" i="22"/>
  <c r="V120" i="3"/>
  <c r="I63" i="22"/>
  <c r="L63" i="22"/>
  <c r="V121" i="3"/>
  <c r="I64" i="22"/>
  <c r="L64" i="22"/>
  <c r="V122" i="3"/>
  <c r="I65" i="22"/>
  <c r="L65" i="22"/>
  <c r="V123" i="3"/>
  <c r="F13" i="6"/>
  <c r="K7" i="22"/>
  <c r="N7" i="22"/>
  <c r="H13" i="6"/>
  <c r="BD13" i="6"/>
  <c r="BC13" i="6"/>
  <c r="BA13" i="6"/>
  <c r="R13" i="6"/>
  <c r="AJ65" i="3"/>
  <c r="F14" i="6"/>
  <c r="K8" i="22"/>
  <c r="N8" i="22"/>
  <c r="H14" i="6"/>
  <c r="BA14" i="6"/>
  <c r="R14" i="6"/>
  <c r="AJ66" i="3"/>
  <c r="F15" i="6"/>
  <c r="K9" i="22"/>
  <c r="N9" i="22"/>
  <c r="H15" i="6"/>
  <c r="BA15" i="6"/>
  <c r="R15" i="6"/>
  <c r="AJ67" i="3"/>
  <c r="F16" i="6"/>
  <c r="K10" i="22"/>
  <c r="N10" i="22"/>
  <c r="H16" i="6"/>
  <c r="BA16" i="6"/>
  <c r="R16" i="6"/>
  <c r="AJ68" i="3"/>
  <c r="F17" i="6"/>
  <c r="K11" i="22"/>
  <c r="N11" i="22"/>
  <c r="H17" i="6"/>
  <c r="BA17" i="6"/>
  <c r="R17" i="6"/>
  <c r="AJ69" i="3"/>
  <c r="F18" i="6"/>
  <c r="K12" i="22"/>
  <c r="N12" i="22"/>
  <c r="H18" i="6"/>
  <c r="BA18" i="6"/>
  <c r="R18" i="6"/>
  <c r="AJ70" i="3"/>
  <c r="F19" i="6"/>
  <c r="K13" i="22"/>
  <c r="N13" i="22"/>
  <c r="H19" i="6"/>
  <c r="BA19" i="6"/>
  <c r="R19" i="6"/>
  <c r="AJ71" i="3"/>
  <c r="F20" i="6"/>
  <c r="K14" i="22"/>
  <c r="N14" i="22"/>
  <c r="H20" i="6"/>
  <c r="BA20" i="6"/>
  <c r="R20" i="6"/>
  <c r="AJ72" i="3"/>
  <c r="F21" i="6"/>
  <c r="K15" i="22"/>
  <c r="N15" i="22"/>
  <c r="H21" i="6"/>
  <c r="BA21" i="6"/>
  <c r="R21" i="6"/>
  <c r="AJ73" i="3"/>
  <c r="F22" i="6"/>
  <c r="K16" i="22"/>
  <c r="N16" i="22"/>
  <c r="H22" i="6"/>
  <c r="BA22" i="6"/>
  <c r="R22" i="6"/>
  <c r="AJ74" i="3"/>
  <c r="F23" i="6"/>
  <c r="K17" i="22"/>
  <c r="N17" i="22"/>
  <c r="H23" i="6"/>
  <c r="BA23" i="6"/>
  <c r="R23" i="6"/>
  <c r="AJ75" i="3"/>
  <c r="F24" i="6"/>
  <c r="K18" i="22"/>
  <c r="N18" i="22"/>
  <c r="H24" i="6"/>
  <c r="BA24" i="6"/>
  <c r="R24" i="6"/>
  <c r="AJ76" i="3"/>
  <c r="F25" i="6"/>
  <c r="K19" i="22"/>
  <c r="N19" i="22"/>
  <c r="H25" i="6"/>
  <c r="BA25" i="6"/>
  <c r="R25" i="6"/>
  <c r="AJ77" i="3"/>
  <c r="F26" i="6"/>
  <c r="K20" i="22"/>
  <c r="N20" i="22"/>
  <c r="H26" i="6"/>
  <c r="BA26" i="6"/>
  <c r="R26" i="6"/>
  <c r="AJ78" i="3"/>
  <c r="F27" i="6"/>
  <c r="K21" i="22"/>
  <c r="N21" i="22"/>
  <c r="H27" i="6"/>
  <c r="BA27" i="6"/>
  <c r="R27" i="6"/>
  <c r="AJ79" i="3"/>
  <c r="F28" i="6"/>
  <c r="K22" i="22"/>
  <c r="N22" i="22"/>
  <c r="H28" i="6"/>
  <c r="BA28" i="6"/>
  <c r="R28" i="6"/>
  <c r="AJ80" i="3"/>
  <c r="F29" i="6"/>
  <c r="K23" i="22"/>
  <c r="N23" i="22"/>
  <c r="H29" i="6"/>
  <c r="BA29" i="6"/>
  <c r="R29" i="6"/>
  <c r="AJ81" i="3"/>
  <c r="F30" i="6"/>
  <c r="K24" i="22"/>
  <c r="N24" i="22"/>
  <c r="H30" i="6"/>
  <c r="BA30" i="6"/>
  <c r="R30" i="6"/>
  <c r="AJ82" i="3"/>
  <c r="F31" i="6"/>
  <c r="K25" i="22"/>
  <c r="N25" i="22"/>
  <c r="H31" i="6"/>
  <c r="BA31" i="6"/>
  <c r="R31" i="6"/>
  <c r="AJ83" i="3"/>
  <c r="F32" i="6"/>
  <c r="K26" i="22"/>
  <c r="N26" i="22"/>
  <c r="H32" i="6"/>
  <c r="BA32" i="6"/>
  <c r="R32" i="6"/>
  <c r="AJ84" i="3"/>
  <c r="F33" i="6"/>
  <c r="K27" i="22"/>
  <c r="N27" i="22"/>
  <c r="H33" i="6"/>
  <c r="BA33" i="6"/>
  <c r="R33" i="6"/>
  <c r="AJ85" i="3"/>
  <c r="F34" i="6"/>
  <c r="K28" i="22"/>
  <c r="N28" i="22"/>
  <c r="H34" i="6"/>
  <c r="BA34" i="6"/>
  <c r="R34" i="6"/>
  <c r="AJ86" i="3"/>
  <c r="F35" i="6"/>
  <c r="K29" i="22"/>
  <c r="N29" i="22"/>
  <c r="H35" i="6"/>
  <c r="BA35" i="6"/>
  <c r="R35" i="6"/>
  <c r="AJ87" i="3"/>
  <c r="F36" i="6"/>
  <c r="K30" i="22"/>
  <c r="N30" i="22"/>
  <c r="H36" i="6"/>
  <c r="BA36" i="6"/>
  <c r="R36" i="6"/>
  <c r="AJ88" i="3"/>
  <c r="F37" i="6"/>
  <c r="K31" i="22"/>
  <c r="N31" i="22"/>
  <c r="H37" i="6"/>
  <c r="BA37" i="6"/>
  <c r="R37" i="6"/>
  <c r="AJ89" i="3"/>
  <c r="F38" i="6"/>
  <c r="K32" i="22"/>
  <c r="N32" i="22"/>
  <c r="H38" i="6"/>
  <c r="BA38" i="6"/>
  <c r="R38" i="6"/>
  <c r="AJ90" i="3"/>
  <c r="F39" i="6"/>
  <c r="K33" i="22"/>
  <c r="N33" i="22"/>
  <c r="H39" i="6"/>
  <c r="BA39" i="6"/>
  <c r="R39" i="6"/>
  <c r="AJ91" i="3"/>
  <c r="F40" i="6"/>
  <c r="K34" i="22"/>
  <c r="N34" i="22"/>
  <c r="H40" i="6"/>
  <c r="BA40" i="6"/>
  <c r="R40" i="6"/>
  <c r="AJ92" i="3"/>
  <c r="F41" i="6"/>
  <c r="K35" i="22"/>
  <c r="N35" i="22"/>
  <c r="H41" i="6"/>
  <c r="BA41" i="6"/>
  <c r="R41" i="6"/>
  <c r="AJ93" i="3"/>
  <c r="F42" i="6"/>
  <c r="K36" i="22"/>
  <c r="N36" i="22"/>
  <c r="H42" i="6"/>
  <c r="BA42" i="6"/>
  <c r="R42" i="6"/>
  <c r="AJ94" i="3"/>
  <c r="F43" i="6"/>
  <c r="K37" i="22"/>
  <c r="N37" i="22"/>
  <c r="H43" i="6"/>
  <c r="BA43" i="6"/>
  <c r="R43" i="6"/>
  <c r="AJ95" i="3"/>
  <c r="F44" i="6"/>
  <c r="K38" i="22"/>
  <c r="N38" i="22"/>
  <c r="H44" i="6"/>
  <c r="BA44" i="6"/>
  <c r="R44" i="6"/>
  <c r="AJ96" i="3"/>
  <c r="F45" i="6"/>
  <c r="K39" i="22"/>
  <c r="N39" i="22"/>
  <c r="H45" i="6"/>
  <c r="BA45" i="6"/>
  <c r="R45" i="6"/>
  <c r="AJ97" i="3"/>
  <c r="F46" i="6"/>
  <c r="K40" i="22"/>
  <c r="N40" i="22"/>
  <c r="H46" i="6"/>
  <c r="BA46" i="6"/>
  <c r="R46" i="6"/>
  <c r="AJ98" i="3"/>
  <c r="F47" i="6"/>
  <c r="K41" i="22"/>
  <c r="N41" i="22"/>
  <c r="H47" i="6"/>
  <c r="BA47" i="6"/>
  <c r="R47" i="6"/>
  <c r="AJ99" i="3"/>
  <c r="F48" i="6"/>
  <c r="K42" i="22"/>
  <c r="N42" i="22"/>
  <c r="H48" i="6"/>
  <c r="BA48" i="6"/>
  <c r="R48" i="6"/>
  <c r="AJ100" i="3"/>
  <c r="F49" i="6"/>
  <c r="K43" i="22"/>
  <c r="N43" i="22"/>
  <c r="H49" i="6"/>
  <c r="BA49" i="6"/>
  <c r="R49" i="6"/>
  <c r="AJ101" i="3"/>
  <c r="F50" i="6"/>
  <c r="K44" i="22"/>
  <c r="N44" i="22"/>
  <c r="H50" i="6"/>
  <c r="BA50" i="6"/>
  <c r="R50" i="6"/>
  <c r="AJ102" i="3"/>
  <c r="F51" i="6"/>
  <c r="K45" i="22"/>
  <c r="N45" i="22"/>
  <c r="H51" i="6"/>
  <c r="BA51" i="6"/>
  <c r="R51" i="6"/>
  <c r="AJ103" i="3"/>
  <c r="F52" i="6"/>
  <c r="K46" i="22"/>
  <c r="N46" i="22"/>
  <c r="H52" i="6"/>
  <c r="BA52" i="6"/>
  <c r="R52" i="6"/>
  <c r="AJ104" i="3"/>
  <c r="F53" i="6"/>
  <c r="K47" i="22"/>
  <c r="N47" i="22"/>
  <c r="H53" i="6"/>
  <c r="BA53" i="6"/>
  <c r="R53" i="6"/>
  <c r="AJ105" i="3"/>
  <c r="F54" i="6"/>
  <c r="K48" i="22"/>
  <c r="N48" i="22"/>
  <c r="H54" i="6"/>
  <c r="BA54" i="6"/>
  <c r="R54" i="6"/>
  <c r="AJ106" i="3"/>
  <c r="F55" i="6"/>
  <c r="K49" i="22"/>
  <c r="N49" i="22"/>
  <c r="H55" i="6"/>
  <c r="BA55" i="6"/>
  <c r="R55" i="6"/>
  <c r="AJ107" i="3"/>
  <c r="F56" i="6"/>
  <c r="K50" i="22"/>
  <c r="N50" i="22"/>
  <c r="H56" i="6"/>
  <c r="BA56" i="6"/>
  <c r="R56" i="6"/>
  <c r="AJ108" i="3"/>
  <c r="F57" i="6"/>
  <c r="K51" i="22"/>
  <c r="N51" i="22"/>
  <c r="H57" i="6"/>
  <c r="BA57" i="6"/>
  <c r="R57" i="6"/>
  <c r="AJ109" i="3"/>
  <c r="F58" i="6"/>
  <c r="K52" i="22"/>
  <c r="N52" i="22"/>
  <c r="H58" i="6"/>
  <c r="BA58" i="6"/>
  <c r="R58" i="6"/>
  <c r="AJ110" i="3"/>
  <c r="F59" i="6"/>
  <c r="K53" i="22"/>
  <c r="N53" i="22"/>
  <c r="H59" i="6"/>
  <c r="BA59" i="6"/>
  <c r="R59" i="6"/>
  <c r="AJ111" i="3"/>
  <c r="F60" i="6"/>
  <c r="K54" i="22"/>
  <c r="N54" i="22"/>
  <c r="H60" i="6"/>
  <c r="BA60" i="6"/>
  <c r="R60" i="6"/>
  <c r="AJ112" i="3"/>
  <c r="F61" i="6"/>
  <c r="K55" i="22"/>
  <c r="N55" i="22"/>
  <c r="H61" i="6"/>
  <c r="BA61" i="6"/>
  <c r="R61" i="6"/>
  <c r="AJ113" i="3"/>
  <c r="F62" i="6"/>
  <c r="K56" i="22"/>
  <c r="N56" i="22"/>
  <c r="H62" i="6"/>
  <c r="BA62" i="6"/>
  <c r="R62" i="6"/>
  <c r="AJ114" i="3"/>
  <c r="F63" i="6"/>
  <c r="K57" i="22"/>
  <c r="N57" i="22"/>
  <c r="H63" i="6"/>
  <c r="BA63" i="6"/>
  <c r="R63" i="6"/>
  <c r="AJ115" i="3"/>
  <c r="F64" i="6"/>
  <c r="K58" i="22"/>
  <c r="N58" i="22"/>
  <c r="H64" i="6"/>
  <c r="BA64" i="6"/>
  <c r="R64" i="6"/>
  <c r="AJ116" i="3"/>
  <c r="F65" i="6"/>
  <c r="K59" i="22"/>
  <c r="N59" i="22"/>
  <c r="H65" i="6"/>
  <c r="BA65" i="6"/>
  <c r="R65" i="6"/>
  <c r="AJ117" i="3"/>
  <c r="F66" i="6"/>
  <c r="K60" i="22"/>
  <c r="N60" i="22"/>
  <c r="H66" i="6"/>
  <c r="BA66" i="6"/>
  <c r="R66" i="6"/>
  <c r="AJ118" i="3"/>
  <c r="F67" i="6"/>
  <c r="K61" i="22"/>
  <c r="N61" i="22"/>
  <c r="H67" i="6"/>
  <c r="BA67" i="6"/>
  <c r="R67" i="6"/>
  <c r="AJ119" i="3"/>
  <c r="F68" i="6"/>
  <c r="K62" i="22"/>
  <c r="N62" i="22"/>
  <c r="H68" i="6"/>
  <c r="BA68" i="6"/>
  <c r="R68" i="6"/>
  <c r="AJ120" i="3"/>
  <c r="F69" i="6"/>
  <c r="K63" i="22"/>
  <c r="N63" i="22"/>
  <c r="H69" i="6"/>
  <c r="BA69" i="6"/>
  <c r="R69" i="6"/>
  <c r="AJ121" i="3"/>
  <c r="F70" i="6"/>
  <c r="K64" i="22"/>
  <c r="N64" i="22"/>
  <c r="H70" i="6"/>
  <c r="BA70" i="6"/>
  <c r="R70" i="6"/>
  <c r="AJ122" i="3"/>
  <c r="F71" i="6"/>
  <c r="K65" i="22"/>
  <c r="N65" i="22"/>
  <c r="H71" i="6"/>
  <c r="BA71" i="6"/>
  <c r="R71" i="6"/>
  <c r="AJ123" i="3"/>
  <c r="W65" i="3"/>
  <c r="T13" i="6"/>
  <c r="AA65" i="3"/>
  <c r="W66" i="3"/>
  <c r="T14" i="6"/>
  <c r="AA66" i="3"/>
  <c r="W67" i="3"/>
  <c r="T15" i="6"/>
  <c r="AA67" i="3"/>
  <c r="W68" i="3"/>
  <c r="T16" i="6"/>
  <c r="AA68" i="3"/>
  <c r="W69" i="3"/>
  <c r="T17" i="6"/>
  <c r="AA69" i="3"/>
  <c r="W70" i="3"/>
  <c r="T18" i="6"/>
  <c r="AA70" i="3"/>
  <c r="W71" i="3"/>
  <c r="T19" i="6"/>
  <c r="AA71" i="3"/>
  <c r="W72" i="3"/>
  <c r="T20" i="6"/>
  <c r="AA72" i="3"/>
  <c r="W73" i="3"/>
  <c r="T21" i="6"/>
  <c r="AA73" i="3"/>
  <c r="W74" i="3"/>
  <c r="T22" i="6"/>
  <c r="AA74" i="3"/>
  <c r="W75" i="3"/>
  <c r="T23" i="6"/>
  <c r="AA75" i="3"/>
  <c r="W76" i="3"/>
  <c r="T24" i="6"/>
  <c r="AA76" i="3"/>
  <c r="W77" i="3"/>
  <c r="T25" i="6"/>
  <c r="AA77" i="3"/>
  <c r="W78" i="3"/>
  <c r="T26" i="6"/>
  <c r="AA78" i="3"/>
  <c r="W79" i="3"/>
  <c r="T27" i="6"/>
  <c r="AA79" i="3"/>
  <c r="W80" i="3"/>
  <c r="T28" i="6"/>
  <c r="AA80" i="3"/>
  <c r="W81" i="3"/>
  <c r="T29" i="6"/>
  <c r="AA81" i="3"/>
  <c r="W82" i="3"/>
  <c r="T30" i="6"/>
  <c r="AA82" i="3"/>
  <c r="W83" i="3"/>
  <c r="T31" i="6"/>
  <c r="AA83" i="3"/>
  <c r="W84" i="3"/>
  <c r="T32" i="6"/>
  <c r="AA84" i="3"/>
  <c r="W85" i="3"/>
  <c r="T33" i="6"/>
  <c r="AA85" i="3"/>
  <c r="W86" i="3"/>
  <c r="T34" i="6"/>
  <c r="AA86" i="3"/>
  <c r="W87" i="3"/>
  <c r="T35" i="6"/>
  <c r="AA87" i="3"/>
  <c r="W88" i="3"/>
  <c r="T36" i="6"/>
  <c r="AA88" i="3"/>
  <c r="W89" i="3"/>
  <c r="T37" i="6"/>
  <c r="AA89" i="3"/>
  <c r="W90" i="3"/>
  <c r="T38" i="6"/>
  <c r="AA90" i="3"/>
  <c r="W91" i="3"/>
  <c r="T39" i="6"/>
  <c r="AA91" i="3"/>
  <c r="W92" i="3"/>
  <c r="T40" i="6"/>
  <c r="AA92" i="3"/>
  <c r="W93" i="3"/>
  <c r="T41" i="6"/>
  <c r="AA93" i="3"/>
  <c r="W94" i="3"/>
  <c r="T42" i="6"/>
  <c r="AA94" i="3"/>
  <c r="W95" i="3"/>
  <c r="T43" i="6"/>
  <c r="AA95" i="3"/>
  <c r="W96" i="3"/>
  <c r="T44" i="6"/>
  <c r="AA96" i="3"/>
  <c r="W97" i="3"/>
  <c r="T45" i="6"/>
  <c r="AA97" i="3"/>
  <c r="W98" i="3"/>
  <c r="T46" i="6"/>
  <c r="AA98" i="3"/>
  <c r="W99" i="3"/>
  <c r="T47" i="6"/>
  <c r="AA99" i="3"/>
  <c r="W100" i="3"/>
  <c r="T48" i="6"/>
  <c r="AA100" i="3"/>
  <c r="W101" i="3"/>
  <c r="T49" i="6"/>
  <c r="AA101" i="3"/>
  <c r="W102" i="3"/>
  <c r="T50" i="6"/>
  <c r="AA102" i="3"/>
  <c r="W103" i="3"/>
  <c r="T51" i="6"/>
  <c r="AA103" i="3"/>
  <c r="W104" i="3"/>
  <c r="T52" i="6"/>
  <c r="AA104" i="3"/>
  <c r="W105" i="3"/>
  <c r="T53" i="6"/>
  <c r="AA105" i="3"/>
  <c r="W106" i="3"/>
  <c r="T54" i="6"/>
  <c r="AA106" i="3"/>
  <c r="W107" i="3"/>
  <c r="T55" i="6"/>
  <c r="AA107" i="3"/>
  <c r="W108" i="3"/>
  <c r="T56" i="6"/>
  <c r="AA108" i="3"/>
  <c r="W109" i="3"/>
  <c r="T57" i="6"/>
  <c r="AA109" i="3"/>
  <c r="W110" i="3"/>
  <c r="T58" i="6"/>
  <c r="AA110" i="3"/>
  <c r="W111" i="3"/>
  <c r="T59" i="6"/>
  <c r="AA111" i="3"/>
  <c r="W112" i="3"/>
  <c r="T60" i="6"/>
  <c r="AA112" i="3"/>
  <c r="W113" i="3"/>
  <c r="T61" i="6"/>
  <c r="AA113" i="3"/>
  <c r="W114" i="3"/>
  <c r="T62" i="6"/>
  <c r="AA114" i="3"/>
  <c r="W115" i="3"/>
  <c r="T63" i="6"/>
  <c r="AA115" i="3"/>
  <c r="W116" i="3"/>
  <c r="T64" i="6"/>
  <c r="AA116" i="3"/>
  <c r="W117" i="3"/>
  <c r="T65" i="6"/>
  <c r="AA117" i="3"/>
  <c r="W118" i="3"/>
  <c r="T66" i="6"/>
  <c r="AA118" i="3"/>
  <c r="W119" i="3"/>
  <c r="T67" i="6"/>
  <c r="AA119" i="3"/>
  <c r="W120" i="3"/>
  <c r="T68" i="6"/>
  <c r="AA120" i="3"/>
  <c r="W121" i="3"/>
  <c r="T69" i="6"/>
  <c r="AA121" i="3"/>
  <c r="W122" i="3"/>
  <c r="T70" i="6"/>
  <c r="AA122" i="3"/>
  <c r="W123" i="3"/>
  <c r="T71" i="6"/>
  <c r="AA12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10" i="3"/>
  <c r="AK111" i="3"/>
  <c r="AK112" i="3"/>
  <c r="AK113" i="3"/>
  <c r="AK114" i="3"/>
  <c r="AK115" i="3"/>
  <c r="AK116" i="3"/>
  <c r="AK117" i="3"/>
  <c r="AK118" i="3"/>
  <c r="AK119" i="3"/>
  <c r="AK120" i="3"/>
  <c r="AK121" i="3"/>
  <c r="AK122" i="3"/>
  <c r="AK123" i="3"/>
  <c r="K4" i="3"/>
  <c r="K5" i="3"/>
  <c r="K6" i="3"/>
  <c r="K7" i="3"/>
  <c r="K8" i="3"/>
  <c r="K9" i="3"/>
  <c r="K10" i="3"/>
  <c r="K11" i="3"/>
  <c r="K12" i="3"/>
  <c r="K13" i="3"/>
  <c r="L4" i="3"/>
  <c r="M4" i="3"/>
  <c r="J4" i="3"/>
  <c r="K17" i="3"/>
  <c r="AT4" i="3"/>
  <c r="AS4" i="3"/>
  <c r="AU4" i="3"/>
  <c r="X80" i="3"/>
  <c r="AD80" i="3"/>
  <c r="AF80" i="3"/>
  <c r="AH80" i="3"/>
  <c r="X100" i="3"/>
  <c r="AD100" i="3"/>
  <c r="AF100" i="3"/>
  <c r="AH100" i="3"/>
  <c r="Y72" i="3"/>
  <c r="AE72" i="3"/>
  <c r="AG72" i="3"/>
  <c r="AI72" i="3"/>
  <c r="Y92" i="3"/>
  <c r="AE92" i="3"/>
  <c r="AG92" i="3"/>
  <c r="AI92" i="3"/>
  <c r="G4" i="3"/>
  <c r="Y80" i="3"/>
  <c r="AE80" i="3"/>
  <c r="AG80" i="3"/>
  <c r="AI80" i="3"/>
  <c r="Y100" i="3"/>
  <c r="AE100" i="3"/>
  <c r="AG100" i="3"/>
  <c r="AI100" i="3"/>
  <c r="X72" i="3"/>
  <c r="AD72" i="3"/>
  <c r="AF72" i="3"/>
  <c r="AH72" i="3"/>
  <c r="X92" i="3"/>
  <c r="AD92" i="3"/>
  <c r="AF92" i="3"/>
  <c r="AH92" i="3"/>
  <c r="H4" i="3"/>
  <c r="I4" i="3"/>
  <c r="AW4" i="3"/>
  <c r="X76" i="3"/>
  <c r="AD76" i="3"/>
  <c r="AF76" i="3"/>
  <c r="AH76" i="3"/>
  <c r="X88" i="3"/>
  <c r="AD88" i="3"/>
  <c r="AF88" i="3"/>
  <c r="AH88" i="3"/>
  <c r="Y64" i="3"/>
  <c r="AE64" i="3"/>
  <c r="AG64" i="3"/>
  <c r="AI64" i="3"/>
  <c r="G5" i="3"/>
  <c r="Y76" i="3"/>
  <c r="AE76" i="3"/>
  <c r="AG76" i="3"/>
  <c r="AI76" i="3"/>
  <c r="Y88" i="3"/>
  <c r="AE88" i="3"/>
  <c r="AG88" i="3"/>
  <c r="AI88" i="3"/>
  <c r="X64" i="3"/>
  <c r="AD64" i="3"/>
  <c r="AF64" i="3"/>
  <c r="AH64" i="3"/>
  <c r="H5" i="3"/>
  <c r="I5" i="3"/>
  <c r="AW5" i="3"/>
  <c r="X68" i="3"/>
  <c r="AD68" i="3"/>
  <c r="AF68" i="3"/>
  <c r="AH68" i="3"/>
  <c r="X84" i="3"/>
  <c r="AD84" i="3"/>
  <c r="AF84" i="3"/>
  <c r="AH84" i="3"/>
  <c r="G6" i="3"/>
  <c r="Y68" i="3"/>
  <c r="AE68" i="3"/>
  <c r="AG68" i="3"/>
  <c r="AI68" i="3"/>
  <c r="Y84" i="3"/>
  <c r="AE84" i="3"/>
  <c r="AG84" i="3"/>
  <c r="AI84" i="3"/>
  <c r="H6" i="3"/>
  <c r="I6" i="3"/>
  <c r="AW6" i="3"/>
  <c r="X96" i="3"/>
  <c r="AD96" i="3"/>
  <c r="AF96" i="3"/>
  <c r="AH96" i="3"/>
  <c r="G7" i="3"/>
  <c r="Y96" i="3"/>
  <c r="AE96" i="3"/>
  <c r="AG96" i="3"/>
  <c r="AI96" i="3"/>
  <c r="H7" i="3"/>
  <c r="I7" i="3"/>
  <c r="AW7" i="3"/>
  <c r="G8" i="3"/>
  <c r="H8" i="3"/>
  <c r="I8" i="3"/>
  <c r="AW8" i="3"/>
  <c r="AH104" i="3"/>
  <c r="AH105" i="3"/>
  <c r="AH106" i="3"/>
  <c r="AH107" i="3"/>
  <c r="X65" i="3"/>
  <c r="AD65" i="3"/>
  <c r="AF65" i="3"/>
  <c r="AH65" i="3"/>
  <c r="X66" i="3"/>
  <c r="AD66" i="3"/>
  <c r="AF66" i="3"/>
  <c r="AH66" i="3"/>
  <c r="X67" i="3"/>
  <c r="AD67" i="3"/>
  <c r="AF67" i="3"/>
  <c r="AH67" i="3"/>
  <c r="X69" i="3"/>
  <c r="AD69" i="3"/>
  <c r="AF69" i="3"/>
  <c r="AH69" i="3"/>
  <c r="X70" i="3"/>
  <c r="AD70" i="3"/>
  <c r="AF70" i="3"/>
  <c r="AH70" i="3"/>
  <c r="X71" i="3"/>
  <c r="AD71" i="3"/>
  <c r="AF71" i="3"/>
  <c r="AH71" i="3"/>
  <c r="X73" i="3"/>
  <c r="AD73" i="3"/>
  <c r="AF73" i="3"/>
  <c r="AH73" i="3"/>
  <c r="X74" i="3"/>
  <c r="AD74" i="3"/>
  <c r="AF74" i="3"/>
  <c r="AH74" i="3"/>
  <c r="X75" i="3"/>
  <c r="AD75" i="3"/>
  <c r="AF75" i="3"/>
  <c r="AH75" i="3"/>
  <c r="X77" i="3"/>
  <c r="AD77" i="3"/>
  <c r="AF77" i="3"/>
  <c r="AH77" i="3"/>
  <c r="X78" i="3"/>
  <c r="AD78" i="3"/>
  <c r="AF78" i="3"/>
  <c r="AH78" i="3"/>
  <c r="X79" i="3"/>
  <c r="AD79" i="3"/>
  <c r="AF79" i="3"/>
  <c r="AH79" i="3"/>
  <c r="X81" i="3"/>
  <c r="AD81" i="3"/>
  <c r="AF81" i="3"/>
  <c r="AH81" i="3"/>
  <c r="X82" i="3"/>
  <c r="AD82" i="3"/>
  <c r="AF82" i="3"/>
  <c r="AH82" i="3"/>
  <c r="X83" i="3"/>
  <c r="AD83" i="3"/>
  <c r="AF83" i="3"/>
  <c r="AH83" i="3"/>
  <c r="X85" i="3"/>
  <c r="AD85" i="3"/>
  <c r="AF85" i="3"/>
  <c r="AH85" i="3"/>
  <c r="X86" i="3"/>
  <c r="AD86" i="3"/>
  <c r="AF86" i="3"/>
  <c r="AH86" i="3"/>
  <c r="X87" i="3"/>
  <c r="AD87" i="3"/>
  <c r="AF87" i="3"/>
  <c r="AH87" i="3"/>
  <c r="X89" i="3"/>
  <c r="AD89" i="3"/>
  <c r="AF89" i="3"/>
  <c r="AH89" i="3"/>
  <c r="X90" i="3"/>
  <c r="AD90" i="3"/>
  <c r="AF90" i="3"/>
  <c r="AH90" i="3"/>
  <c r="X91" i="3"/>
  <c r="AD91" i="3"/>
  <c r="AF91" i="3"/>
  <c r="AH91" i="3"/>
  <c r="X93" i="3"/>
  <c r="AD93" i="3"/>
  <c r="AF93" i="3"/>
  <c r="AH93" i="3"/>
  <c r="X94" i="3"/>
  <c r="AD94" i="3"/>
  <c r="AF94" i="3"/>
  <c r="AH94" i="3"/>
  <c r="X95" i="3"/>
  <c r="AD95" i="3"/>
  <c r="AF95" i="3"/>
  <c r="AH95" i="3"/>
  <c r="X97" i="3"/>
  <c r="AD97" i="3"/>
  <c r="AF97" i="3"/>
  <c r="AH97" i="3"/>
  <c r="X98" i="3"/>
  <c r="AD98" i="3"/>
  <c r="AF98" i="3"/>
  <c r="AH98" i="3"/>
  <c r="X99" i="3"/>
  <c r="AD99" i="3"/>
  <c r="AF99" i="3"/>
  <c r="AH99" i="3"/>
  <c r="X101" i="3"/>
  <c r="AD101" i="3"/>
  <c r="AF101" i="3"/>
  <c r="AH101" i="3"/>
  <c r="X102" i="3"/>
  <c r="AD102" i="3"/>
  <c r="AF102" i="3"/>
  <c r="AH102" i="3"/>
  <c r="X103" i="3"/>
  <c r="AD103" i="3"/>
  <c r="AF103" i="3"/>
  <c r="AH103" i="3"/>
  <c r="AH108" i="3"/>
  <c r="AH109" i="3"/>
  <c r="AH110" i="3"/>
  <c r="AH111" i="3"/>
  <c r="AH112" i="3"/>
  <c r="AH113" i="3"/>
  <c r="AH114" i="3"/>
  <c r="AH115" i="3"/>
  <c r="AH116" i="3"/>
  <c r="AH117" i="3"/>
  <c r="AH118" i="3"/>
  <c r="AH119" i="3"/>
  <c r="AH120" i="3"/>
  <c r="AH121" i="3"/>
  <c r="AH122" i="3"/>
  <c r="AH123" i="3"/>
  <c r="Y65" i="3"/>
  <c r="AE65" i="3"/>
  <c r="AG65" i="3"/>
  <c r="AI65" i="3"/>
  <c r="Y66" i="3"/>
  <c r="AE66" i="3"/>
  <c r="AG66" i="3"/>
  <c r="AI66" i="3"/>
  <c r="Y67" i="3"/>
  <c r="AE67" i="3"/>
  <c r="AG67" i="3"/>
  <c r="AI67" i="3"/>
  <c r="Y69" i="3"/>
  <c r="AE69" i="3"/>
  <c r="AG69" i="3"/>
  <c r="AI69" i="3"/>
  <c r="Y70" i="3"/>
  <c r="AE70" i="3"/>
  <c r="AG70" i="3"/>
  <c r="AI70" i="3"/>
  <c r="Y71" i="3"/>
  <c r="AE71" i="3"/>
  <c r="AG71" i="3"/>
  <c r="AI71" i="3"/>
  <c r="Y73" i="3"/>
  <c r="AE73" i="3"/>
  <c r="AG73" i="3"/>
  <c r="AI73" i="3"/>
  <c r="Y74" i="3"/>
  <c r="AE74" i="3"/>
  <c r="AG74" i="3"/>
  <c r="AI74" i="3"/>
  <c r="Y75" i="3"/>
  <c r="AE75" i="3"/>
  <c r="AG75" i="3"/>
  <c r="AI75" i="3"/>
  <c r="Y77" i="3"/>
  <c r="AE77" i="3"/>
  <c r="AG77" i="3"/>
  <c r="AI77" i="3"/>
  <c r="Y78" i="3"/>
  <c r="AE78" i="3"/>
  <c r="AG78" i="3"/>
  <c r="AI78" i="3"/>
  <c r="Y79" i="3"/>
  <c r="AE79" i="3"/>
  <c r="AG79" i="3"/>
  <c r="AI79" i="3"/>
  <c r="Y81" i="3"/>
  <c r="AE81" i="3"/>
  <c r="AG81" i="3"/>
  <c r="AI81" i="3"/>
  <c r="Y82" i="3"/>
  <c r="AE82" i="3"/>
  <c r="AG82" i="3"/>
  <c r="AI82" i="3"/>
  <c r="Y83" i="3"/>
  <c r="AE83" i="3"/>
  <c r="AG83" i="3"/>
  <c r="AI83" i="3"/>
  <c r="Y85" i="3"/>
  <c r="AE85" i="3"/>
  <c r="AG85" i="3"/>
  <c r="AI85" i="3"/>
  <c r="Y86" i="3"/>
  <c r="AE86" i="3"/>
  <c r="AG86" i="3"/>
  <c r="AI86" i="3"/>
  <c r="Y87" i="3"/>
  <c r="AE87" i="3"/>
  <c r="AG87" i="3"/>
  <c r="AI87" i="3"/>
  <c r="Y89" i="3"/>
  <c r="AE89" i="3"/>
  <c r="AG89" i="3"/>
  <c r="AI89" i="3"/>
  <c r="Y90" i="3"/>
  <c r="AE90" i="3"/>
  <c r="AG90" i="3"/>
  <c r="AI90" i="3"/>
  <c r="Y91" i="3"/>
  <c r="AE91" i="3"/>
  <c r="AG91" i="3"/>
  <c r="AI91" i="3"/>
  <c r="Y93" i="3"/>
  <c r="AE93" i="3"/>
  <c r="AG93" i="3"/>
  <c r="AI93" i="3"/>
  <c r="Y94" i="3"/>
  <c r="AE94" i="3"/>
  <c r="AG94" i="3"/>
  <c r="AI94" i="3"/>
  <c r="Y95" i="3"/>
  <c r="AE95" i="3"/>
  <c r="AG95" i="3"/>
  <c r="AI95" i="3"/>
  <c r="Y97" i="3"/>
  <c r="AE97" i="3"/>
  <c r="AG97" i="3"/>
  <c r="AI97" i="3"/>
  <c r="Y98" i="3"/>
  <c r="AE98" i="3"/>
  <c r="AG98" i="3"/>
  <c r="AI98" i="3"/>
  <c r="Y99" i="3"/>
  <c r="AE99" i="3"/>
  <c r="AG99" i="3"/>
  <c r="AI99" i="3"/>
  <c r="Y101" i="3"/>
  <c r="AE101" i="3"/>
  <c r="AG101" i="3"/>
  <c r="AI101" i="3"/>
  <c r="Y102" i="3"/>
  <c r="AE102" i="3"/>
  <c r="AG102" i="3"/>
  <c r="AI102" i="3"/>
  <c r="Y103" i="3"/>
  <c r="AE103" i="3"/>
  <c r="AG103" i="3"/>
  <c r="AI103" i="3"/>
  <c r="AI104" i="3"/>
  <c r="AI105" i="3"/>
  <c r="AI106" i="3"/>
  <c r="AI107" i="3"/>
  <c r="AI108" i="3"/>
  <c r="AI109" i="3"/>
  <c r="AI110" i="3"/>
  <c r="AI111" i="3"/>
  <c r="AI112" i="3"/>
  <c r="AI113" i="3"/>
  <c r="AI114" i="3"/>
  <c r="AI115" i="3"/>
  <c r="AI116" i="3"/>
  <c r="AI117" i="3"/>
  <c r="AI118" i="3"/>
  <c r="AI119" i="3"/>
  <c r="AI120" i="3"/>
  <c r="AI121" i="3"/>
  <c r="AI122" i="3"/>
  <c r="AI123" i="3"/>
  <c r="G9" i="3"/>
  <c r="H9" i="3"/>
  <c r="I9" i="3"/>
  <c r="AW9" i="3"/>
  <c r="G10" i="3"/>
  <c r="H10" i="3"/>
  <c r="I10" i="3"/>
  <c r="AW10" i="3"/>
  <c r="G11" i="3"/>
  <c r="H11" i="3"/>
  <c r="I11" i="3"/>
  <c r="AW11" i="3"/>
  <c r="G12" i="3"/>
  <c r="H12" i="3"/>
  <c r="I12" i="3"/>
  <c r="AW12" i="3"/>
  <c r="AX4" i="3"/>
  <c r="L17" i="3"/>
  <c r="L5" i="3"/>
  <c r="M5" i="3"/>
  <c r="J5" i="3"/>
  <c r="K18" i="3"/>
  <c r="AT5" i="3"/>
  <c r="AS5" i="3"/>
  <c r="AU5" i="3"/>
  <c r="AX5" i="3"/>
  <c r="L18" i="3"/>
  <c r="L6" i="3"/>
  <c r="M6" i="3"/>
  <c r="J6" i="3"/>
  <c r="K19" i="3"/>
  <c r="AT6" i="3"/>
  <c r="AS6" i="3"/>
  <c r="AU6" i="3"/>
  <c r="AX6" i="3"/>
  <c r="L19" i="3"/>
  <c r="L7" i="3"/>
  <c r="M7" i="3"/>
  <c r="J7" i="3"/>
  <c r="K20" i="3"/>
  <c r="AT7" i="3"/>
  <c r="AS7" i="3"/>
  <c r="AU7" i="3"/>
  <c r="AX7" i="3"/>
  <c r="L20" i="3"/>
  <c r="L8" i="3"/>
  <c r="M8" i="3"/>
  <c r="J8" i="3"/>
  <c r="K21" i="3"/>
  <c r="AT8" i="3"/>
  <c r="AS8" i="3"/>
  <c r="AU8" i="3"/>
  <c r="AX8" i="3"/>
  <c r="L21" i="3"/>
  <c r="L9" i="3"/>
  <c r="M9" i="3"/>
  <c r="J9" i="3"/>
  <c r="K22" i="3"/>
  <c r="AT9" i="3"/>
  <c r="AS9" i="3"/>
  <c r="AU9" i="3"/>
  <c r="AX9" i="3"/>
  <c r="L22" i="3"/>
  <c r="L10" i="3"/>
  <c r="M10" i="3"/>
  <c r="J10" i="3"/>
  <c r="K23" i="3"/>
  <c r="AT10" i="3"/>
  <c r="AS10" i="3"/>
  <c r="AU10" i="3"/>
  <c r="AX10" i="3"/>
  <c r="L23" i="3"/>
  <c r="L11" i="3"/>
  <c r="M11" i="3"/>
  <c r="J11" i="3"/>
  <c r="K24" i="3"/>
  <c r="AT11" i="3"/>
  <c r="AS11" i="3"/>
  <c r="AU11" i="3"/>
  <c r="AX11" i="3"/>
  <c r="L24" i="3"/>
  <c r="L12" i="3"/>
  <c r="M12" i="3"/>
  <c r="J12" i="3"/>
  <c r="K25" i="3"/>
  <c r="AT12" i="3"/>
  <c r="AS12" i="3"/>
  <c r="AU12" i="3"/>
  <c r="AX12"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W21" i="3"/>
  <c r="M22" i="3"/>
  <c r="N22" i="3" a="1"/>
  <c r="N22" i="3"/>
  <c r="O22" i="3"/>
  <c r="BT52" i="3"/>
  <c r="BU52" i="3"/>
  <c r="BV52" i="3"/>
  <c r="BW52"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30"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W22" i="3"/>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W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W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W25"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N4" i="3"/>
  <c r="N5" i="3"/>
  <c r="N6" i="3"/>
  <c r="C7" i="3"/>
  <c r="N7" i="3"/>
  <c r="C8" i="3"/>
  <c r="N8" i="3"/>
  <c r="C9" i="3"/>
  <c r="N9" i="3"/>
  <c r="C10" i="3"/>
  <c r="N10" i="3"/>
  <c r="C11" i="3"/>
  <c r="N11" i="3"/>
  <c r="C12" i="3"/>
  <c r="N12" i="3"/>
  <c r="X17" i="6"/>
  <c r="Y13" i="21"/>
  <c r="I12" i="21"/>
  <c r="V64" i="25"/>
  <c r="AJ64" i="25"/>
  <c r="W64" i="25"/>
  <c r="AA64" i="25"/>
  <c r="V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W65" i="25"/>
  <c r="AA65" i="25"/>
  <c r="W66" i="25"/>
  <c r="AA66" i="25"/>
  <c r="W67" i="25"/>
  <c r="AA67" i="25"/>
  <c r="W68" i="25"/>
  <c r="AA68" i="25"/>
  <c r="W69" i="25"/>
  <c r="AA69" i="25"/>
  <c r="W70" i="25"/>
  <c r="AA70" i="25"/>
  <c r="W71" i="25"/>
  <c r="AA71" i="25"/>
  <c r="W72" i="25"/>
  <c r="AA72" i="25"/>
  <c r="W73" i="25"/>
  <c r="AA73" i="25"/>
  <c r="W74" i="25"/>
  <c r="AA74" i="25"/>
  <c r="W75" i="25"/>
  <c r="AA75" i="25"/>
  <c r="W76" i="25"/>
  <c r="AA76" i="25"/>
  <c r="W77" i="25"/>
  <c r="AA77" i="25"/>
  <c r="W78" i="25"/>
  <c r="AA78" i="25"/>
  <c r="W79" i="25"/>
  <c r="AA79" i="25"/>
  <c r="W80" i="25"/>
  <c r="AA80" i="25"/>
  <c r="W81" i="25"/>
  <c r="AA81" i="25"/>
  <c r="W82" i="25"/>
  <c r="AA82" i="25"/>
  <c r="W83" i="25"/>
  <c r="AA83" i="25"/>
  <c r="W84" i="25"/>
  <c r="AA84" i="25"/>
  <c r="W85" i="25"/>
  <c r="AA85" i="25"/>
  <c r="W86" i="25"/>
  <c r="AA86" i="25"/>
  <c r="W87" i="25"/>
  <c r="AA87" i="25"/>
  <c r="W88" i="25"/>
  <c r="AA88" i="25"/>
  <c r="W89" i="25"/>
  <c r="AA89" i="25"/>
  <c r="W90" i="25"/>
  <c r="AA90" i="25"/>
  <c r="W91" i="25"/>
  <c r="AA91" i="25"/>
  <c r="W92" i="25"/>
  <c r="AA92" i="25"/>
  <c r="W93" i="25"/>
  <c r="AA93" i="25"/>
  <c r="W94" i="25"/>
  <c r="AA94" i="25"/>
  <c r="W95" i="25"/>
  <c r="AA95" i="25"/>
  <c r="W96" i="25"/>
  <c r="AA96" i="25"/>
  <c r="W97" i="25"/>
  <c r="AA97" i="25"/>
  <c r="W98" i="25"/>
  <c r="AA98" i="25"/>
  <c r="W99" i="25"/>
  <c r="AA99" i="25"/>
  <c r="W100" i="25"/>
  <c r="AA100" i="25"/>
  <c r="W101" i="25"/>
  <c r="AA101" i="25"/>
  <c r="W102" i="25"/>
  <c r="AA102" i="25"/>
  <c r="W103" i="25"/>
  <c r="AA103" i="25"/>
  <c r="W104" i="25"/>
  <c r="AA104" i="25"/>
  <c r="W105" i="25"/>
  <c r="AA105" i="25"/>
  <c r="W106" i="25"/>
  <c r="AA106" i="25"/>
  <c r="W107" i="25"/>
  <c r="AA107" i="25"/>
  <c r="W108" i="25"/>
  <c r="AA108" i="25"/>
  <c r="W109" i="25"/>
  <c r="AA109" i="25"/>
  <c r="W110" i="25"/>
  <c r="AA110" i="25"/>
  <c r="W111" i="25"/>
  <c r="AA111" i="25"/>
  <c r="W112" i="25"/>
  <c r="AA112" i="25"/>
  <c r="W113" i="25"/>
  <c r="AA113" i="25"/>
  <c r="W114" i="25"/>
  <c r="AA114" i="25"/>
  <c r="W115" i="25"/>
  <c r="AA115" i="25"/>
  <c r="W116" i="25"/>
  <c r="AA116" i="25"/>
  <c r="W117" i="25"/>
  <c r="AA117" i="25"/>
  <c r="W118" i="25"/>
  <c r="AA118" i="25"/>
  <c r="W119" i="25"/>
  <c r="AA119" i="25"/>
  <c r="W120" i="25"/>
  <c r="AA120" i="25"/>
  <c r="W121" i="25"/>
  <c r="AA121" i="25"/>
  <c r="W122" i="25"/>
  <c r="AA122" i="25"/>
  <c r="W123" i="25"/>
  <c r="AA123" i="25"/>
  <c r="AK64" i="25"/>
  <c r="AK65" i="25"/>
  <c r="AK66" i="25"/>
  <c r="AK67" i="25"/>
  <c r="AK68" i="25"/>
  <c r="AK69" i="25"/>
  <c r="AK70" i="25"/>
  <c r="AK71" i="25"/>
  <c r="AK72" i="25"/>
  <c r="AK73" i="25"/>
  <c r="AK74" i="25"/>
  <c r="AK75"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AK109" i="25"/>
  <c r="AK110" i="25"/>
  <c r="AK111" i="25"/>
  <c r="AK112" i="25"/>
  <c r="AK113" i="25"/>
  <c r="AK114" i="25"/>
  <c r="AK115" i="25"/>
  <c r="AK116" i="25"/>
  <c r="AK117" i="25"/>
  <c r="AK118" i="25"/>
  <c r="AK119" i="25"/>
  <c r="AK120" i="25"/>
  <c r="AK121" i="25"/>
  <c r="AK122" i="25"/>
  <c r="AK123" i="25"/>
  <c r="K4" i="25"/>
  <c r="K5" i="25"/>
  <c r="K6" i="25"/>
  <c r="K7" i="25"/>
  <c r="K8" i="25"/>
  <c r="K9" i="25"/>
  <c r="K10" i="25"/>
  <c r="K11" i="25"/>
  <c r="K12" i="25"/>
  <c r="K13" i="25"/>
  <c r="L4" i="25"/>
  <c r="M4" i="25"/>
  <c r="J4" i="25"/>
  <c r="K17" i="25"/>
  <c r="AT4" i="25"/>
  <c r="AS4" i="25"/>
  <c r="AU4" i="25"/>
  <c r="X82" i="25"/>
  <c r="X102" i="25"/>
  <c r="Y74" i="25"/>
  <c r="Y94" i="25"/>
  <c r="AD64" i="25"/>
  <c r="AD65" i="25"/>
  <c r="AD66" i="25"/>
  <c r="AD67" i="25"/>
  <c r="AD68" i="25"/>
  <c r="AD69" i="25"/>
  <c r="AD70" i="25"/>
  <c r="AD71" i="25"/>
  <c r="AD72" i="25"/>
  <c r="AD73" i="25"/>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E64" i="25"/>
  <c r="AE65" i="25"/>
  <c r="AE66" i="25"/>
  <c r="AE67" i="25"/>
  <c r="AE68" i="25"/>
  <c r="AE69" i="25"/>
  <c r="AE70" i="25"/>
  <c r="AE71" i="25"/>
  <c r="AE72" i="25"/>
  <c r="AE73" i="25"/>
  <c r="AE74" i="25"/>
  <c r="AE75" i="25"/>
  <c r="AE76" i="25"/>
  <c r="AE77" i="25"/>
  <c r="AE78" i="25"/>
  <c r="AE79" i="25"/>
  <c r="AE80" i="25"/>
  <c r="AE81" i="25"/>
  <c r="AE82" i="25"/>
  <c r="AE83" i="25"/>
  <c r="AE84" i="25"/>
  <c r="AE85" i="25"/>
  <c r="AE86" i="25"/>
  <c r="AE87" i="25"/>
  <c r="AE88" i="25"/>
  <c r="AE89" i="25"/>
  <c r="AE90" i="25"/>
  <c r="AE91" i="25"/>
  <c r="AE92" i="25"/>
  <c r="AE93" i="25"/>
  <c r="AE94" i="25"/>
  <c r="AE95" i="25"/>
  <c r="AE96" i="25"/>
  <c r="AE97" i="25"/>
  <c r="AE98" i="25"/>
  <c r="AE99" i="25"/>
  <c r="AE100" i="25"/>
  <c r="AE101" i="25"/>
  <c r="AE102" i="25"/>
  <c r="AE103" i="25"/>
  <c r="AE104" i="25"/>
  <c r="AE105" i="25"/>
  <c r="AE106" i="25"/>
  <c r="AE107" i="25"/>
  <c r="AE108" i="25"/>
  <c r="AE109" i="25"/>
  <c r="AE110" i="25"/>
  <c r="AE111" i="25"/>
  <c r="AE112" i="25"/>
  <c r="AE113" i="25"/>
  <c r="AE114" i="25"/>
  <c r="AE115" i="25"/>
  <c r="AE116" i="25"/>
  <c r="AE117" i="25"/>
  <c r="AE118" i="25"/>
  <c r="AE119" i="25"/>
  <c r="AE120" i="25"/>
  <c r="AE121" i="25"/>
  <c r="AE122" i="25"/>
  <c r="AE123" i="25"/>
  <c r="G4" i="25"/>
  <c r="Y82" i="25"/>
  <c r="Y102" i="25"/>
  <c r="X74" i="25"/>
  <c r="X94" i="25"/>
  <c r="H4" i="25"/>
  <c r="I4" i="25"/>
  <c r="AW4" i="25"/>
  <c r="X78" i="25"/>
  <c r="X90" i="25"/>
  <c r="Y66" i="25"/>
  <c r="G5" i="25"/>
  <c r="Y78" i="25"/>
  <c r="Y90" i="25"/>
  <c r="X66" i="25"/>
  <c r="H5" i="25"/>
  <c r="I5" i="25"/>
  <c r="AW5" i="25"/>
  <c r="X70" i="25"/>
  <c r="X86" i="25"/>
  <c r="G6" i="25"/>
  <c r="Y70" i="25"/>
  <c r="Y86" i="25"/>
  <c r="H6" i="25"/>
  <c r="I6" i="25"/>
  <c r="AW6" i="25"/>
  <c r="X98" i="25"/>
  <c r="G7" i="25"/>
  <c r="Y98" i="25"/>
  <c r="H7" i="25"/>
  <c r="I7" i="25"/>
  <c r="AW7" i="25"/>
  <c r="G8" i="25"/>
  <c r="H8" i="25"/>
  <c r="I8" i="25"/>
  <c r="AW8" i="25"/>
  <c r="X104" i="25"/>
  <c r="X105" i="25"/>
  <c r="X106" i="25"/>
  <c r="X107" i="25"/>
  <c r="X64" i="25"/>
  <c r="X65" i="25"/>
  <c r="X67" i="25"/>
  <c r="X68" i="25"/>
  <c r="X69" i="25"/>
  <c r="X71" i="25"/>
  <c r="X72" i="25"/>
  <c r="X73" i="25"/>
  <c r="X75" i="25"/>
  <c r="X76" i="25"/>
  <c r="X77" i="25"/>
  <c r="X79" i="25"/>
  <c r="X80" i="25"/>
  <c r="X81" i="25"/>
  <c r="X83" i="25"/>
  <c r="X84" i="25"/>
  <c r="X85" i="25"/>
  <c r="X87" i="25"/>
  <c r="X88" i="25"/>
  <c r="X89" i="25"/>
  <c r="X91" i="25"/>
  <c r="X92" i="25"/>
  <c r="X93" i="25"/>
  <c r="X95" i="25"/>
  <c r="X96" i="25"/>
  <c r="X97" i="25"/>
  <c r="X99" i="25"/>
  <c r="X100" i="25"/>
  <c r="X101" i="25"/>
  <c r="X103" i="25"/>
  <c r="X108" i="25"/>
  <c r="X109" i="25"/>
  <c r="X110" i="25"/>
  <c r="X111" i="25"/>
  <c r="X112" i="25"/>
  <c r="X113" i="25"/>
  <c r="X114" i="25"/>
  <c r="X115" i="25"/>
  <c r="X116" i="25"/>
  <c r="X117" i="25"/>
  <c r="X118" i="25"/>
  <c r="X119" i="25"/>
  <c r="X120" i="25"/>
  <c r="X121" i="25"/>
  <c r="X122" i="25"/>
  <c r="X123" i="25"/>
  <c r="Y64" i="25"/>
  <c r="Y65" i="25"/>
  <c r="Y67" i="25"/>
  <c r="Y68" i="25"/>
  <c r="Y69" i="25"/>
  <c r="Y71" i="25"/>
  <c r="Y72" i="25"/>
  <c r="Y73" i="25"/>
  <c r="Y75" i="25"/>
  <c r="Y76" i="25"/>
  <c r="Y77" i="25"/>
  <c r="Y79" i="25"/>
  <c r="Y80" i="25"/>
  <c r="Y81" i="25"/>
  <c r="Y83" i="25"/>
  <c r="Y84" i="25"/>
  <c r="Y85" i="25"/>
  <c r="Y87" i="25"/>
  <c r="Y88" i="25"/>
  <c r="Y89" i="25"/>
  <c r="Y91" i="25"/>
  <c r="Y92" i="25"/>
  <c r="Y93" i="25"/>
  <c r="Y95" i="25"/>
  <c r="Y96" i="25"/>
  <c r="Y97" i="25"/>
  <c r="Y99" i="25"/>
  <c r="Y100" i="25"/>
  <c r="Y101" i="25"/>
  <c r="Y103" i="25"/>
  <c r="Y104" i="25"/>
  <c r="Y105" i="25"/>
  <c r="Y106" i="25"/>
  <c r="Y107" i="25"/>
  <c r="Y108" i="25"/>
  <c r="Y109" i="25"/>
  <c r="Y110" i="25"/>
  <c r="Y111" i="25"/>
  <c r="Y112" i="25"/>
  <c r="Y113" i="25"/>
  <c r="Y114" i="25"/>
  <c r="Y115" i="25"/>
  <c r="Y116" i="25"/>
  <c r="Y117" i="25"/>
  <c r="Y118" i="25"/>
  <c r="Y119" i="25"/>
  <c r="Y120" i="25"/>
  <c r="Y121" i="25"/>
  <c r="Y122" i="25"/>
  <c r="Y123" i="25"/>
  <c r="G9" i="25"/>
  <c r="H9" i="25"/>
  <c r="I9" i="25"/>
  <c r="AW9" i="25"/>
  <c r="G10" i="25"/>
  <c r="H10" i="25"/>
  <c r="I10" i="25"/>
  <c r="AW10" i="25"/>
  <c r="G11" i="25"/>
  <c r="H11" i="25"/>
  <c r="I11" i="25"/>
  <c r="AW11" i="25"/>
  <c r="G12" i="25"/>
  <c r="H12" i="25"/>
  <c r="I12" i="25"/>
  <c r="AW12" i="25"/>
  <c r="AX4" i="25"/>
  <c r="L17" i="25"/>
  <c r="L5" i="25"/>
  <c r="M5" i="25"/>
  <c r="J5" i="25"/>
  <c r="K18" i="25"/>
  <c r="AT5" i="25"/>
  <c r="AS5" i="25"/>
  <c r="AU5" i="25"/>
  <c r="AX5" i="25"/>
  <c r="L18" i="25"/>
  <c r="L6" i="25"/>
  <c r="M6" i="25"/>
  <c r="J6" i="25"/>
  <c r="K19" i="25"/>
  <c r="AT6" i="25"/>
  <c r="AS6" i="25"/>
  <c r="AU6" i="25"/>
  <c r="AX6" i="25"/>
  <c r="L19" i="25"/>
  <c r="L7" i="25"/>
  <c r="M7" i="25"/>
  <c r="J7" i="25"/>
  <c r="K20" i="25"/>
  <c r="AT7" i="25"/>
  <c r="AS7" i="25"/>
  <c r="AU7" i="25"/>
  <c r="AX7" i="25"/>
  <c r="L20" i="25"/>
  <c r="L8" i="25"/>
  <c r="M8" i="25"/>
  <c r="J8" i="25"/>
  <c r="K21" i="25"/>
  <c r="AT8" i="25"/>
  <c r="AS8" i="25"/>
  <c r="AU8" i="25"/>
  <c r="AX8" i="25"/>
  <c r="L21" i="25"/>
  <c r="L9" i="25"/>
  <c r="M9" i="25"/>
  <c r="J9" i="25"/>
  <c r="K22" i="25"/>
  <c r="AT9" i="25"/>
  <c r="AS9" i="25"/>
  <c r="AU9" i="25"/>
  <c r="AX9" i="25"/>
  <c r="L22" i="25"/>
  <c r="L10" i="25"/>
  <c r="M10" i="25"/>
  <c r="J10" i="25"/>
  <c r="K23" i="25"/>
  <c r="AT10" i="25"/>
  <c r="AS10" i="25"/>
  <c r="AU10" i="25"/>
  <c r="AX10" i="25"/>
  <c r="L23" i="25"/>
  <c r="L11" i="25"/>
  <c r="M11" i="25"/>
  <c r="J11" i="25"/>
  <c r="K24" i="25"/>
  <c r="AT11" i="25"/>
  <c r="AS11" i="25"/>
  <c r="AU11" i="25"/>
  <c r="AX11" i="25"/>
  <c r="L24" i="25"/>
  <c r="L12" i="25"/>
  <c r="M12" i="25"/>
  <c r="J12" i="25"/>
  <c r="K25" i="25"/>
  <c r="AT12" i="25"/>
  <c r="AS12" i="25"/>
  <c r="AU12" i="25"/>
  <c r="AX12" i="25"/>
  <c r="L2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W21" i="25"/>
  <c r="M22" i="25"/>
  <c r="N22" i="25" a="1"/>
  <c r="N22" i="25"/>
  <c r="O22"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AF102" i="25"/>
  <c r="AH102" i="25"/>
  <c r="BT30" i="25"/>
  <c r="AG102" i="25"/>
  <c r="AI102" i="25"/>
  <c r="BS31" i="25"/>
  <c r="BT41" i="25"/>
  <c r="AG94" i="25"/>
  <c r="AI94" i="25"/>
  <c r="BU30" i="25"/>
  <c r="AF94" i="25"/>
  <c r="AH94" i="25"/>
  <c r="BS32" i="25"/>
  <c r="BU41" i="25"/>
  <c r="AF82" i="25"/>
  <c r="AH82" i="25"/>
  <c r="BV30" i="25"/>
  <c r="AG82" i="25"/>
  <c r="AI82" i="25"/>
  <c r="BS33" i="25"/>
  <c r="BV41" i="25"/>
  <c r="AG74" i="25"/>
  <c r="AI74" i="25"/>
  <c r="BW30" i="25"/>
  <c r="AF74" i="25"/>
  <c r="AH74" i="25"/>
  <c r="BS34" i="25"/>
  <c r="BW41" i="25"/>
  <c r="BX30" i="25"/>
  <c r="BS35" i="25"/>
  <c r="BX41" i="25"/>
  <c r="BY30" i="25"/>
  <c r="BS36" i="25"/>
  <c r="BY41" i="25"/>
  <c r="BZ30" i="25"/>
  <c r="BS37" i="25"/>
  <c r="BZ41" i="25"/>
  <c r="CA30" i="25"/>
  <c r="BS38" i="25"/>
  <c r="CA41" i="25"/>
  <c r="BS42" i="25"/>
  <c r="AF78" i="25"/>
  <c r="AH78" i="25"/>
  <c r="BU31" i="25"/>
  <c r="AG78" i="25"/>
  <c r="AI78" i="25"/>
  <c r="BT32" i="25"/>
  <c r="BU42" i="25"/>
  <c r="AF90" i="25"/>
  <c r="AH90" i="25"/>
  <c r="BV31" i="25"/>
  <c r="AG90" i="25"/>
  <c r="AI90" i="25"/>
  <c r="BT33" i="25"/>
  <c r="BV42" i="25"/>
  <c r="AG66" i="25"/>
  <c r="AI66" i="25"/>
  <c r="BW31" i="25"/>
  <c r="AF66" i="25"/>
  <c r="AH66" i="25"/>
  <c r="BT34" i="25"/>
  <c r="BW42" i="25"/>
  <c r="BX31" i="25"/>
  <c r="BT35" i="25"/>
  <c r="BX42" i="25"/>
  <c r="BY31" i="25"/>
  <c r="BT36" i="25"/>
  <c r="BY42" i="25"/>
  <c r="BZ31" i="25"/>
  <c r="BT37" i="25"/>
  <c r="BZ42" i="25"/>
  <c r="CA31" i="25"/>
  <c r="BT38" i="25"/>
  <c r="CA42" i="25"/>
  <c r="BS43" i="25"/>
  <c r="BT43" i="25"/>
  <c r="AF70" i="25"/>
  <c r="AH70" i="25"/>
  <c r="BV32" i="25"/>
  <c r="AG70" i="25"/>
  <c r="AI70" i="25"/>
  <c r="BU33" i="25"/>
  <c r="BV43" i="25"/>
  <c r="AF86" i="25"/>
  <c r="AH86" i="25"/>
  <c r="BW32" i="25"/>
  <c r="AG86" i="25"/>
  <c r="AI86" i="25"/>
  <c r="BU34" i="25"/>
  <c r="BW43" i="25"/>
  <c r="BX32" i="25"/>
  <c r="BU35" i="25"/>
  <c r="BX43" i="25"/>
  <c r="BY32" i="25"/>
  <c r="BU36" i="25"/>
  <c r="BY43" i="25"/>
  <c r="BZ32" i="25"/>
  <c r="BU37" i="25"/>
  <c r="BZ43" i="25"/>
  <c r="CA32" i="25"/>
  <c r="BU38" i="25"/>
  <c r="CA43" i="25"/>
  <c r="BS44" i="25"/>
  <c r="BT44" i="25"/>
  <c r="BU44" i="25"/>
  <c r="AF98" i="25"/>
  <c r="AH98" i="25"/>
  <c r="BW33" i="25"/>
  <c r="AG98" i="25"/>
  <c r="AI98"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AH104" i="25"/>
  <c r="AH105" i="25"/>
  <c r="AH106" i="25"/>
  <c r="AH107" i="25"/>
  <c r="AF64" i="25"/>
  <c r="AH64" i="25"/>
  <c r="AF65" i="25"/>
  <c r="AH65" i="25"/>
  <c r="AF67" i="25"/>
  <c r="AH67" i="25"/>
  <c r="AF68" i="25"/>
  <c r="AH68" i="25"/>
  <c r="AF69" i="25"/>
  <c r="AH69" i="25"/>
  <c r="AF71" i="25"/>
  <c r="AH71" i="25"/>
  <c r="AF72" i="25"/>
  <c r="AH72" i="25"/>
  <c r="AF73" i="25"/>
  <c r="AH73" i="25"/>
  <c r="AF75" i="25"/>
  <c r="AH75" i="25"/>
  <c r="AF76" i="25"/>
  <c r="AH76" i="25"/>
  <c r="AF77" i="25"/>
  <c r="AH77" i="25"/>
  <c r="AF79" i="25"/>
  <c r="AH79" i="25"/>
  <c r="AF80" i="25"/>
  <c r="AH80" i="25"/>
  <c r="AF81" i="25"/>
  <c r="AH81" i="25"/>
  <c r="AF83" i="25"/>
  <c r="AH83" i="25"/>
  <c r="AF84" i="25"/>
  <c r="AH84" i="25"/>
  <c r="AF85" i="25"/>
  <c r="AH85" i="25"/>
  <c r="AF87" i="25"/>
  <c r="AH87" i="25"/>
  <c r="AF88" i="25"/>
  <c r="AH88" i="25"/>
  <c r="AF89" i="25"/>
  <c r="AH89" i="25"/>
  <c r="AF91" i="25"/>
  <c r="AH91" i="25"/>
  <c r="AF92" i="25"/>
  <c r="AH92" i="25"/>
  <c r="AF93" i="25"/>
  <c r="AH93" i="25"/>
  <c r="AF95" i="25"/>
  <c r="AH95" i="25"/>
  <c r="AF96" i="25"/>
  <c r="AH96" i="25"/>
  <c r="AF97" i="25"/>
  <c r="AH97" i="25"/>
  <c r="AF99" i="25"/>
  <c r="AH99" i="25"/>
  <c r="AF100" i="25"/>
  <c r="AH100" i="25"/>
  <c r="AF101" i="25"/>
  <c r="AH101" i="25"/>
  <c r="AF103" i="25"/>
  <c r="AH103" i="25"/>
  <c r="AH108" i="25"/>
  <c r="AH109" i="25"/>
  <c r="AH110" i="25"/>
  <c r="AH111" i="25"/>
  <c r="AH112" i="25"/>
  <c r="AH113" i="25"/>
  <c r="AH114" i="25"/>
  <c r="AH115" i="25"/>
  <c r="AH116" i="25"/>
  <c r="AH117" i="25"/>
  <c r="AH118" i="25"/>
  <c r="AH119" i="25"/>
  <c r="AH120" i="25"/>
  <c r="AH121" i="25"/>
  <c r="AH122" i="25"/>
  <c r="AH123" i="25"/>
  <c r="AG64" i="25"/>
  <c r="AI64" i="25"/>
  <c r="AG65" i="25"/>
  <c r="AI65" i="25"/>
  <c r="AG67" i="25"/>
  <c r="AI67" i="25"/>
  <c r="AG68" i="25"/>
  <c r="AI68" i="25"/>
  <c r="AG69" i="25"/>
  <c r="AI69" i="25"/>
  <c r="AG71" i="25"/>
  <c r="AI71" i="25"/>
  <c r="AG72" i="25"/>
  <c r="AI72" i="25"/>
  <c r="AG73" i="25"/>
  <c r="AI73" i="25"/>
  <c r="AG75" i="25"/>
  <c r="AI75" i="25"/>
  <c r="AG76" i="25"/>
  <c r="AI76" i="25"/>
  <c r="AG77" i="25"/>
  <c r="AI77" i="25"/>
  <c r="AG79" i="25"/>
  <c r="AI79" i="25"/>
  <c r="AG80" i="25"/>
  <c r="AI80" i="25"/>
  <c r="AG81" i="25"/>
  <c r="AI81" i="25"/>
  <c r="AG83" i="25"/>
  <c r="AI83" i="25"/>
  <c r="AG84" i="25"/>
  <c r="AI84" i="25"/>
  <c r="AG85" i="25"/>
  <c r="AI85" i="25"/>
  <c r="AG87" i="25"/>
  <c r="AI87" i="25"/>
  <c r="AG88" i="25"/>
  <c r="AI88" i="25"/>
  <c r="AG89" i="25"/>
  <c r="AI89" i="25"/>
  <c r="AG91" i="25"/>
  <c r="AI91" i="25"/>
  <c r="AG92" i="25"/>
  <c r="AI92" i="25"/>
  <c r="AG93" i="25"/>
  <c r="AI93" i="25"/>
  <c r="AG95" i="25"/>
  <c r="AI95" i="25"/>
  <c r="AG96" i="25"/>
  <c r="AI96" i="25"/>
  <c r="AG97" i="25"/>
  <c r="AI97" i="25"/>
  <c r="AG99" i="25"/>
  <c r="AI99" i="25"/>
  <c r="AG100" i="25"/>
  <c r="AI100" i="25"/>
  <c r="AG101" i="25"/>
  <c r="AI101" i="25"/>
  <c r="AG103"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W22" i="25"/>
  <c r="E36" i="25" a="1"/>
  <c r="E36" i="25"/>
  <c r="F36" i="25" a="1"/>
  <c r="F36" i="25"/>
  <c r="G36" i="25" a="1"/>
  <c r="H36" i="25" a="1"/>
  <c r="I36" i="25" a="1"/>
  <c r="J36" i="25" a="1"/>
  <c r="K36" i="25" a="1"/>
  <c r="L36" i="25" a="1"/>
  <c r="M36" i="25" a="1"/>
  <c r="N36" i="25" a="1"/>
  <c r="O36" i="25" a="1"/>
  <c r="P36" i="25" a="1"/>
  <c r="Q36" i="25" a="1"/>
  <c r="R36" i="25" a="1"/>
  <c r="S36" i="25" a="1"/>
  <c r="T36" i="25" a="1"/>
  <c r="U36" i="25" a="1"/>
  <c r="V36" i="25" a="1"/>
  <c r="W36" i="25" a="1"/>
  <c r="X36" i="25" a="1"/>
  <c r="Y36" i="25" a="1"/>
  <c r="Z36" i="25" a="1"/>
  <c r="AA36" i="25" a="1"/>
  <c r="AB36" i="25" a="1"/>
  <c r="AC36" i="25" a="1"/>
  <c r="AD36" i="25" a="1"/>
  <c r="AE36" i="25" a="1"/>
  <c r="AF36" i="25" a="1"/>
  <c r="AG36" i="25" a="1"/>
  <c r="AH36" i="25" a="1"/>
  <c r="AI36" i="25" a="1"/>
  <c r="AJ36" i="25" a="1"/>
  <c r="AK36" i="25" a="1"/>
  <c r="AL36" i="25" a="1"/>
  <c r="AM36" i="25" a="1"/>
  <c r="AN36" i="25" a="1"/>
  <c r="AO36" i="25" a="1"/>
  <c r="AP36" i="25" a="1"/>
  <c r="AQ36" i="25" a="1"/>
  <c r="AR36" i="25" a="1"/>
  <c r="AS36" i="25" a="1"/>
  <c r="AT36" i="25" a="1"/>
  <c r="AU36" i="25" a="1"/>
  <c r="AV36" i="25" a="1"/>
  <c r="AW36" i="25" a="1"/>
  <c r="AX36" i="25" a="1"/>
  <c r="AY36" i="25" a="1"/>
  <c r="AZ36" i="25" a="1"/>
  <c r="BA36" i="25" a="1"/>
  <c r="BB36" i="25" a="1"/>
  <c r="BC36" i="25" a="1"/>
  <c r="BD36" i="25" a="1"/>
  <c r="BE36" i="25" a="1"/>
  <c r="BF36" i="25" a="1"/>
  <c r="BG36" i="25" a="1"/>
  <c r="BH36" i="25" a="1"/>
  <c r="BI36" i="25" a="1"/>
  <c r="BJ36" i="25" a="1"/>
  <c r="BK36" i="25" a="1"/>
  <c r="BL36" i="25" a="1"/>
  <c r="BM36" i="25" a="1"/>
  <c r="BN36" i="25" a="1"/>
  <c r="BO36" i="25" a="1"/>
  <c r="BP36" i="25" a="1"/>
  <c r="G36" i="25"/>
  <c r="H36" i="25"/>
  <c r="I36" i="25"/>
  <c r="J36" i="25"/>
  <c r="K36" i="25"/>
  <c r="L36" i="25"/>
  <c r="M36" i="25"/>
  <c r="N36" i="25"/>
  <c r="O36" i="25"/>
  <c r="P36" i="25"/>
  <c r="Q36" i="25"/>
  <c r="R36" i="25"/>
  <c r="S36" i="25"/>
  <c r="T36" i="25"/>
  <c r="U36" i="25"/>
  <c r="V36" i="25"/>
  <c r="W36" i="25"/>
  <c r="X36" i="25"/>
  <c r="Y36" i="25"/>
  <c r="Z36" i="25"/>
  <c r="AA36" i="25"/>
  <c r="AB36" i="25"/>
  <c r="AC36" i="25"/>
  <c r="AD36" i="25"/>
  <c r="AE36" i="25"/>
  <c r="AF36" i="25"/>
  <c r="AG36" i="25"/>
  <c r="AH36" i="25"/>
  <c r="AI36" i="25"/>
  <c r="AJ36" i="25"/>
  <c r="AK36" i="25"/>
  <c r="AL36" i="25"/>
  <c r="AM36" i="25"/>
  <c r="AN36" i="25"/>
  <c r="AO36" i="25"/>
  <c r="AP36" i="25"/>
  <c r="AQ36" i="25"/>
  <c r="AR36" i="25"/>
  <c r="AS36" i="25"/>
  <c r="AT36" i="25"/>
  <c r="AU36" i="25"/>
  <c r="AV36" i="25"/>
  <c r="AW36" i="25"/>
  <c r="AX36" i="25"/>
  <c r="AY36" i="25"/>
  <c r="AZ36" i="25"/>
  <c r="BA36" i="25"/>
  <c r="BB36" i="25"/>
  <c r="BC36" i="25"/>
  <c r="BD36" i="25"/>
  <c r="BE36" i="25"/>
  <c r="BF36" i="25"/>
  <c r="BG36" i="25"/>
  <c r="BH36" i="25"/>
  <c r="BI36" i="25"/>
  <c r="BJ36" i="25"/>
  <c r="BK36" i="25"/>
  <c r="BL36" i="25"/>
  <c r="BM36" i="25"/>
  <c r="BN36" i="25"/>
  <c r="BO36" i="25"/>
  <c r="BP36" i="25"/>
  <c r="AA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W23" i="25"/>
  <c r="E37" i="25" a="1"/>
  <c r="E37" i="25"/>
  <c r="F37" i="25" a="1"/>
  <c r="F37" i="25"/>
  <c r="G37" i="25" a="1"/>
  <c r="H37" i="25" a="1"/>
  <c r="I37" i="25" a="1"/>
  <c r="J37" i="25" a="1"/>
  <c r="K37" i="25" a="1"/>
  <c r="L37" i="25" a="1"/>
  <c r="M37" i="25" a="1"/>
  <c r="N37" i="25" a="1"/>
  <c r="O37" i="25" a="1"/>
  <c r="P37" i="25" a="1"/>
  <c r="Q37" i="25" a="1"/>
  <c r="R37" i="25" a="1"/>
  <c r="S37" i="25" a="1"/>
  <c r="T37" i="25" a="1"/>
  <c r="U37" i="25" a="1"/>
  <c r="V37" i="25" a="1"/>
  <c r="W37" i="25" a="1"/>
  <c r="X37" i="25" a="1"/>
  <c r="Y37" i="25" a="1"/>
  <c r="Z37" i="25" a="1"/>
  <c r="AA37" i="25" a="1"/>
  <c r="AB37" i="25" a="1"/>
  <c r="AC37" i="25" a="1"/>
  <c r="AD37" i="25" a="1"/>
  <c r="AE37" i="25" a="1"/>
  <c r="AF37" i="25" a="1"/>
  <c r="AG37" i="25" a="1"/>
  <c r="AH37" i="25" a="1"/>
  <c r="AI37" i="25" a="1"/>
  <c r="AJ37" i="25" a="1"/>
  <c r="AK37" i="25" a="1"/>
  <c r="AL37" i="25" a="1"/>
  <c r="AM37" i="25" a="1"/>
  <c r="AN37" i="25" a="1"/>
  <c r="AO37" i="25" a="1"/>
  <c r="AP37" i="25" a="1"/>
  <c r="AQ37" i="25" a="1"/>
  <c r="AR37" i="25" a="1"/>
  <c r="AS37" i="25" a="1"/>
  <c r="AT37" i="25" a="1"/>
  <c r="AU37" i="25" a="1"/>
  <c r="AV37" i="25" a="1"/>
  <c r="AW37" i="25" a="1"/>
  <c r="AX37" i="25" a="1"/>
  <c r="AY37" i="25" a="1"/>
  <c r="AZ37" i="25" a="1"/>
  <c r="BA37" i="25" a="1"/>
  <c r="BB37" i="25" a="1"/>
  <c r="BC37" i="25" a="1"/>
  <c r="BD37" i="25" a="1"/>
  <c r="BE37" i="25" a="1"/>
  <c r="BF37" i="25" a="1"/>
  <c r="BG37" i="25" a="1"/>
  <c r="BH37" i="25" a="1"/>
  <c r="BI37" i="25" a="1"/>
  <c r="BJ37" i="25" a="1"/>
  <c r="BK37" i="25" a="1"/>
  <c r="BL37" i="25" a="1"/>
  <c r="BM37" i="25" a="1"/>
  <c r="BN37" i="25" a="1"/>
  <c r="BO37" i="25" a="1"/>
  <c r="BP37" i="25" a="1"/>
  <c r="G37" i="25"/>
  <c r="H37" i="25"/>
  <c r="I37" i="25"/>
  <c r="J37" i="25"/>
  <c r="K37" i="25"/>
  <c r="L37" i="25"/>
  <c r="M37" i="25"/>
  <c r="N37" i="25"/>
  <c r="O37" i="25"/>
  <c r="P37" i="25"/>
  <c r="Q37" i="25"/>
  <c r="R37" i="25"/>
  <c r="S37" i="25"/>
  <c r="T37" i="25"/>
  <c r="U37" i="25"/>
  <c r="V37" i="25"/>
  <c r="W37" i="25"/>
  <c r="X37" i="25"/>
  <c r="Y37" i="25"/>
  <c r="Z37" i="25"/>
  <c r="AA37" i="25"/>
  <c r="AB37" i="25"/>
  <c r="AC37" i="25"/>
  <c r="AD37" i="25"/>
  <c r="AE37" i="25"/>
  <c r="AF37" i="25"/>
  <c r="AG37" i="25"/>
  <c r="AH37" i="25"/>
  <c r="AI37" i="25"/>
  <c r="AJ37" i="25"/>
  <c r="AK37" i="25"/>
  <c r="AL37" i="25"/>
  <c r="AM37" i="25"/>
  <c r="AN37" i="25"/>
  <c r="AO37" i="25"/>
  <c r="AP37" i="25"/>
  <c r="AQ37" i="25"/>
  <c r="AR37" i="25"/>
  <c r="AS37" i="25"/>
  <c r="AT37" i="25"/>
  <c r="AU37" i="25"/>
  <c r="AV37" i="25"/>
  <c r="AW37" i="25"/>
  <c r="AX37" i="25"/>
  <c r="AY37" i="25"/>
  <c r="AZ37" i="25"/>
  <c r="BA37" i="25"/>
  <c r="BB37" i="25"/>
  <c r="BC37" i="25"/>
  <c r="BD37" i="25"/>
  <c r="BE37" i="25"/>
  <c r="BF37" i="25"/>
  <c r="BG37" i="25"/>
  <c r="BH37" i="25"/>
  <c r="BI37" i="25"/>
  <c r="BJ37" i="25"/>
  <c r="BK37" i="25"/>
  <c r="BL37" i="25"/>
  <c r="BM37" i="25"/>
  <c r="BN37" i="25"/>
  <c r="BO37" i="25"/>
  <c r="BP37" i="25"/>
  <c r="AA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W24" i="25"/>
  <c r="E38" i="25" a="1"/>
  <c r="E38" i="25"/>
  <c r="F38" i="25" a="1"/>
  <c r="F38" i="25"/>
  <c r="G38" i="25" a="1"/>
  <c r="H38" i="25" a="1"/>
  <c r="I38" i="25" a="1"/>
  <c r="J38" i="25" a="1"/>
  <c r="K38" i="25" a="1"/>
  <c r="L38" i="25" a="1"/>
  <c r="M38" i="25" a="1"/>
  <c r="N38" i="25" a="1"/>
  <c r="O38" i="25" a="1"/>
  <c r="P38" i="25" a="1"/>
  <c r="Q38" i="25" a="1"/>
  <c r="R38" i="25" a="1"/>
  <c r="S38" i="25" a="1"/>
  <c r="T38" i="25" a="1"/>
  <c r="U38" i="25" a="1"/>
  <c r="V38" i="25" a="1"/>
  <c r="W38" i="25" a="1"/>
  <c r="X38" i="25" a="1"/>
  <c r="Y38" i="25" a="1"/>
  <c r="Z38" i="25" a="1"/>
  <c r="AA38" i="25" a="1"/>
  <c r="AB38" i="25" a="1"/>
  <c r="AC38" i="25" a="1"/>
  <c r="AD38" i="25" a="1"/>
  <c r="AE38" i="25" a="1"/>
  <c r="AF38" i="25" a="1"/>
  <c r="AG38" i="25" a="1"/>
  <c r="AH38" i="25" a="1"/>
  <c r="AI38" i="25" a="1"/>
  <c r="AJ38" i="25" a="1"/>
  <c r="AK38" i="25" a="1"/>
  <c r="AL38" i="25" a="1"/>
  <c r="AM38" i="25" a="1"/>
  <c r="AN38" i="25" a="1"/>
  <c r="AO38" i="25" a="1"/>
  <c r="AP38" i="25" a="1"/>
  <c r="AQ38" i="25" a="1"/>
  <c r="AR38" i="25" a="1"/>
  <c r="AS38" i="25" a="1"/>
  <c r="AT38" i="25" a="1"/>
  <c r="AU38" i="25" a="1"/>
  <c r="AV38" i="25" a="1"/>
  <c r="AW38" i="25" a="1"/>
  <c r="AX38" i="25" a="1"/>
  <c r="AY38" i="25" a="1"/>
  <c r="AZ38" i="25" a="1"/>
  <c r="BA38" i="25" a="1"/>
  <c r="BB38" i="25" a="1"/>
  <c r="BC38" i="25" a="1"/>
  <c r="BD38" i="25" a="1"/>
  <c r="BE38" i="25" a="1"/>
  <c r="BF38" i="25" a="1"/>
  <c r="BG38" i="25" a="1"/>
  <c r="BH38" i="25" a="1"/>
  <c r="BI38" i="25" a="1"/>
  <c r="BJ38" i="25" a="1"/>
  <c r="BK38" i="25" a="1"/>
  <c r="BL38" i="25" a="1"/>
  <c r="BM38" i="25" a="1"/>
  <c r="BN38" i="25" a="1"/>
  <c r="BO38" i="25" a="1"/>
  <c r="BP38" i="25" a="1"/>
  <c r="G38" i="25"/>
  <c r="H38" i="25"/>
  <c r="I38" i="25"/>
  <c r="J38" i="25"/>
  <c r="K38" i="25"/>
  <c r="L38" i="25"/>
  <c r="M38" i="25"/>
  <c r="N38" i="25"/>
  <c r="O38" i="25"/>
  <c r="P38" i="25"/>
  <c r="Q38" i="25"/>
  <c r="R38" i="25"/>
  <c r="S38" i="25"/>
  <c r="T38" i="25"/>
  <c r="U38" i="25"/>
  <c r="V38" i="25"/>
  <c r="W38" i="25"/>
  <c r="X38" i="25"/>
  <c r="Y38" i="25"/>
  <c r="Z38" i="25"/>
  <c r="AA38" i="25"/>
  <c r="AB38" i="25"/>
  <c r="AC38" i="25"/>
  <c r="AD38" i="25"/>
  <c r="AE38" i="25"/>
  <c r="AF38" i="25"/>
  <c r="AG38" i="25"/>
  <c r="AH38" i="25"/>
  <c r="AI38" i="25"/>
  <c r="AJ38" i="25"/>
  <c r="AK38" i="25"/>
  <c r="AL38" i="25"/>
  <c r="AM38" i="25"/>
  <c r="AN38" i="25"/>
  <c r="AO38" i="25"/>
  <c r="AP38" i="25"/>
  <c r="AQ38" i="25"/>
  <c r="AR38" i="25"/>
  <c r="AS38" i="25"/>
  <c r="AT38" i="25"/>
  <c r="AU38" i="25"/>
  <c r="AV38" i="25"/>
  <c r="AW38" i="25"/>
  <c r="AX38" i="25"/>
  <c r="AY38" i="25"/>
  <c r="AZ38" i="25"/>
  <c r="BA38" i="25"/>
  <c r="BB38" i="25"/>
  <c r="BC38" i="25"/>
  <c r="BD38" i="25"/>
  <c r="BE38" i="25"/>
  <c r="BF38" i="25"/>
  <c r="BG38" i="25"/>
  <c r="BH38" i="25"/>
  <c r="BI38" i="25"/>
  <c r="BJ38" i="25"/>
  <c r="BK38" i="25"/>
  <c r="BL38" i="25"/>
  <c r="BM38" i="25"/>
  <c r="BN38" i="25"/>
  <c r="BO38" i="25"/>
  <c r="BP38" i="25"/>
  <c r="AA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W25" i="25"/>
  <c r="X17" i="25"/>
  <c r="X18" i="25"/>
  <c r="X19" i="25"/>
  <c r="X20" i="25"/>
  <c r="X21" i="25"/>
  <c r="X22" i="25"/>
  <c r="X23" i="25"/>
  <c r="X24" i="25"/>
  <c r="X25" i="25"/>
  <c r="E4" i="25"/>
  <c r="D4" i="25"/>
  <c r="E5" i="25"/>
  <c r="D5" i="25"/>
  <c r="E6" i="25"/>
  <c r="D6" i="25"/>
  <c r="E7" i="25"/>
  <c r="D7" i="25"/>
  <c r="E8" i="25"/>
  <c r="D8" i="25"/>
  <c r="E9" i="25"/>
  <c r="D9" i="25"/>
  <c r="E10" i="25"/>
  <c r="D10" i="25"/>
  <c r="E11" i="25"/>
  <c r="D11" i="25"/>
  <c r="E12" i="25"/>
  <c r="D12" i="25"/>
  <c r="C4" i="25"/>
  <c r="C5" i="25"/>
  <c r="C6" i="25"/>
  <c r="N4" i="25"/>
  <c r="N5" i="25"/>
  <c r="N6" i="25"/>
  <c r="C7" i="25"/>
  <c r="N7" i="25"/>
  <c r="C8" i="25"/>
  <c r="N8" i="25"/>
  <c r="C9" i="25"/>
  <c r="N9" i="25"/>
  <c r="C10" i="25"/>
  <c r="N10" i="25"/>
  <c r="C11" i="25"/>
  <c r="N11" i="25"/>
  <c r="C12" i="25"/>
  <c r="N12" i="25"/>
  <c r="X37" i="6"/>
  <c r="Y15" i="21"/>
  <c r="K12" i="21"/>
  <c r="AD12" i="21"/>
  <c r="AC12" i="21"/>
  <c r="AE12" i="21"/>
  <c r="AF12" i="21"/>
  <c r="AR12" i="21"/>
  <c r="AG12" i="21"/>
  <c r="AS12" i="21"/>
  <c r="AA12" i="21"/>
  <c r="B12" i="21"/>
  <c r="F27" i="21"/>
  <c r="AB12" i="21"/>
  <c r="I27" i="21"/>
  <c r="V64" i="17"/>
  <c r="AJ64" i="17"/>
  <c r="W64" i="17"/>
  <c r="AA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AJ109" i="17"/>
  <c r="AJ110" i="17"/>
  <c r="AJ111" i="17"/>
  <c r="AJ112" i="17"/>
  <c r="AJ113" i="17"/>
  <c r="AJ114" i="17"/>
  <c r="AJ115" i="17"/>
  <c r="AJ116" i="17"/>
  <c r="AJ117" i="17"/>
  <c r="AJ118" i="17"/>
  <c r="AJ119" i="17"/>
  <c r="AJ120" i="17"/>
  <c r="AJ121" i="17"/>
  <c r="AJ122" i="17"/>
  <c r="AJ123" i="17"/>
  <c r="W65" i="17"/>
  <c r="AA65" i="17"/>
  <c r="W66" i="17"/>
  <c r="AA66" i="17"/>
  <c r="W67" i="17"/>
  <c r="AA67" i="17"/>
  <c r="W68" i="17"/>
  <c r="AA68" i="17"/>
  <c r="W69" i="17"/>
  <c r="AA69" i="17"/>
  <c r="W70" i="17"/>
  <c r="AA70" i="17"/>
  <c r="W71" i="17"/>
  <c r="AA71" i="17"/>
  <c r="W72" i="17"/>
  <c r="AA72" i="17"/>
  <c r="W73" i="17"/>
  <c r="AA73" i="17"/>
  <c r="W74" i="17"/>
  <c r="AA74" i="17"/>
  <c r="W75" i="17"/>
  <c r="AA75" i="17"/>
  <c r="W76" i="17"/>
  <c r="AA76" i="17"/>
  <c r="W77" i="17"/>
  <c r="AA77" i="17"/>
  <c r="W78" i="17"/>
  <c r="AA78" i="17"/>
  <c r="W79" i="17"/>
  <c r="AA79" i="17"/>
  <c r="W80" i="17"/>
  <c r="AA80" i="17"/>
  <c r="W81" i="17"/>
  <c r="AA81" i="17"/>
  <c r="W82" i="17"/>
  <c r="AA82" i="17"/>
  <c r="W83" i="17"/>
  <c r="AA83" i="17"/>
  <c r="W84" i="17"/>
  <c r="AA84" i="17"/>
  <c r="W85" i="17"/>
  <c r="AA85" i="17"/>
  <c r="W86" i="17"/>
  <c r="AA86" i="17"/>
  <c r="W87" i="17"/>
  <c r="AA87" i="17"/>
  <c r="W88" i="17"/>
  <c r="AA88" i="17"/>
  <c r="W89" i="17"/>
  <c r="AA89" i="17"/>
  <c r="W90" i="17"/>
  <c r="AA90" i="17"/>
  <c r="W91" i="17"/>
  <c r="AA91" i="17"/>
  <c r="W92" i="17"/>
  <c r="AA92" i="17"/>
  <c r="W93" i="17"/>
  <c r="AA93" i="17"/>
  <c r="W94" i="17"/>
  <c r="AA94" i="17"/>
  <c r="W95" i="17"/>
  <c r="AA95" i="17"/>
  <c r="W96" i="17"/>
  <c r="AA96" i="17"/>
  <c r="W97" i="17"/>
  <c r="AA97" i="17"/>
  <c r="W98" i="17"/>
  <c r="AA98" i="17"/>
  <c r="W99" i="17"/>
  <c r="AA99" i="17"/>
  <c r="W100" i="17"/>
  <c r="AA100" i="17"/>
  <c r="W101" i="17"/>
  <c r="AA101" i="17"/>
  <c r="W102" i="17"/>
  <c r="AA102" i="17"/>
  <c r="W103" i="17"/>
  <c r="AA103" i="17"/>
  <c r="W104" i="17"/>
  <c r="AA104" i="17"/>
  <c r="W105" i="17"/>
  <c r="AA105" i="17"/>
  <c r="W106" i="17"/>
  <c r="AA106" i="17"/>
  <c r="W107" i="17"/>
  <c r="AA107" i="17"/>
  <c r="W108" i="17"/>
  <c r="AA108" i="17"/>
  <c r="W109" i="17"/>
  <c r="AA109" i="17"/>
  <c r="W110" i="17"/>
  <c r="AA110" i="17"/>
  <c r="W111" i="17"/>
  <c r="AA111" i="17"/>
  <c r="W112" i="17"/>
  <c r="AA112" i="17"/>
  <c r="W113" i="17"/>
  <c r="AA113" i="17"/>
  <c r="W114" i="17"/>
  <c r="AA114" i="17"/>
  <c r="W115" i="17"/>
  <c r="AA115" i="17"/>
  <c r="W116" i="17"/>
  <c r="AA116" i="17"/>
  <c r="W117" i="17"/>
  <c r="AA117" i="17"/>
  <c r="W118" i="17"/>
  <c r="AA118" i="17"/>
  <c r="W119" i="17"/>
  <c r="AA119" i="17"/>
  <c r="W120" i="17"/>
  <c r="AA120" i="17"/>
  <c r="W121" i="17"/>
  <c r="AA121" i="17"/>
  <c r="W122" i="17"/>
  <c r="AA122" i="17"/>
  <c r="W123" i="17"/>
  <c r="AA12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AK109" i="17"/>
  <c r="AK110" i="17"/>
  <c r="AK111" i="17"/>
  <c r="AK112" i="17"/>
  <c r="AK113" i="17"/>
  <c r="AK114" i="17"/>
  <c r="AK115" i="17"/>
  <c r="AK116" i="17"/>
  <c r="AK117" i="17"/>
  <c r="AK118" i="17"/>
  <c r="AK119" i="17"/>
  <c r="AK120" i="17"/>
  <c r="AK121" i="17"/>
  <c r="AK122" i="17"/>
  <c r="AK123" i="17"/>
  <c r="K4" i="17"/>
  <c r="K5" i="17"/>
  <c r="K6" i="17"/>
  <c r="K7" i="17"/>
  <c r="K8" i="17"/>
  <c r="K9" i="17"/>
  <c r="K10" i="17"/>
  <c r="K11" i="17"/>
  <c r="K12" i="17"/>
  <c r="K13" i="17"/>
  <c r="L4" i="17"/>
  <c r="M4" i="17"/>
  <c r="J4" i="17"/>
  <c r="K17" i="17"/>
  <c r="AT4" i="17"/>
  <c r="AS4" i="17"/>
  <c r="AU4" i="17"/>
  <c r="X81" i="17"/>
  <c r="X101" i="17"/>
  <c r="Y73" i="17"/>
  <c r="Y93" i="17"/>
  <c r="AD64" i="17"/>
  <c r="AD65" i="17"/>
  <c r="AD66" i="17"/>
  <c r="AD67" i="17"/>
  <c r="AD68" i="17"/>
  <c r="AD69" i="17"/>
  <c r="AD70" i="17"/>
  <c r="AD71" i="17"/>
  <c r="AD72" i="17"/>
  <c r="AD73" i="17"/>
  <c r="AD74" i="17"/>
  <c r="AD75" i="17"/>
  <c r="AD76" i="17"/>
  <c r="AD77" i="17"/>
  <c r="AD78" i="17"/>
  <c r="AD79" i="17"/>
  <c r="AD80" i="17"/>
  <c r="AD81" i="17"/>
  <c r="AD82" i="17"/>
  <c r="AD83" i="17"/>
  <c r="AD84" i="17"/>
  <c r="AD85" i="17"/>
  <c r="AD86" i="17"/>
  <c r="AD87" i="17"/>
  <c r="AD88" i="17"/>
  <c r="AD89" i="17"/>
  <c r="AD90" i="17"/>
  <c r="AD91" i="17"/>
  <c r="AD92" i="17"/>
  <c r="AD93" i="17"/>
  <c r="AD94" i="17"/>
  <c r="AD95" i="17"/>
  <c r="AD96" i="17"/>
  <c r="AD97" i="17"/>
  <c r="AD98" i="17"/>
  <c r="AD99" i="17"/>
  <c r="AD100" i="17"/>
  <c r="AD101" i="17"/>
  <c r="AD102" i="17"/>
  <c r="AD103" i="17"/>
  <c r="AD104" i="17"/>
  <c r="AD105" i="17"/>
  <c r="AD106" i="17"/>
  <c r="AD107" i="17"/>
  <c r="AD108" i="17"/>
  <c r="AD109" i="17"/>
  <c r="AD110" i="17"/>
  <c r="AD111" i="17"/>
  <c r="AD112" i="17"/>
  <c r="AD113" i="17"/>
  <c r="AD114" i="17"/>
  <c r="AD115" i="17"/>
  <c r="AD116" i="17"/>
  <c r="AD117" i="17"/>
  <c r="AD118" i="17"/>
  <c r="AD119" i="17"/>
  <c r="AD120" i="17"/>
  <c r="AD121" i="17"/>
  <c r="AD122" i="17"/>
  <c r="AD123" i="17"/>
  <c r="AE64" i="17"/>
  <c r="AE65" i="17"/>
  <c r="AE66" i="17"/>
  <c r="AE67" i="17"/>
  <c r="AE68" i="17"/>
  <c r="AE69" i="17"/>
  <c r="AE70" i="17"/>
  <c r="AE71" i="17"/>
  <c r="AE72" i="17"/>
  <c r="AE73" i="17"/>
  <c r="AE74" i="17"/>
  <c r="AE75" i="17"/>
  <c r="AE76" i="17"/>
  <c r="AE77" i="17"/>
  <c r="AE78" i="17"/>
  <c r="AE79" i="17"/>
  <c r="AE80" i="17"/>
  <c r="AE81" i="17"/>
  <c r="AE82" i="17"/>
  <c r="AE83" i="17"/>
  <c r="AE84" i="17"/>
  <c r="AE85" i="17"/>
  <c r="AE86" i="17"/>
  <c r="AE87" i="17"/>
  <c r="AE88" i="17"/>
  <c r="AE89" i="17"/>
  <c r="AE90" i="17"/>
  <c r="AE91" i="17"/>
  <c r="AE92" i="17"/>
  <c r="AE93" i="17"/>
  <c r="AE94" i="17"/>
  <c r="AE95" i="17"/>
  <c r="AE96" i="17"/>
  <c r="AE97" i="17"/>
  <c r="AE98" i="17"/>
  <c r="AE99" i="17"/>
  <c r="AE100" i="17"/>
  <c r="AE101" i="17"/>
  <c r="AE102" i="17"/>
  <c r="AE103" i="17"/>
  <c r="AE104" i="17"/>
  <c r="AE105" i="17"/>
  <c r="AE106" i="17"/>
  <c r="AE107" i="17"/>
  <c r="AE108" i="17"/>
  <c r="AE109" i="17"/>
  <c r="AE110" i="17"/>
  <c r="AE111" i="17"/>
  <c r="AE112" i="17"/>
  <c r="AE113" i="17"/>
  <c r="AE114" i="17"/>
  <c r="AE115" i="17"/>
  <c r="AE116" i="17"/>
  <c r="AE117" i="17"/>
  <c r="AE118" i="17"/>
  <c r="AE119" i="17"/>
  <c r="AE120" i="17"/>
  <c r="AE121" i="17"/>
  <c r="AE122" i="17"/>
  <c r="AE123" i="17"/>
  <c r="G4" i="17"/>
  <c r="Y81" i="17"/>
  <c r="Y101" i="17"/>
  <c r="X73" i="17"/>
  <c r="X93" i="17"/>
  <c r="H4" i="17"/>
  <c r="I4" i="17"/>
  <c r="AW4" i="17"/>
  <c r="X77" i="17"/>
  <c r="X89" i="17"/>
  <c r="Y65" i="17"/>
  <c r="G5" i="17"/>
  <c r="Y77" i="17"/>
  <c r="Y89" i="17"/>
  <c r="X65" i="17"/>
  <c r="H5" i="17"/>
  <c r="I5" i="17"/>
  <c r="AW5" i="17"/>
  <c r="X69" i="17"/>
  <c r="X85" i="17"/>
  <c r="G6" i="17"/>
  <c r="Y69" i="17"/>
  <c r="Y85" i="17"/>
  <c r="H6" i="17"/>
  <c r="I6" i="17"/>
  <c r="AW6" i="17"/>
  <c r="X97" i="17"/>
  <c r="G7" i="17"/>
  <c r="Y97" i="17"/>
  <c r="H7" i="17"/>
  <c r="I7" i="17"/>
  <c r="AW7" i="17"/>
  <c r="G8" i="17"/>
  <c r="H8" i="17"/>
  <c r="I8" i="17"/>
  <c r="AW8" i="17"/>
  <c r="X104" i="17"/>
  <c r="X105" i="17"/>
  <c r="X106" i="17"/>
  <c r="X107" i="17"/>
  <c r="X64" i="17"/>
  <c r="X66" i="17"/>
  <c r="X67" i="17"/>
  <c r="X68" i="17"/>
  <c r="X70" i="17"/>
  <c r="X71" i="17"/>
  <c r="X72" i="17"/>
  <c r="X74" i="17"/>
  <c r="X75" i="17"/>
  <c r="X76" i="17"/>
  <c r="X78" i="17"/>
  <c r="X79" i="17"/>
  <c r="X80" i="17"/>
  <c r="X82" i="17"/>
  <c r="X83" i="17"/>
  <c r="X84" i="17"/>
  <c r="X86" i="17"/>
  <c r="X87" i="17"/>
  <c r="X88" i="17"/>
  <c r="X90" i="17"/>
  <c r="X91" i="17"/>
  <c r="X92" i="17"/>
  <c r="X94" i="17"/>
  <c r="X95" i="17"/>
  <c r="X96" i="17"/>
  <c r="X98" i="17"/>
  <c r="X99" i="17"/>
  <c r="X100" i="17"/>
  <c r="X102" i="17"/>
  <c r="X103" i="17"/>
  <c r="X108" i="17"/>
  <c r="X109" i="17"/>
  <c r="X110" i="17"/>
  <c r="X111" i="17"/>
  <c r="X112" i="17"/>
  <c r="X113" i="17"/>
  <c r="X114" i="17"/>
  <c r="X115" i="17"/>
  <c r="X116" i="17"/>
  <c r="X117" i="17"/>
  <c r="X118" i="17"/>
  <c r="X119" i="17"/>
  <c r="X120" i="17"/>
  <c r="X121" i="17"/>
  <c r="X122" i="17"/>
  <c r="X123" i="17"/>
  <c r="Y64" i="17"/>
  <c r="Y66" i="17"/>
  <c r="Y67" i="17"/>
  <c r="Y68" i="17"/>
  <c r="Y70" i="17"/>
  <c r="Y71" i="17"/>
  <c r="Y72" i="17"/>
  <c r="Y74" i="17"/>
  <c r="Y75" i="17"/>
  <c r="Y76" i="17"/>
  <c r="Y78" i="17"/>
  <c r="Y79" i="17"/>
  <c r="Y80" i="17"/>
  <c r="Y82" i="17"/>
  <c r="Y83" i="17"/>
  <c r="Y84" i="17"/>
  <c r="Y86" i="17"/>
  <c r="Y87" i="17"/>
  <c r="Y88" i="17"/>
  <c r="Y90" i="17"/>
  <c r="Y91" i="17"/>
  <c r="Y92" i="17"/>
  <c r="Y94" i="17"/>
  <c r="Y95" i="17"/>
  <c r="Y96" i="17"/>
  <c r="Y98" i="17"/>
  <c r="Y99" i="17"/>
  <c r="Y100" i="17"/>
  <c r="Y102" i="17"/>
  <c r="Y103" i="17"/>
  <c r="Y104" i="17"/>
  <c r="Y105" i="17"/>
  <c r="Y106" i="17"/>
  <c r="Y107" i="17"/>
  <c r="Y108" i="17"/>
  <c r="Y109" i="17"/>
  <c r="Y110" i="17"/>
  <c r="Y111" i="17"/>
  <c r="Y112" i="17"/>
  <c r="Y113" i="17"/>
  <c r="Y114" i="17"/>
  <c r="Y115" i="17"/>
  <c r="Y116" i="17"/>
  <c r="Y117" i="17"/>
  <c r="Y118" i="17"/>
  <c r="Y119" i="17"/>
  <c r="Y120" i="17"/>
  <c r="Y121" i="17"/>
  <c r="Y122" i="17"/>
  <c r="Y123" i="17"/>
  <c r="G9" i="17"/>
  <c r="H9" i="17"/>
  <c r="I9" i="17"/>
  <c r="AW9" i="17"/>
  <c r="G10" i="17"/>
  <c r="H10" i="17"/>
  <c r="I10" i="17"/>
  <c r="AW10" i="17"/>
  <c r="G11" i="17"/>
  <c r="H11" i="17"/>
  <c r="I11" i="17"/>
  <c r="AW11" i="17"/>
  <c r="G12" i="17"/>
  <c r="H12" i="17"/>
  <c r="I12" i="17"/>
  <c r="AW12" i="17"/>
  <c r="AX4" i="17"/>
  <c r="L17" i="17"/>
  <c r="L5" i="17"/>
  <c r="M5" i="17"/>
  <c r="J5" i="17"/>
  <c r="K18" i="17"/>
  <c r="AT5" i="17"/>
  <c r="AS5" i="17"/>
  <c r="AU5" i="17"/>
  <c r="AX5" i="17"/>
  <c r="L18" i="17"/>
  <c r="L6" i="17"/>
  <c r="M6" i="17"/>
  <c r="J6" i="17"/>
  <c r="K19" i="17"/>
  <c r="AT6" i="17"/>
  <c r="AS6" i="17"/>
  <c r="AU6" i="17"/>
  <c r="AX6" i="17"/>
  <c r="L19" i="17"/>
  <c r="L7" i="17"/>
  <c r="M7" i="17"/>
  <c r="J7" i="17"/>
  <c r="K20" i="17"/>
  <c r="AT7" i="17"/>
  <c r="AS7" i="17"/>
  <c r="AU7" i="17"/>
  <c r="AX7" i="17"/>
  <c r="L20" i="17"/>
  <c r="L8" i="17"/>
  <c r="M8" i="17"/>
  <c r="J8" i="17"/>
  <c r="K21" i="17"/>
  <c r="AT8" i="17"/>
  <c r="AS8" i="17"/>
  <c r="AU8" i="17"/>
  <c r="AX8" i="17"/>
  <c r="L21" i="17"/>
  <c r="L9" i="17"/>
  <c r="M9" i="17"/>
  <c r="J9" i="17"/>
  <c r="K22" i="17"/>
  <c r="AT9" i="17"/>
  <c r="AS9" i="17"/>
  <c r="AU9" i="17"/>
  <c r="AX9" i="17"/>
  <c r="L22" i="17"/>
  <c r="L10" i="17"/>
  <c r="M10" i="17"/>
  <c r="J10" i="17"/>
  <c r="K23" i="17"/>
  <c r="AT10" i="17"/>
  <c r="AS10" i="17"/>
  <c r="AU10" i="17"/>
  <c r="AX10" i="17"/>
  <c r="L23" i="17"/>
  <c r="L11" i="17"/>
  <c r="M11" i="17"/>
  <c r="J11" i="17"/>
  <c r="K24" i="17"/>
  <c r="AT11" i="17"/>
  <c r="AS11" i="17"/>
  <c r="AU11" i="17"/>
  <c r="AX11" i="17"/>
  <c r="L24" i="17"/>
  <c r="L12" i="17"/>
  <c r="M12" i="17"/>
  <c r="J12" i="17"/>
  <c r="K25" i="17"/>
  <c r="AT12"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AC32" i="17" a="1"/>
  <c r="AD32" i="17" a="1"/>
  <c r="M20" i="17"/>
  <c r="N20" i="17" a="1"/>
  <c r="N20" i="17"/>
  <c r="R20" i="17"/>
  <c r="AE32" i="17" a="1"/>
  <c r="M21" i="17"/>
  <c r="N21" i="17" a="1"/>
  <c r="N21" i="17"/>
  <c r="R21" i="17"/>
  <c r="AF32" i="17" a="1"/>
  <c r="M22" i="17"/>
  <c r="N22" i="17" a="1"/>
  <c r="N22" i="17"/>
  <c r="R22" i="17"/>
  <c r="AG32" i="17" a="1"/>
  <c r="M23" i="17"/>
  <c r="N23" i="17" a="1"/>
  <c r="N23" i="17"/>
  <c r="R23" i="17"/>
  <c r="AH32" i="17" a="1"/>
  <c r="M24" i="17"/>
  <c r="N24" i="17" a="1"/>
  <c r="N24" i="17"/>
  <c r="R24" i="17"/>
  <c r="AI32" i="17" a="1"/>
  <c r="M25" i="17"/>
  <c r="N25" i="17" a="1"/>
  <c r="N25" i="17"/>
  <c r="R25" i="17"/>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F101" i="17"/>
  <c r="AH101" i="17"/>
  <c r="BT30" i="17"/>
  <c r="AG101" i="17"/>
  <c r="AI101" i="17"/>
  <c r="BS31" i="17"/>
  <c r="BT41" i="17"/>
  <c r="AG93" i="17"/>
  <c r="AI93" i="17"/>
  <c r="BU30" i="17"/>
  <c r="AF93" i="17"/>
  <c r="AH93" i="17"/>
  <c r="BS32" i="17"/>
  <c r="BU41" i="17"/>
  <c r="AF81" i="17"/>
  <c r="AH81" i="17"/>
  <c r="BV30" i="17"/>
  <c r="AG81" i="17"/>
  <c r="AI81" i="17"/>
  <c r="BS33" i="17"/>
  <c r="BV41" i="17"/>
  <c r="AG73" i="17"/>
  <c r="AI73" i="17"/>
  <c r="BW30" i="17"/>
  <c r="AF73" i="17"/>
  <c r="AH73" i="17"/>
  <c r="BS34" i="17"/>
  <c r="BW41" i="17"/>
  <c r="BX30" i="17"/>
  <c r="BS35" i="17"/>
  <c r="BX41" i="17"/>
  <c r="BY30" i="17"/>
  <c r="BS36" i="17"/>
  <c r="BY41" i="17"/>
  <c r="BZ30" i="17"/>
  <c r="BS37" i="17"/>
  <c r="BZ41" i="17"/>
  <c r="CA30" i="17"/>
  <c r="BS38" i="17"/>
  <c r="CA41" i="17"/>
  <c r="BS42" i="17"/>
  <c r="AF77" i="17"/>
  <c r="AH77" i="17"/>
  <c r="BU31" i="17"/>
  <c r="AG77" i="17"/>
  <c r="AI77" i="17"/>
  <c r="BT32" i="17"/>
  <c r="BU42" i="17"/>
  <c r="AF89" i="17"/>
  <c r="AH89" i="17"/>
  <c r="BV31" i="17"/>
  <c r="AG89" i="17"/>
  <c r="AI89" i="17"/>
  <c r="BT33" i="17"/>
  <c r="BV42" i="17"/>
  <c r="AG65" i="17"/>
  <c r="AI65" i="17"/>
  <c r="BW31" i="17"/>
  <c r="AF65" i="17"/>
  <c r="AH65" i="17"/>
  <c r="BT34" i="17"/>
  <c r="BW42" i="17"/>
  <c r="BX31" i="17"/>
  <c r="BT35" i="17"/>
  <c r="BX42" i="17"/>
  <c r="BY31" i="17"/>
  <c r="BT36" i="17"/>
  <c r="BY42" i="17"/>
  <c r="BZ31" i="17"/>
  <c r="BT37" i="17"/>
  <c r="BZ42" i="17"/>
  <c r="CA31" i="17"/>
  <c r="BT38" i="17"/>
  <c r="CA42" i="17"/>
  <c r="BS43" i="17"/>
  <c r="BT43" i="17"/>
  <c r="AF69" i="17"/>
  <c r="AH69" i="17"/>
  <c r="BV32" i="17"/>
  <c r="AG69" i="17"/>
  <c r="AI69" i="17"/>
  <c r="BU33" i="17"/>
  <c r="BV43" i="17"/>
  <c r="AF85" i="17"/>
  <c r="AH85" i="17"/>
  <c r="BW32" i="17"/>
  <c r="AG85" i="17"/>
  <c r="AI85" i="17"/>
  <c r="BU34" i="17"/>
  <c r="BW43" i="17"/>
  <c r="BX32" i="17"/>
  <c r="BU35" i="17"/>
  <c r="BX43" i="17"/>
  <c r="BY32" i="17"/>
  <c r="BU36" i="17"/>
  <c r="BY43" i="17"/>
  <c r="BZ32" i="17"/>
  <c r="BU37" i="17"/>
  <c r="BZ43" i="17"/>
  <c r="CA32" i="17"/>
  <c r="BU38" i="17"/>
  <c r="CA43" i="17"/>
  <c r="BS44" i="17"/>
  <c r="BT44" i="17"/>
  <c r="BU44" i="17"/>
  <c r="AF97" i="17"/>
  <c r="AH97" i="17"/>
  <c r="BW33" i="17"/>
  <c r="AG97" i="17"/>
  <c r="AI97"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AH104" i="17"/>
  <c r="AH105" i="17"/>
  <c r="AH106" i="17"/>
  <c r="AH107" i="17"/>
  <c r="AF64" i="17"/>
  <c r="AH64" i="17"/>
  <c r="AF66" i="17"/>
  <c r="AH66" i="17"/>
  <c r="AF67" i="17"/>
  <c r="AH67" i="17"/>
  <c r="AF68" i="17"/>
  <c r="AH68" i="17"/>
  <c r="AF70" i="17"/>
  <c r="AH70" i="17"/>
  <c r="AF71" i="17"/>
  <c r="AH71" i="17"/>
  <c r="AF72" i="17"/>
  <c r="AH72" i="17"/>
  <c r="AF74" i="17"/>
  <c r="AH74" i="17"/>
  <c r="AF75" i="17"/>
  <c r="AH75" i="17"/>
  <c r="AF76" i="17"/>
  <c r="AH76" i="17"/>
  <c r="AF78" i="17"/>
  <c r="AH78" i="17"/>
  <c r="AF79" i="17"/>
  <c r="AH79" i="17"/>
  <c r="AF80" i="17"/>
  <c r="AH80" i="17"/>
  <c r="AF82" i="17"/>
  <c r="AH82" i="17"/>
  <c r="AF83" i="17"/>
  <c r="AH83" i="17"/>
  <c r="AF84" i="17"/>
  <c r="AH84" i="17"/>
  <c r="AF86" i="17"/>
  <c r="AH86" i="17"/>
  <c r="AF87" i="17"/>
  <c r="AH87" i="17"/>
  <c r="AF88" i="17"/>
  <c r="AH88" i="17"/>
  <c r="AF90" i="17"/>
  <c r="AH90" i="17"/>
  <c r="AF91" i="17"/>
  <c r="AH91" i="17"/>
  <c r="AF92" i="17"/>
  <c r="AH92" i="17"/>
  <c r="AF94" i="17"/>
  <c r="AH94" i="17"/>
  <c r="AF95" i="17"/>
  <c r="AH95" i="17"/>
  <c r="AF96" i="17"/>
  <c r="AH96" i="17"/>
  <c r="AF98" i="17"/>
  <c r="AH98" i="17"/>
  <c r="AF99" i="17"/>
  <c r="AH99" i="17"/>
  <c r="AF100" i="17"/>
  <c r="AH100" i="17"/>
  <c r="AF102" i="17"/>
  <c r="AH102" i="17"/>
  <c r="AF103" i="17"/>
  <c r="AH103" i="17"/>
  <c r="AH108" i="17"/>
  <c r="AH109" i="17"/>
  <c r="AH110" i="17"/>
  <c r="AH111" i="17"/>
  <c r="AH112" i="17"/>
  <c r="AH113" i="17"/>
  <c r="AH114" i="17"/>
  <c r="AH115" i="17"/>
  <c r="AH116" i="17"/>
  <c r="AH117" i="17"/>
  <c r="AH118" i="17"/>
  <c r="AH119" i="17"/>
  <c r="AH120" i="17"/>
  <c r="AH121" i="17"/>
  <c r="AH122" i="17"/>
  <c r="AH123" i="17"/>
  <c r="AG64" i="17"/>
  <c r="AI64" i="17"/>
  <c r="AG66" i="17"/>
  <c r="AI66" i="17"/>
  <c r="AG67" i="17"/>
  <c r="AI67" i="17"/>
  <c r="AG68" i="17"/>
  <c r="AI68" i="17"/>
  <c r="AG70" i="17"/>
  <c r="AI70" i="17"/>
  <c r="AG71" i="17"/>
  <c r="AI71" i="17"/>
  <c r="AG72" i="17"/>
  <c r="AI72" i="17"/>
  <c r="AG74" i="17"/>
  <c r="AI74" i="17"/>
  <c r="AG75" i="17"/>
  <c r="AI75" i="17"/>
  <c r="AG76" i="17"/>
  <c r="AI76" i="17"/>
  <c r="AG78" i="17"/>
  <c r="AI78" i="17"/>
  <c r="AG79" i="17"/>
  <c r="AI79" i="17"/>
  <c r="AG80" i="17"/>
  <c r="AI80" i="17"/>
  <c r="AG82" i="17"/>
  <c r="AI82" i="17"/>
  <c r="AG83" i="17"/>
  <c r="AI83" i="17"/>
  <c r="AG84" i="17"/>
  <c r="AI84" i="17"/>
  <c r="AG86" i="17"/>
  <c r="AI86" i="17"/>
  <c r="AG87" i="17"/>
  <c r="AI87" i="17"/>
  <c r="AG88" i="17"/>
  <c r="AI88" i="17"/>
  <c r="AG90" i="17"/>
  <c r="AI90" i="17"/>
  <c r="AG91" i="17"/>
  <c r="AI91" i="17"/>
  <c r="AG92" i="17"/>
  <c r="AI92" i="17"/>
  <c r="AG94" i="17"/>
  <c r="AI94" i="17"/>
  <c r="AG95" i="17"/>
  <c r="AI95" i="17"/>
  <c r="AG96" i="17"/>
  <c r="AI96" i="17"/>
  <c r="AG98" i="17"/>
  <c r="AI98" i="17"/>
  <c r="AG99" i="17"/>
  <c r="AI99" i="17"/>
  <c r="AG100" i="17"/>
  <c r="AI100" i="17"/>
  <c r="AG102" i="17"/>
  <c r="AI102" i="17"/>
  <c r="AG103" i="17"/>
  <c r="AI103" i="17"/>
  <c r="AI104" i="17"/>
  <c r="AI105" i="17"/>
  <c r="AI106" i="17"/>
  <c r="AI107" i="17"/>
  <c r="AI108" i="17"/>
  <c r="AI109" i="17"/>
  <c r="AI110" i="17"/>
  <c r="AI111" i="17"/>
  <c r="AI112" i="17"/>
  <c r="AI113" i="17"/>
  <c r="AI114" i="17"/>
  <c r="AI115" i="17"/>
  <c r="AI116" i="17"/>
  <c r="AI117" i="17"/>
  <c r="AI118" i="17"/>
  <c r="AI119" i="17"/>
  <c r="AI120" i="17"/>
  <c r="AI121" i="17"/>
  <c r="AI122" i="17"/>
  <c r="AI123"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O22" i="17"/>
  <c r="E35" i="17" a="1"/>
  <c r="E35" i="17"/>
  <c r="F35" i="17" a="1"/>
  <c r="F35" i="17"/>
  <c r="G35" i="17" a="1"/>
  <c r="H35" i="17" a="1"/>
  <c r="I35" i="17" a="1"/>
  <c r="O23" i="17"/>
  <c r="J35" i="17" a="1"/>
  <c r="O24" i="17"/>
  <c r="K35" i="17" a="1"/>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AC35" i="17" a="1"/>
  <c r="AD35" i="17" a="1"/>
  <c r="AE35" i="17" a="1"/>
  <c r="AF35" i="17" a="1"/>
  <c r="AG35" i="17" a="1"/>
  <c r="AH35" i="17" a="1"/>
  <c r="AI35" i="17" a="1"/>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N4" i="17"/>
  <c r="N5" i="17"/>
  <c r="N6" i="17"/>
  <c r="C7" i="17"/>
  <c r="N7" i="17"/>
  <c r="C8" i="17"/>
  <c r="N8" i="17"/>
  <c r="C9" i="17"/>
  <c r="N9" i="17"/>
  <c r="C10" i="17"/>
  <c r="N10" i="17"/>
  <c r="C11" i="17"/>
  <c r="N11" i="17"/>
  <c r="C12" i="17"/>
  <c r="N12" i="17"/>
  <c r="X27" i="6"/>
  <c r="Y14" i="21"/>
  <c r="I13" i="21"/>
  <c r="V64" i="35"/>
  <c r="AJ64" i="35"/>
  <c r="W64" i="35"/>
  <c r="AA64" i="35"/>
  <c r="V65" i="35"/>
  <c r="V66" i="35"/>
  <c r="V67" i="35"/>
  <c r="V68" i="35"/>
  <c r="V69" i="35"/>
  <c r="V70" i="35"/>
  <c r="V71" i="35"/>
  <c r="V72" i="35"/>
  <c r="V73" i="35"/>
  <c r="V74" i="35"/>
  <c r="V75" i="35"/>
  <c r="V76" i="35"/>
  <c r="V77" i="35"/>
  <c r="V78" i="35"/>
  <c r="V79" i="35"/>
  <c r="V80" i="35"/>
  <c r="V81" i="35"/>
  <c r="V82" i="35"/>
  <c r="V83" i="35"/>
  <c r="V84" i="35"/>
  <c r="V85" i="35"/>
  <c r="V86" i="35"/>
  <c r="V87" i="35"/>
  <c r="V88" i="35"/>
  <c r="V89" i="35"/>
  <c r="V90" i="35"/>
  <c r="V91" i="35"/>
  <c r="V92" i="35"/>
  <c r="V93" i="35"/>
  <c r="V94" i="35"/>
  <c r="V95" i="35"/>
  <c r="V96" i="35"/>
  <c r="V97" i="35"/>
  <c r="V98" i="35"/>
  <c r="V99" i="35"/>
  <c r="V100" i="35"/>
  <c r="V101" i="35"/>
  <c r="V102" i="35"/>
  <c r="V103" i="35"/>
  <c r="V104" i="35"/>
  <c r="V105" i="35"/>
  <c r="V106" i="35"/>
  <c r="V107" i="35"/>
  <c r="V108" i="35"/>
  <c r="V109" i="35"/>
  <c r="V110" i="35"/>
  <c r="V111" i="35"/>
  <c r="V112" i="35"/>
  <c r="V113" i="35"/>
  <c r="V114" i="35"/>
  <c r="V115" i="35"/>
  <c r="V116" i="35"/>
  <c r="V117" i="35"/>
  <c r="V118" i="35"/>
  <c r="V119" i="35"/>
  <c r="V120" i="35"/>
  <c r="V121" i="35"/>
  <c r="V122" i="35"/>
  <c r="V123" i="35"/>
  <c r="AJ65" i="35"/>
  <c r="AJ66" i="35"/>
  <c r="AJ67" i="35"/>
  <c r="AJ68" i="35"/>
  <c r="AJ69" i="35"/>
  <c r="AJ70" i="35"/>
  <c r="AJ71" i="35"/>
  <c r="AJ72" i="35"/>
  <c r="AJ73" i="35"/>
  <c r="AJ74" i="35"/>
  <c r="AJ75" i="35"/>
  <c r="AJ76" i="35"/>
  <c r="AJ77" i="35"/>
  <c r="AJ78" i="35"/>
  <c r="AJ79" i="35"/>
  <c r="AJ80" i="35"/>
  <c r="AJ81" i="35"/>
  <c r="AJ82" i="35"/>
  <c r="AJ83" i="35"/>
  <c r="AJ84" i="35"/>
  <c r="AJ85" i="35"/>
  <c r="AJ86" i="35"/>
  <c r="AJ87" i="35"/>
  <c r="AJ88" i="35"/>
  <c r="AJ89" i="35"/>
  <c r="AJ90" i="35"/>
  <c r="AJ91" i="35"/>
  <c r="AJ92" i="35"/>
  <c r="AJ93" i="35"/>
  <c r="AJ94" i="35"/>
  <c r="AJ95" i="35"/>
  <c r="AJ96" i="35"/>
  <c r="AJ97" i="35"/>
  <c r="AJ98" i="35"/>
  <c r="AJ99" i="35"/>
  <c r="AJ100" i="35"/>
  <c r="AJ101" i="35"/>
  <c r="AJ102" i="35"/>
  <c r="AJ103" i="35"/>
  <c r="AJ104" i="35"/>
  <c r="AJ105" i="35"/>
  <c r="AJ106" i="35"/>
  <c r="AJ107" i="35"/>
  <c r="AJ108" i="35"/>
  <c r="AJ109" i="35"/>
  <c r="AJ110" i="35"/>
  <c r="AJ111" i="35"/>
  <c r="AJ112" i="35"/>
  <c r="AJ113" i="35"/>
  <c r="AJ114" i="35"/>
  <c r="AJ115" i="35"/>
  <c r="AJ116" i="35"/>
  <c r="AJ117" i="35"/>
  <c r="AJ118" i="35"/>
  <c r="AJ119" i="35"/>
  <c r="AJ120" i="35"/>
  <c r="AJ121" i="35"/>
  <c r="AJ122" i="35"/>
  <c r="AJ123" i="35"/>
  <c r="W65" i="35"/>
  <c r="AA65" i="35"/>
  <c r="W66" i="35"/>
  <c r="AA66" i="35"/>
  <c r="W67" i="35"/>
  <c r="AA67" i="35"/>
  <c r="W68" i="35"/>
  <c r="AA68" i="35"/>
  <c r="W69" i="35"/>
  <c r="AA69" i="35"/>
  <c r="W70" i="35"/>
  <c r="AA70" i="35"/>
  <c r="W71" i="35"/>
  <c r="AA71" i="35"/>
  <c r="W72" i="35"/>
  <c r="AA72" i="35"/>
  <c r="W73" i="35"/>
  <c r="AA73" i="35"/>
  <c r="W74" i="35"/>
  <c r="AA74" i="35"/>
  <c r="W75" i="35"/>
  <c r="AA75" i="35"/>
  <c r="W76" i="35"/>
  <c r="AA76" i="35"/>
  <c r="W77" i="35"/>
  <c r="AA77" i="35"/>
  <c r="W78" i="35"/>
  <c r="AA78" i="35"/>
  <c r="W79" i="35"/>
  <c r="AA79" i="35"/>
  <c r="W80" i="35"/>
  <c r="AA80" i="35"/>
  <c r="W81" i="35"/>
  <c r="AA81" i="35"/>
  <c r="W82" i="35"/>
  <c r="AA82" i="35"/>
  <c r="W83" i="35"/>
  <c r="AA83" i="35"/>
  <c r="W84" i="35"/>
  <c r="AA84" i="35"/>
  <c r="W85" i="35"/>
  <c r="AA85" i="35"/>
  <c r="W86" i="35"/>
  <c r="AA86" i="35"/>
  <c r="W87" i="35"/>
  <c r="AA87" i="35"/>
  <c r="W88" i="35"/>
  <c r="AA88" i="35"/>
  <c r="W89" i="35"/>
  <c r="AA89" i="35"/>
  <c r="W90" i="35"/>
  <c r="AA90" i="35"/>
  <c r="W91" i="35"/>
  <c r="AA91" i="35"/>
  <c r="W92" i="35"/>
  <c r="AA92" i="35"/>
  <c r="W93" i="35"/>
  <c r="AA93" i="35"/>
  <c r="W94" i="35"/>
  <c r="AA94" i="35"/>
  <c r="W95" i="35"/>
  <c r="AA95" i="35"/>
  <c r="W96" i="35"/>
  <c r="AA96" i="35"/>
  <c r="W97" i="35"/>
  <c r="AA97" i="35"/>
  <c r="W98" i="35"/>
  <c r="AA98" i="35"/>
  <c r="W99" i="35"/>
  <c r="AA99" i="35"/>
  <c r="W100" i="35"/>
  <c r="AA100" i="35"/>
  <c r="W101" i="35"/>
  <c r="AA101" i="35"/>
  <c r="W102" i="35"/>
  <c r="AA102" i="35"/>
  <c r="W103" i="35"/>
  <c r="AA103" i="35"/>
  <c r="W104" i="35"/>
  <c r="AA104" i="35"/>
  <c r="W105" i="35"/>
  <c r="AA105" i="35"/>
  <c r="W106" i="35"/>
  <c r="AA106" i="35"/>
  <c r="W107" i="35"/>
  <c r="AA107" i="35"/>
  <c r="W108" i="35"/>
  <c r="AA108" i="35"/>
  <c r="W109" i="35"/>
  <c r="AA109" i="35"/>
  <c r="W110" i="35"/>
  <c r="AA110" i="35"/>
  <c r="W111" i="35"/>
  <c r="AA111" i="35"/>
  <c r="W112" i="35"/>
  <c r="AA112" i="35"/>
  <c r="W113" i="35"/>
  <c r="AA113" i="35"/>
  <c r="W114" i="35"/>
  <c r="AA114" i="35"/>
  <c r="W115" i="35"/>
  <c r="AA115" i="35"/>
  <c r="W116" i="35"/>
  <c r="AA116" i="35"/>
  <c r="W117" i="35"/>
  <c r="AA117" i="35"/>
  <c r="W118" i="35"/>
  <c r="AA118" i="35"/>
  <c r="W119" i="35"/>
  <c r="AA119" i="35"/>
  <c r="W120" i="35"/>
  <c r="AA120" i="35"/>
  <c r="W121" i="35"/>
  <c r="AA121" i="35"/>
  <c r="W122" i="35"/>
  <c r="AA122" i="35"/>
  <c r="W123" i="35"/>
  <c r="AA123" i="35"/>
  <c r="AK64" i="35"/>
  <c r="AK65" i="35"/>
  <c r="AK66" i="35"/>
  <c r="AK67" i="35"/>
  <c r="AK68" i="35"/>
  <c r="AK69" i="35"/>
  <c r="AK70" i="35"/>
  <c r="AK71" i="35"/>
  <c r="AK72" i="35"/>
  <c r="AK73" i="35"/>
  <c r="AK74" i="35"/>
  <c r="AK75" i="35"/>
  <c r="AK76" i="35"/>
  <c r="AK77" i="35"/>
  <c r="AK78" i="35"/>
  <c r="AK79" i="35"/>
  <c r="AK80" i="35"/>
  <c r="AK81" i="35"/>
  <c r="AK82" i="35"/>
  <c r="AK83" i="35"/>
  <c r="AK84" i="35"/>
  <c r="AK85" i="35"/>
  <c r="AK86" i="35"/>
  <c r="AK87" i="35"/>
  <c r="AK88" i="35"/>
  <c r="AK89" i="35"/>
  <c r="AK90" i="35"/>
  <c r="AK91" i="35"/>
  <c r="AK92" i="35"/>
  <c r="AK93" i="35"/>
  <c r="AK94" i="35"/>
  <c r="AK95" i="35"/>
  <c r="AK96" i="35"/>
  <c r="AK97" i="35"/>
  <c r="AK98" i="35"/>
  <c r="AK99" i="35"/>
  <c r="AK100" i="35"/>
  <c r="AK101" i="35"/>
  <c r="AK102" i="35"/>
  <c r="AK103" i="35"/>
  <c r="AK104" i="35"/>
  <c r="AK105" i="35"/>
  <c r="AK106" i="35"/>
  <c r="AK107" i="35"/>
  <c r="AK108" i="35"/>
  <c r="AK109" i="35"/>
  <c r="AK110" i="35"/>
  <c r="AK111" i="35"/>
  <c r="AK112" i="35"/>
  <c r="AK113" i="35"/>
  <c r="AK114" i="35"/>
  <c r="AK115" i="35"/>
  <c r="AK116" i="35"/>
  <c r="AK117" i="35"/>
  <c r="AK118" i="35"/>
  <c r="AK119" i="35"/>
  <c r="AK120" i="35"/>
  <c r="AK121" i="35"/>
  <c r="AK122" i="35"/>
  <c r="AK123" i="35"/>
  <c r="K4" i="35"/>
  <c r="K5" i="35"/>
  <c r="K6" i="35"/>
  <c r="K7" i="35"/>
  <c r="K8" i="35"/>
  <c r="K9" i="35"/>
  <c r="K10" i="35"/>
  <c r="K11" i="35"/>
  <c r="K12" i="35"/>
  <c r="K13" i="35"/>
  <c r="L4" i="35"/>
  <c r="M4" i="35"/>
  <c r="J4" i="35"/>
  <c r="K17" i="35"/>
  <c r="AT4" i="35"/>
  <c r="AS4" i="35"/>
  <c r="AU4" i="35"/>
  <c r="X83" i="35"/>
  <c r="X103" i="35"/>
  <c r="Y75" i="35"/>
  <c r="Y95" i="35"/>
  <c r="AD64" i="35"/>
  <c r="AD65" i="35"/>
  <c r="AD66" i="35"/>
  <c r="AD67" i="35"/>
  <c r="AD68" i="35"/>
  <c r="AD69" i="35"/>
  <c r="AD70" i="35"/>
  <c r="AD71" i="35"/>
  <c r="AD72" i="35"/>
  <c r="AD73" i="35"/>
  <c r="AD74" i="35"/>
  <c r="AD75" i="35"/>
  <c r="AD76" i="35"/>
  <c r="AD77" i="35"/>
  <c r="AD78" i="35"/>
  <c r="AD79" i="35"/>
  <c r="AD80" i="35"/>
  <c r="AD81" i="35"/>
  <c r="AD82" i="35"/>
  <c r="AD83" i="35"/>
  <c r="AD84" i="35"/>
  <c r="AD85" i="35"/>
  <c r="AD86" i="35"/>
  <c r="AD87" i="35"/>
  <c r="AD88" i="35"/>
  <c r="AD89" i="35"/>
  <c r="AD90" i="35"/>
  <c r="AD91" i="35"/>
  <c r="AD92" i="35"/>
  <c r="AD93" i="35"/>
  <c r="AD94" i="35"/>
  <c r="AD95" i="35"/>
  <c r="AD96" i="35"/>
  <c r="AD97" i="35"/>
  <c r="AD98" i="35"/>
  <c r="AD99" i="35"/>
  <c r="AD100" i="35"/>
  <c r="AD101" i="35"/>
  <c r="AD102" i="35"/>
  <c r="AD103" i="35"/>
  <c r="AD104" i="35"/>
  <c r="AD105" i="35"/>
  <c r="AD106" i="35"/>
  <c r="AD107" i="35"/>
  <c r="AD108" i="35"/>
  <c r="AD109" i="35"/>
  <c r="AD110" i="35"/>
  <c r="AD111" i="35"/>
  <c r="AD112" i="35"/>
  <c r="AD113" i="35"/>
  <c r="AD114" i="35"/>
  <c r="AD115" i="35"/>
  <c r="AD116" i="35"/>
  <c r="AD117" i="35"/>
  <c r="AD118" i="35"/>
  <c r="AD119" i="35"/>
  <c r="AD120" i="35"/>
  <c r="AD121" i="35"/>
  <c r="AD122" i="35"/>
  <c r="AD123" i="35"/>
  <c r="AE64" i="35"/>
  <c r="AE65" i="35"/>
  <c r="AE66" i="35"/>
  <c r="AE67" i="35"/>
  <c r="AE68" i="35"/>
  <c r="AE69" i="35"/>
  <c r="AE70" i="35"/>
  <c r="AE71" i="35"/>
  <c r="AE72" i="35"/>
  <c r="AE73" i="35"/>
  <c r="AE74" i="35"/>
  <c r="AE75" i="35"/>
  <c r="AE76" i="35"/>
  <c r="AE77" i="35"/>
  <c r="AE78" i="35"/>
  <c r="AE79" i="35"/>
  <c r="AE80" i="35"/>
  <c r="AE81" i="35"/>
  <c r="AE82" i="35"/>
  <c r="AE83" i="35"/>
  <c r="AE84" i="35"/>
  <c r="AE85" i="35"/>
  <c r="AE86" i="35"/>
  <c r="AE87" i="35"/>
  <c r="AE88" i="35"/>
  <c r="AE89" i="35"/>
  <c r="AE90" i="35"/>
  <c r="AE91" i="35"/>
  <c r="AE92" i="35"/>
  <c r="AE93" i="35"/>
  <c r="AE94" i="35"/>
  <c r="AE95" i="35"/>
  <c r="AE96" i="35"/>
  <c r="AE97" i="35"/>
  <c r="AE98" i="35"/>
  <c r="AE99" i="35"/>
  <c r="AE100" i="35"/>
  <c r="AE101" i="35"/>
  <c r="AE102" i="35"/>
  <c r="AE103" i="35"/>
  <c r="AE104" i="35"/>
  <c r="AE105" i="35"/>
  <c r="AE106" i="35"/>
  <c r="AE107" i="35"/>
  <c r="AE108" i="35"/>
  <c r="AE109" i="35"/>
  <c r="AE110" i="35"/>
  <c r="AE111" i="35"/>
  <c r="AE112" i="35"/>
  <c r="AE113" i="35"/>
  <c r="AE114" i="35"/>
  <c r="AE115" i="35"/>
  <c r="AE116" i="35"/>
  <c r="AE117" i="35"/>
  <c r="AE118" i="35"/>
  <c r="AE119" i="35"/>
  <c r="AE120" i="35"/>
  <c r="AE121" i="35"/>
  <c r="AE122" i="35"/>
  <c r="AE123" i="35"/>
  <c r="G4" i="35"/>
  <c r="Y83" i="35"/>
  <c r="Y103" i="35"/>
  <c r="X75" i="35"/>
  <c r="X95" i="35"/>
  <c r="H4" i="35"/>
  <c r="I4" i="35"/>
  <c r="AW4" i="35"/>
  <c r="X79" i="35"/>
  <c r="X91" i="35"/>
  <c r="Y67" i="35"/>
  <c r="G5" i="35"/>
  <c r="Y79" i="35"/>
  <c r="Y91" i="35"/>
  <c r="X67" i="35"/>
  <c r="H5" i="35"/>
  <c r="I5" i="35"/>
  <c r="AW5" i="35"/>
  <c r="X71" i="35"/>
  <c r="X87" i="35"/>
  <c r="G6" i="35"/>
  <c r="Y71" i="35"/>
  <c r="Y87" i="35"/>
  <c r="H6" i="35"/>
  <c r="I6" i="35"/>
  <c r="AW6" i="35"/>
  <c r="X99" i="35"/>
  <c r="G7" i="35"/>
  <c r="Y99" i="35"/>
  <c r="H7" i="35"/>
  <c r="I7" i="35"/>
  <c r="AW7" i="35"/>
  <c r="G8" i="35"/>
  <c r="H8" i="35"/>
  <c r="I8" i="35"/>
  <c r="AW8" i="35"/>
  <c r="X104" i="35"/>
  <c r="X105" i="35"/>
  <c r="X106" i="35"/>
  <c r="X107" i="35"/>
  <c r="X64" i="35"/>
  <c r="X65" i="35"/>
  <c r="X66" i="35"/>
  <c r="X68" i="35"/>
  <c r="X69" i="35"/>
  <c r="X70" i="35"/>
  <c r="X72" i="35"/>
  <c r="X73" i="35"/>
  <c r="X74" i="35"/>
  <c r="X76" i="35"/>
  <c r="X77" i="35"/>
  <c r="X78" i="35"/>
  <c r="X80" i="35"/>
  <c r="X81" i="35"/>
  <c r="X82" i="35"/>
  <c r="X84" i="35"/>
  <c r="X85" i="35"/>
  <c r="X86" i="35"/>
  <c r="X88" i="35"/>
  <c r="X89" i="35"/>
  <c r="X90" i="35"/>
  <c r="X92" i="35"/>
  <c r="X93" i="35"/>
  <c r="X94" i="35"/>
  <c r="X96" i="35"/>
  <c r="X97" i="35"/>
  <c r="X98" i="35"/>
  <c r="X100" i="35"/>
  <c r="X101" i="35"/>
  <c r="X102" i="35"/>
  <c r="X108" i="35"/>
  <c r="X109" i="35"/>
  <c r="X110" i="35"/>
  <c r="X111" i="35"/>
  <c r="X112" i="35"/>
  <c r="X113" i="35"/>
  <c r="X114" i="35"/>
  <c r="X115" i="35"/>
  <c r="X116" i="35"/>
  <c r="X117" i="35"/>
  <c r="X118" i="35"/>
  <c r="X119" i="35"/>
  <c r="X120" i="35"/>
  <c r="X121" i="35"/>
  <c r="X122" i="35"/>
  <c r="X123" i="35"/>
  <c r="Y64" i="35"/>
  <c r="Y65" i="35"/>
  <c r="Y66" i="35"/>
  <c r="Y68" i="35"/>
  <c r="Y69" i="35"/>
  <c r="Y70" i="35"/>
  <c r="Y72" i="35"/>
  <c r="Y73" i="35"/>
  <c r="Y74" i="35"/>
  <c r="Y76" i="35"/>
  <c r="Y77" i="35"/>
  <c r="Y78" i="35"/>
  <c r="Y80" i="35"/>
  <c r="Y81" i="35"/>
  <c r="Y82" i="35"/>
  <c r="Y84" i="35"/>
  <c r="Y85" i="35"/>
  <c r="Y86" i="35"/>
  <c r="Y88" i="35"/>
  <c r="Y89" i="35"/>
  <c r="Y90" i="35"/>
  <c r="Y92" i="35"/>
  <c r="Y93" i="35"/>
  <c r="Y94" i="35"/>
  <c r="Y96" i="35"/>
  <c r="Y97" i="35"/>
  <c r="Y98" i="35"/>
  <c r="Y100" i="35"/>
  <c r="Y101" i="35"/>
  <c r="Y102" i="35"/>
  <c r="Y104" i="35"/>
  <c r="Y105" i="35"/>
  <c r="Y106" i="35"/>
  <c r="Y107" i="35"/>
  <c r="Y108" i="35"/>
  <c r="Y109" i="35"/>
  <c r="Y110" i="35"/>
  <c r="Y111" i="35"/>
  <c r="Y112" i="35"/>
  <c r="Y113" i="35"/>
  <c r="Y114" i="35"/>
  <c r="Y115" i="35"/>
  <c r="Y116" i="35"/>
  <c r="Y117" i="35"/>
  <c r="Y118" i="35"/>
  <c r="Y119" i="35"/>
  <c r="Y120" i="35"/>
  <c r="Y121" i="35"/>
  <c r="Y122" i="35"/>
  <c r="Y123" i="35"/>
  <c r="G9" i="35"/>
  <c r="H9" i="35"/>
  <c r="I9" i="35"/>
  <c r="AW9" i="35"/>
  <c r="G10" i="35"/>
  <c r="H10" i="35"/>
  <c r="I10" i="35"/>
  <c r="AW10" i="35"/>
  <c r="G11" i="35"/>
  <c r="H11" i="35"/>
  <c r="I11" i="35"/>
  <c r="AW11" i="35"/>
  <c r="G12" i="35"/>
  <c r="H12" i="35"/>
  <c r="I12" i="35"/>
  <c r="AW12" i="35"/>
  <c r="AX4" i="35"/>
  <c r="L17" i="35"/>
  <c r="L5" i="35"/>
  <c r="M5" i="35"/>
  <c r="J5" i="35"/>
  <c r="K18" i="35"/>
  <c r="AT5" i="35"/>
  <c r="AS5" i="35"/>
  <c r="AU5" i="35"/>
  <c r="AX5" i="35"/>
  <c r="L18" i="35"/>
  <c r="L6" i="35"/>
  <c r="M6" i="35"/>
  <c r="J6" i="35"/>
  <c r="K19" i="35"/>
  <c r="AT6" i="35"/>
  <c r="AS6" i="35"/>
  <c r="AU6" i="35"/>
  <c r="AX6" i="35"/>
  <c r="L19" i="35"/>
  <c r="L7" i="35"/>
  <c r="M7" i="35"/>
  <c r="J7" i="35"/>
  <c r="K20" i="35"/>
  <c r="AT7" i="35"/>
  <c r="AS7" i="35"/>
  <c r="AU7" i="35"/>
  <c r="AX7" i="35"/>
  <c r="L20" i="35"/>
  <c r="L8" i="35"/>
  <c r="M8" i="35"/>
  <c r="J8" i="35"/>
  <c r="K21" i="35"/>
  <c r="AT8" i="35"/>
  <c r="AS8" i="35"/>
  <c r="AU8" i="35"/>
  <c r="AX8" i="35"/>
  <c r="L21" i="35"/>
  <c r="L9" i="35"/>
  <c r="M9" i="35"/>
  <c r="J9" i="35"/>
  <c r="K22" i="35"/>
  <c r="AT9" i="35"/>
  <c r="AS9" i="35"/>
  <c r="AU9" i="35"/>
  <c r="AX9" i="35"/>
  <c r="L22" i="35"/>
  <c r="L10" i="35"/>
  <c r="M10" i="35"/>
  <c r="J10" i="35"/>
  <c r="K23" i="35"/>
  <c r="AT10" i="35"/>
  <c r="AS10" i="35"/>
  <c r="AU10" i="35"/>
  <c r="AX10" i="35"/>
  <c r="L23" i="35"/>
  <c r="L11" i="35"/>
  <c r="M11" i="35"/>
  <c r="J11" i="35"/>
  <c r="K24" i="35"/>
  <c r="AT11" i="35"/>
  <c r="AS11" i="35"/>
  <c r="AU11" i="35"/>
  <c r="AX11" i="35"/>
  <c r="L24" i="35"/>
  <c r="L12" i="35"/>
  <c r="M12" i="35"/>
  <c r="J12" i="35"/>
  <c r="K25" i="35"/>
  <c r="AT12" i="35"/>
  <c r="AS12" i="35"/>
  <c r="AU12" i="35"/>
  <c r="AX12" i="35"/>
  <c r="L25" i="35"/>
  <c r="M17" i="35"/>
  <c r="N17" i="35" a="1"/>
  <c r="N17" i="35"/>
  <c r="O17" i="35"/>
  <c r="E30" i="35" a="1"/>
  <c r="E30" i="35"/>
  <c r="F30" i="35" a="1"/>
  <c r="F30" i="35"/>
  <c r="G30" i="35" a="1"/>
  <c r="H30" i="35" a="1"/>
  <c r="I30" i="35" a="1"/>
  <c r="J30" i="35" a="1"/>
  <c r="K30" i="35" a="1"/>
  <c r="L30" i="35" a="1"/>
  <c r="P17" i="35"/>
  <c r="M30" i="35" a="1"/>
  <c r="N30" i="35" a="1"/>
  <c r="O30" i="35" a="1"/>
  <c r="P30" i="35" a="1"/>
  <c r="Q30" i="35" a="1"/>
  <c r="R30" i="35" a="1"/>
  <c r="S30" i="35" a="1"/>
  <c r="T30" i="35" a="1"/>
  <c r="Q17" i="35"/>
  <c r="U30" i="35" a="1"/>
  <c r="V30" i="35" a="1"/>
  <c r="W30" i="35" a="1"/>
  <c r="X30" i="35" a="1"/>
  <c r="Y30" i="35" a="1"/>
  <c r="Z30" i="35" a="1"/>
  <c r="AA30" i="35" a="1"/>
  <c r="AB30" i="35" a="1"/>
  <c r="R17" i="35"/>
  <c r="AC30" i="35" a="1"/>
  <c r="AD30" i="35" a="1"/>
  <c r="AE30" i="35" a="1"/>
  <c r="AF30" i="35" a="1"/>
  <c r="AG30" i="35" a="1"/>
  <c r="AH30" i="35" a="1"/>
  <c r="AI30" i="35" a="1"/>
  <c r="AJ30" i="35" a="1"/>
  <c r="S17" i="35"/>
  <c r="AK30" i="35" a="1"/>
  <c r="AL30" i="35" a="1"/>
  <c r="AM30" i="35" a="1"/>
  <c r="AN30" i="35" a="1"/>
  <c r="AO30" i="35" a="1"/>
  <c r="AP30" i="35" a="1"/>
  <c r="AQ30" i="35" a="1"/>
  <c r="AR30" i="35" a="1"/>
  <c r="T17" i="35"/>
  <c r="AS30" i="35" a="1"/>
  <c r="AT30" i="35" a="1"/>
  <c r="AU30" i="35" a="1"/>
  <c r="AV30" i="35" a="1"/>
  <c r="AW30" i="35" a="1"/>
  <c r="AX30" i="35" a="1"/>
  <c r="AY30" i="35" a="1"/>
  <c r="AZ30" i="35" a="1"/>
  <c r="U17" i="35"/>
  <c r="BA30" i="35" a="1"/>
  <c r="BB30" i="35" a="1"/>
  <c r="BC30" i="35" a="1"/>
  <c r="BD30" i="35" a="1"/>
  <c r="BE30" i="35" a="1"/>
  <c r="BF30" i="35" a="1"/>
  <c r="BG30" i="35" a="1"/>
  <c r="BH30" i="35" a="1"/>
  <c r="V17" i="35"/>
  <c r="BI30" i="35" a="1"/>
  <c r="BJ30" i="35" a="1"/>
  <c r="BK30" i="35" a="1"/>
  <c r="BL30" i="35" a="1"/>
  <c r="BM30" i="35" a="1"/>
  <c r="BN30" i="35" a="1"/>
  <c r="BO30" i="35" a="1"/>
  <c r="BP30" i="35" a="1"/>
  <c r="G30" i="35"/>
  <c r="H30" i="35"/>
  <c r="I30" i="35"/>
  <c r="J30" i="35"/>
  <c r="K30" i="35"/>
  <c r="L30" i="35"/>
  <c r="M30" i="35"/>
  <c r="N30" i="35"/>
  <c r="O30" i="35"/>
  <c r="P30" i="35"/>
  <c r="Q30" i="35"/>
  <c r="R30" i="35"/>
  <c r="S30" i="35"/>
  <c r="T30" i="35"/>
  <c r="U30" i="35"/>
  <c r="V30" i="35"/>
  <c r="W30" i="35"/>
  <c r="X30" i="35"/>
  <c r="Y30" i="35"/>
  <c r="Z30" i="35"/>
  <c r="AA30" i="35"/>
  <c r="AB30" i="35"/>
  <c r="AC30" i="35"/>
  <c r="AD30" i="35"/>
  <c r="AE30" i="35"/>
  <c r="AF30" i="35"/>
  <c r="AG30" i="35"/>
  <c r="AH30" i="35"/>
  <c r="AI30" i="35"/>
  <c r="AJ30" i="35"/>
  <c r="AK30" i="35"/>
  <c r="AL30" i="35"/>
  <c r="AM30" i="35"/>
  <c r="AN30" i="35"/>
  <c r="AO30" i="35"/>
  <c r="AP30" i="35"/>
  <c r="AQ30" i="35"/>
  <c r="AR30" i="35"/>
  <c r="AS30" i="35"/>
  <c r="AT30" i="35"/>
  <c r="AU30" i="35"/>
  <c r="AV30" i="35"/>
  <c r="AW30" i="35"/>
  <c r="AX30" i="35"/>
  <c r="AY30" i="35"/>
  <c r="AZ30" i="35"/>
  <c r="BA30" i="35"/>
  <c r="BB30" i="35"/>
  <c r="BC30" i="35"/>
  <c r="BD30" i="35"/>
  <c r="BE30" i="35"/>
  <c r="BF30" i="35"/>
  <c r="BG30" i="35"/>
  <c r="BH30" i="35"/>
  <c r="BI30" i="35"/>
  <c r="BJ30" i="35"/>
  <c r="BK30" i="35"/>
  <c r="BL30" i="35"/>
  <c r="BM30" i="35"/>
  <c r="BN30" i="35"/>
  <c r="BO30" i="35"/>
  <c r="BP30" i="35"/>
  <c r="AA17" i="35"/>
  <c r="E41" i="35" a="1"/>
  <c r="E41" i="35"/>
  <c r="F41" i="35" a="1"/>
  <c r="F41" i="35"/>
  <c r="G41" i="35" a="1"/>
  <c r="H41" i="35" a="1"/>
  <c r="I41" i="35" a="1"/>
  <c r="J41" i="35" a="1"/>
  <c r="K41" i="35" a="1"/>
  <c r="L41" i="35" a="1"/>
  <c r="M41" i="35" a="1"/>
  <c r="N41" i="35" a="1"/>
  <c r="O41" i="35" a="1"/>
  <c r="P41" i="35" a="1"/>
  <c r="Q41" i="35" a="1"/>
  <c r="R41" i="35" a="1"/>
  <c r="S41" i="35" a="1"/>
  <c r="T41" i="35" a="1"/>
  <c r="U41" i="35" a="1"/>
  <c r="V41" i="35" a="1"/>
  <c r="W41" i="35" a="1"/>
  <c r="X41" i="35" a="1"/>
  <c r="Y41" i="35" a="1"/>
  <c r="Z41" i="35" a="1"/>
  <c r="AA41" i="35" a="1"/>
  <c r="AB41" i="35" a="1"/>
  <c r="AC41" i="35" a="1"/>
  <c r="AD41" i="35" a="1"/>
  <c r="AE41" i="35" a="1"/>
  <c r="AF41" i="35" a="1"/>
  <c r="AG41" i="35" a="1"/>
  <c r="AH41" i="35" a="1"/>
  <c r="AI41" i="35" a="1"/>
  <c r="AJ41" i="35" a="1"/>
  <c r="AK41" i="35" a="1"/>
  <c r="AL41" i="35" a="1"/>
  <c r="AM41" i="35" a="1"/>
  <c r="AN41" i="35" a="1"/>
  <c r="AO41" i="35" a="1"/>
  <c r="AP41" i="35" a="1"/>
  <c r="AQ41" i="35" a="1"/>
  <c r="AR41" i="35" a="1"/>
  <c r="AS41" i="35" a="1"/>
  <c r="AT41" i="35" a="1"/>
  <c r="AU41" i="35" a="1"/>
  <c r="AV41" i="35" a="1"/>
  <c r="AW41" i="35" a="1"/>
  <c r="AX41" i="35" a="1"/>
  <c r="AY41" i="35" a="1"/>
  <c r="AZ41" i="35" a="1"/>
  <c r="BA41" i="35" a="1"/>
  <c r="BB41" i="35" a="1"/>
  <c r="BC41" i="35" a="1"/>
  <c r="BD41" i="35" a="1"/>
  <c r="BE41" i="35" a="1"/>
  <c r="BF41" i="35" a="1"/>
  <c r="BG41" i="35" a="1"/>
  <c r="BH41" i="35" a="1"/>
  <c r="BI41" i="35" a="1"/>
  <c r="BJ41" i="35" a="1"/>
  <c r="BK41" i="35" a="1"/>
  <c r="BL41" i="35" a="1"/>
  <c r="BM41" i="35" a="1"/>
  <c r="BN41" i="35" a="1"/>
  <c r="BO41" i="35" a="1"/>
  <c r="BP41" i="35" a="1"/>
  <c r="G41" i="35"/>
  <c r="H41" i="35"/>
  <c r="I41" i="35"/>
  <c r="J41" i="35"/>
  <c r="K41" i="35"/>
  <c r="L41" i="35"/>
  <c r="M41" i="35"/>
  <c r="N41" i="35"/>
  <c r="O41" i="35"/>
  <c r="P41" i="35"/>
  <c r="Q41" i="35"/>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AB17" i="35"/>
  <c r="W17" i="35"/>
  <c r="M18" i="35"/>
  <c r="N18" i="35" a="1"/>
  <c r="N18" i="35"/>
  <c r="O18" i="35"/>
  <c r="E31" i="35" a="1"/>
  <c r="E31" i="35"/>
  <c r="F31" i="35" a="1"/>
  <c r="F31" i="35"/>
  <c r="G31" i="35" a="1"/>
  <c r="H31" i="35" a="1"/>
  <c r="I31" i="35" a="1"/>
  <c r="J31" i="35" a="1"/>
  <c r="K31" i="35" a="1"/>
  <c r="L31" i="35" a="1"/>
  <c r="P18" i="35"/>
  <c r="M31" i="35" a="1"/>
  <c r="N31" i="35" a="1"/>
  <c r="O31" i="35" a="1"/>
  <c r="P31" i="35" a="1"/>
  <c r="Q31" i="35" a="1"/>
  <c r="R31" i="35" a="1"/>
  <c r="S31" i="35" a="1"/>
  <c r="T31" i="35" a="1"/>
  <c r="Q18" i="35"/>
  <c r="U31" i="35" a="1"/>
  <c r="V31" i="35" a="1"/>
  <c r="W31" i="35" a="1"/>
  <c r="X31" i="35" a="1"/>
  <c r="Y31" i="35" a="1"/>
  <c r="Z31" i="35" a="1"/>
  <c r="AA31" i="35" a="1"/>
  <c r="AB31" i="35" a="1"/>
  <c r="R18" i="35"/>
  <c r="AC31" i="35" a="1"/>
  <c r="AD31" i="35" a="1"/>
  <c r="AE31" i="35" a="1"/>
  <c r="AF31" i="35" a="1"/>
  <c r="AG31" i="35" a="1"/>
  <c r="AH31" i="35" a="1"/>
  <c r="AI31" i="35" a="1"/>
  <c r="AJ31" i="35" a="1"/>
  <c r="S18" i="35"/>
  <c r="AK31" i="35" a="1"/>
  <c r="AL31" i="35" a="1"/>
  <c r="AM31" i="35" a="1"/>
  <c r="AN31" i="35" a="1"/>
  <c r="AO31" i="35" a="1"/>
  <c r="AP31" i="35" a="1"/>
  <c r="AQ31" i="35" a="1"/>
  <c r="AR31" i="35" a="1"/>
  <c r="T18" i="35"/>
  <c r="AS31" i="35" a="1"/>
  <c r="AT31" i="35" a="1"/>
  <c r="AU31" i="35" a="1"/>
  <c r="AV31" i="35" a="1"/>
  <c r="AW31" i="35" a="1"/>
  <c r="AX31" i="35" a="1"/>
  <c r="AY31" i="35" a="1"/>
  <c r="AZ31" i="35" a="1"/>
  <c r="U18" i="35"/>
  <c r="BA31" i="35" a="1"/>
  <c r="BB31" i="35" a="1"/>
  <c r="BC31" i="35" a="1"/>
  <c r="BD31" i="35" a="1"/>
  <c r="BE31" i="35" a="1"/>
  <c r="BF31" i="35" a="1"/>
  <c r="BG31" i="35" a="1"/>
  <c r="BH31" i="35" a="1"/>
  <c r="V18" i="35"/>
  <c r="BI31" i="35" a="1"/>
  <c r="BJ31" i="35" a="1"/>
  <c r="BK31" i="35" a="1"/>
  <c r="BL31" i="35" a="1"/>
  <c r="BM31" i="35" a="1"/>
  <c r="BN31" i="35" a="1"/>
  <c r="BO31" i="35" a="1"/>
  <c r="BP31" i="35" a="1"/>
  <c r="G31" i="35"/>
  <c r="H31" i="35"/>
  <c r="I31" i="35"/>
  <c r="J31" i="35"/>
  <c r="K31" i="35"/>
  <c r="L31" i="35"/>
  <c r="M31" i="35"/>
  <c r="N31" i="35"/>
  <c r="O31" i="35"/>
  <c r="P31" i="35"/>
  <c r="Q31" i="35"/>
  <c r="R31" i="35"/>
  <c r="S31" i="35"/>
  <c r="T31" i="35"/>
  <c r="U31" i="35"/>
  <c r="V31" i="35"/>
  <c r="W31" i="35"/>
  <c r="X31" i="35"/>
  <c r="Y31" i="35"/>
  <c r="Z31" i="35"/>
  <c r="AA31" i="35"/>
  <c r="AB31" i="35"/>
  <c r="AC31" i="35"/>
  <c r="AD31" i="35"/>
  <c r="AE31" i="35"/>
  <c r="AF31" i="35"/>
  <c r="AG31" i="35"/>
  <c r="AH31" i="35"/>
  <c r="AI31" i="35"/>
  <c r="AJ31" i="35"/>
  <c r="AK31" i="35"/>
  <c r="AL31" i="35"/>
  <c r="AM31" i="35"/>
  <c r="AN31" i="35"/>
  <c r="AO31" i="35"/>
  <c r="AP31" i="35"/>
  <c r="AQ31" i="35"/>
  <c r="AR31" i="35"/>
  <c r="AS31" i="35"/>
  <c r="AT31" i="35"/>
  <c r="AU31" i="35"/>
  <c r="AV31" i="35"/>
  <c r="AW31" i="35"/>
  <c r="AX31" i="35"/>
  <c r="AY31" i="35"/>
  <c r="AZ31" i="35"/>
  <c r="BA31" i="35"/>
  <c r="BB31" i="35"/>
  <c r="BC31" i="35"/>
  <c r="BD31" i="35"/>
  <c r="BE31" i="35"/>
  <c r="BF31" i="35"/>
  <c r="BG31" i="35"/>
  <c r="BH31" i="35"/>
  <c r="BI31" i="35"/>
  <c r="BJ31" i="35"/>
  <c r="BK31" i="35"/>
  <c r="BL31" i="35"/>
  <c r="BM31" i="35"/>
  <c r="BN31" i="35"/>
  <c r="BO31" i="35"/>
  <c r="BP31" i="35"/>
  <c r="AA18" i="35"/>
  <c r="E42" i="35" a="1"/>
  <c r="E42" i="35"/>
  <c r="F42" i="35" a="1"/>
  <c r="F42" i="35"/>
  <c r="G42" i="35" a="1"/>
  <c r="H42" i="35" a="1"/>
  <c r="I42" i="35" a="1"/>
  <c r="J42" i="35" a="1"/>
  <c r="K42" i="35" a="1"/>
  <c r="L42" i="35" a="1"/>
  <c r="M42" i="35" a="1"/>
  <c r="N42" i="35" a="1"/>
  <c r="O42" i="35" a="1"/>
  <c r="P42" i="35" a="1"/>
  <c r="Q42" i="35" a="1"/>
  <c r="R42" i="35" a="1"/>
  <c r="S42" i="35" a="1"/>
  <c r="T42" i="35" a="1"/>
  <c r="U42" i="35" a="1"/>
  <c r="V42" i="35" a="1"/>
  <c r="W42" i="35" a="1"/>
  <c r="X42" i="35" a="1"/>
  <c r="Y42" i="35" a="1"/>
  <c r="Z42" i="35" a="1"/>
  <c r="AA42" i="35" a="1"/>
  <c r="AB42" i="35" a="1"/>
  <c r="AC42" i="35" a="1"/>
  <c r="AD42" i="35" a="1"/>
  <c r="AE42" i="35" a="1"/>
  <c r="AF42" i="35" a="1"/>
  <c r="AG42" i="35" a="1"/>
  <c r="AH42" i="35" a="1"/>
  <c r="AI42" i="35" a="1"/>
  <c r="AJ42" i="35" a="1"/>
  <c r="AK42" i="35" a="1"/>
  <c r="AL42" i="35" a="1"/>
  <c r="AM42" i="35" a="1"/>
  <c r="AN42" i="35" a="1"/>
  <c r="AO42" i="35" a="1"/>
  <c r="AP42" i="35" a="1"/>
  <c r="AQ42" i="35" a="1"/>
  <c r="AR42" i="35" a="1"/>
  <c r="AS42" i="35" a="1"/>
  <c r="AT42" i="35" a="1"/>
  <c r="AU42" i="35" a="1"/>
  <c r="AV42" i="35" a="1"/>
  <c r="AW42" i="35" a="1"/>
  <c r="AX42" i="35" a="1"/>
  <c r="AY42" i="35" a="1"/>
  <c r="AZ42" i="35" a="1"/>
  <c r="BA42" i="35" a="1"/>
  <c r="BB42" i="35" a="1"/>
  <c r="BC42" i="35" a="1"/>
  <c r="BD42" i="35" a="1"/>
  <c r="BE42" i="35" a="1"/>
  <c r="BF42" i="35" a="1"/>
  <c r="BG42" i="35" a="1"/>
  <c r="BH42" i="35" a="1"/>
  <c r="BI42" i="35" a="1"/>
  <c r="BJ42" i="35" a="1"/>
  <c r="BK42" i="35" a="1"/>
  <c r="BL42" i="35" a="1"/>
  <c r="BM42" i="35" a="1"/>
  <c r="BN42" i="35" a="1"/>
  <c r="BO42" i="35" a="1"/>
  <c r="BP42" i="35" a="1"/>
  <c r="G42"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AB18" i="35"/>
  <c r="W18" i="35"/>
  <c r="M19" i="35"/>
  <c r="N19" i="35" a="1"/>
  <c r="N19" i="35"/>
  <c r="O19" i="35"/>
  <c r="E32" i="35" a="1"/>
  <c r="E32" i="35"/>
  <c r="F32" i="35" a="1"/>
  <c r="F32" i="35"/>
  <c r="G32" i="35" a="1"/>
  <c r="H32" i="35" a="1"/>
  <c r="I32" i="35" a="1"/>
  <c r="J32" i="35" a="1"/>
  <c r="K32" i="35" a="1"/>
  <c r="L32" i="35" a="1"/>
  <c r="P19" i="35"/>
  <c r="M32" i="35" a="1"/>
  <c r="N32" i="35" a="1"/>
  <c r="O32" i="35" a="1"/>
  <c r="P32" i="35" a="1"/>
  <c r="Q32" i="35" a="1"/>
  <c r="R32" i="35" a="1"/>
  <c r="S32" i="35" a="1"/>
  <c r="T32" i="35" a="1"/>
  <c r="Q19" i="35"/>
  <c r="U32" i="35" a="1"/>
  <c r="V32" i="35" a="1"/>
  <c r="W32" i="35" a="1"/>
  <c r="X32" i="35" a="1"/>
  <c r="Y32" i="35" a="1"/>
  <c r="Z32" i="35" a="1"/>
  <c r="AA32" i="35" a="1"/>
  <c r="AB32" i="35" a="1"/>
  <c r="R19" i="35"/>
  <c r="AC32" i="35" a="1"/>
  <c r="AD32" i="35" a="1"/>
  <c r="AE32" i="35" a="1"/>
  <c r="AF32" i="35" a="1"/>
  <c r="AG32" i="35" a="1"/>
  <c r="AH32" i="35" a="1"/>
  <c r="AI32" i="35" a="1"/>
  <c r="AJ32" i="35" a="1"/>
  <c r="S19" i="35"/>
  <c r="AK32" i="35" a="1"/>
  <c r="AL32" i="35" a="1"/>
  <c r="AM32" i="35" a="1"/>
  <c r="AN32" i="35" a="1"/>
  <c r="AO32" i="35" a="1"/>
  <c r="AP32" i="35" a="1"/>
  <c r="AQ32" i="35" a="1"/>
  <c r="AR32" i="35" a="1"/>
  <c r="T19" i="35"/>
  <c r="AS32" i="35" a="1"/>
  <c r="AT32" i="35" a="1"/>
  <c r="AU32" i="35" a="1"/>
  <c r="AV32" i="35" a="1"/>
  <c r="AW32" i="35" a="1"/>
  <c r="AX32" i="35" a="1"/>
  <c r="AY32" i="35" a="1"/>
  <c r="AZ32" i="35" a="1"/>
  <c r="U19" i="35"/>
  <c r="BA32" i="35" a="1"/>
  <c r="BB32" i="35" a="1"/>
  <c r="BC32" i="35" a="1"/>
  <c r="BD32" i="35" a="1"/>
  <c r="BE32" i="35" a="1"/>
  <c r="BF32" i="35" a="1"/>
  <c r="BG32" i="35" a="1"/>
  <c r="BH32" i="35" a="1"/>
  <c r="V19" i="35"/>
  <c r="BI32" i="35" a="1"/>
  <c r="BJ32" i="35" a="1"/>
  <c r="BK32" i="35" a="1"/>
  <c r="BL32" i="35" a="1"/>
  <c r="BM32" i="35" a="1"/>
  <c r="BN32" i="35" a="1"/>
  <c r="BO32" i="35" a="1"/>
  <c r="BP32" i="35" a="1"/>
  <c r="G32" i="35"/>
  <c r="H32" i="35"/>
  <c r="I32" i="35"/>
  <c r="J32" i="35"/>
  <c r="K32" i="35"/>
  <c r="L32" i="35"/>
  <c r="M32" i="35"/>
  <c r="N32" i="35"/>
  <c r="O32" i="35"/>
  <c r="P32" i="35"/>
  <c r="Q32" i="35"/>
  <c r="R32" i="35"/>
  <c r="S32" i="35"/>
  <c r="T32" i="35"/>
  <c r="U32" i="35"/>
  <c r="V32" i="35"/>
  <c r="W32" i="35"/>
  <c r="X32" i="35"/>
  <c r="Y32" i="35"/>
  <c r="Z32" i="35"/>
  <c r="AA32" i="35"/>
  <c r="AB32" i="35"/>
  <c r="AC32" i="35"/>
  <c r="AD32" i="35"/>
  <c r="AE32" i="35"/>
  <c r="AF32" i="35"/>
  <c r="AG32" i="35"/>
  <c r="AH32" i="35"/>
  <c r="AI32" i="35"/>
  <c r="AJ32" i="35"/>
  <c r="AK32" i="35"/>
  <c r="AL32" i="35"/>
  <c r="AM32" i="35"/>
  <c r="AN32" i="35"/>
  <c r="AO32" i="35"/>
  <c r="AP32" i="35"/>
  <c r="AQ32" i="35"/>
  <c r="AR32" i="35"/>
  <c r="AS32" i="35"/>
  <c r="AT32" i="35"/>
  <c r="AU32" i="35"/>
  <c r="AV32" i="35"/>
  <c r="AW32" i="35"/>
  <c r="AX32" i="35"/>
  <c r="AY32" i="35"/>
  <c r="AZ32" i="35"/>
  <c r="BA32" i="35"/>
  <c r="BB32" i="35"/>
  <c r="BC32" i="35"/>
  <c r="BD32" i="35"/>
  <c r="BE32" i="35"/>
  <c r="BF32" i="35"/>
  <c r="BG32" i="35"/>
  <c r="BH32" i="35"/>
  <c r="BI32" i="35"/>
  <c r="BJ32" i="35"/>
  <c r="BK32" i="35"/>
  <c r="BL32" i="35"/>
  <c r="BM32" i="35"/>
  <c r="BN32" i="35"/>
  <c r="BO32" i="35"/>
  <c r="BP32" i="35"/>
  <c r="AA19" i="35"/>
  <c r="E43" i="35" a="1"/>
  <c r="E43" i="35"/>
  <c r="F43" i="35" a="1"/>
  <c r="F43" i="35"/>
  <c r="G43" i="35" a="1"/>
  <c r="H43" i="35" a="1"/>
  <c r="I43" i="35" a="1"/>
  <c r="J43" i="35" a="1"/>
  <c r="K43" i="35" a="1"/>
  <c r="L43" i="35" a="1"/>
  <c r="M43" i="35" a="1"/>
  <c r="N43" i="35" a="1"/>
  <c r="O43" i="35" a="1"/>
  <c r="P43" i="35" a="1"/>
  <c r="Q43" i="35" a="1"/>
  <c r="R43" i="35" a="1"/>
  <c r="S43" i="35" a="1"/>
  <c r="T43" i="35" a="1"/>
  <c r="U43" i="35" a="1"/>
  <c r="V43" i="35" a="1"/>
  <c r="W43" i="35" a="1"/>
  <c r="X43" i="35" a="1"/>
  <c r="Y43" i="35" a="1"/>
  <c r="Z43" i="35" a="1"/>
  <c r="AA43" i="35" a="1"/>
  <c r="AB43" i="35" a="1"/>
  <c r="AC43" i="35" a="1"/>
  <c r="AD43" i="35" a="1"/>
  <c r="AE43" i="35" a="1"/>
  <c r="AF43" i="35" a="1"/>
  <c r="AG43" i="35" a="1"/>
  <c r="AH43" i="35" a="1"/>
  <c r="AI43" i="35" a="1"/>
  <c r="AJ43" i="35" a="1"/>
  <c r="AK43" i="35" a="1"/>
  <c r="AL43" i="35" a="1"/>
  <c r="AM43" i="35" a="1"/>
  <c r="AN43" i="35" a="1"/>
  <c r="AO43" i="35" a="1"/>
  <c r="AP43" i="35" a="1"/>
  <c r="AQ43" i="35" a="1"/>
  <c r="AR43" i="35" a="1"/>
  <c r="AS43" i="35" a="1"/>
  <c r="AT43" i="35" a="1"/>
  <c r="AU43" i="35" a="1"/>
  <c r="AV43" i="35" a="1"/>
  <c r="AW43" i="35" a="1"/>
  <c r="AX43" i="35" a="1"/>
  <c r="AY43" i="35" a="1"/>
  <c r="AZ43" i="35" a="1"/>
  <c r="BA43" i="35" a="1"/>
  <c r="BB43" i="35" a="1"/>
  <c r="BC43" i="35" a="1"/>
  <c r="BD43" i="35" a="1"/>
  <c r="BE43" i="35" a="1"/>
  <c r="BF43" i="35" a="1"/>
  <c r="BG43" i="35" a="1"/>
  <c r="BH43" i="35" a="1"/>
  <c r="BI43" i="35" a="1"/>
  <c r="BJ43" i="35" a="1"/>
  <c r="BK43" i="35" a="1"/>
  <c r="BL43" i="35" a="1"/>
  <c r="BM43" i="35" a="1"/>
  <c r="BN43" i="35" a="1"/>
  <c r="BO43" i="35" a="1"/>
  <c r="BP43" i="35" a="1"/>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AB19" i="35"/>
  <c r="W19" i="35"/>
  <c r="M20" i="35"/>
  <c r="N20" i="35" a="1"/>
  <c r="N20" i="35"/>
  <c r="O20" i="35"/>
  <c r="E33" i="35" a="1"/>
  <c r="E33" i="35"/>
  <c r="F33" i="35" a="1"/>
  <c r="F33" i="35"/>
  <c r="G33" i="35" a="1"/>
  <c r="H33" i="35" a="1"/>
  <c r="I33" i="35" a="1"/>
  <c r="J33" i="35" a="1"/>
  <c r="K33" i="35" a="1"/>
  <c r="L33" i="35" a="1"/>
  <c r="P20" i="35"/>
  <c r="M33" i="35" a="1"/>
  <c r="N33" i="35" a="1"/>
  <c r="O33" i="35" a="1"/>
  <c r="P33" i="35" a="1"/>
  <c r="Q33" i="35" a="1"/>
  <c r="R33" i="35" a="1"/>
  <c r="S33" i="35" a="1"/>
  <c r="T33" i="35" a="1"/>
  <c r="Q20" i="35"/>
  <c r="U33" i="35" a="1"/>
  <c r="V33" i="35" a="1"/>
  <c r="W33" i="35" a="1"/>
  <c r="X33" i="35" a="1"/>
  <c r="Y33" i="35" a="1"/>
  <c r="Z33" i="35" a="1"/>
  <c r="AA33" i="35" a="1"/>
  <c r="AB33" i="35" a="1"/>
  <c r="R20" i="35"/>
  <c r="AC33" i="35" a="1"/>
  <c r="AD33" i="35" a="1"/>
  <c r="AE33" i="35" a="1"/>
  <c r="AF33" i="35" a="1"/>
  <c r="AG33" i="35" a="1"/>
  <c r="AH33" i="35" a="1"/>
  <c r="AI33" i="35" a="1"/>
  <c r="AJ33" i="35" a="1"/>
  <c r="S20" i="35"/>
  <c r="AK33" i="35" a="1"/>
  <c r="AL33" i="35" a="1"/>
  <c r="AM33" i="35" a="1"/>
  <c r="AN33" i="35" a="1"/>
  <c r="AO33" i="35" a="1"/>
  <c r="AP33" i="35" a="1"/>
  <c r="AQ33" i="35" a="1"/>
  <c r="AR33" i="35" a="1"/>
  <c r="T20" i="35"/>
  <c r="AS33" i="35" a="1"/>
  <c r="AT33" i="35" a="1"/>
  <c r="AU33" i="35" a="1"/>
  <c r="AV33" i="35" a="1"/>
  <c r="AW33" i="35" a="1"/>
  <c r="AX33" i="35" a="1"/>
  <c r="AY33" i="35" a="1"/>
  <c r="AZ33" i="35" a="1"/>
  <c r="U20" i="35"/>
  <c r="BA33" i="35" a="1"/>
  <c r="BB33" i="35" a="1"/>
  <c r="BC33" i="35" a="1"/>
  <c r="BD33" i="35" a="1"/>
  <c r="BE33" i="35" a="1"/>
  <c r="BF33" i="35" a="1"/>
  <c r="BG33" i="35" a="1"/>
  <c r="BH33" i="35" a="1"/>
  <c r="V20" i="35"/>
  <c r="BI33" i="35" a="1"/>
  <c r="BJ33" i="35" a="1"/>
  <c r="BK33" i="35" a="1"/>
  <c r="BL33" i="35" a="1"/>
  <c r="BM33" i="35" a="1"/>
  <c r="BN33" i="35" a="1"/>
  <c r="BO33" i="35" a="1"/>
  <c r="BP33" i="35" a="1"/>
  <c r="G33" i="35"/>
  <c r="H33" i="35"/>
  <c r="I33" i="35"/>
  <c r="J33" i="35"/>
  <c r="K33" i="35"/>
  <c r="L33" i="35"/>
  <c r="M33" i="35"/>
  <c r="N33" i="35"/>
  <c r="O33" i="35"/>
  <c r="P33" i="35"/>
  <c r="Q33" i="35"/>
  <c r="R33" i="35"/>
  <c r="S33" i="35"/>
  <c r="T33" i="35"/>
  <c r="U33" i="35"/>
  <c r="V33" i="35"/>
  <c r="W33" i="35"/>
  <c r="X33" i="35"/>
  <c r="Y33" i="35"/>
  <c r="Z33" i="35"/>
  <c r="AA33" i="35"/>
  <c r="AB33" i="35"/>
  <c r="AC33" i="35"/>
  <c r="AD33" i="35"/>
  <c r="AE33" i="35"/>
  <c r="AF33" i="35"/>
  <c r="AG33" i="35"/>
  <c r="AH33" i="35"/>
  <c r="AI33" i="35"/>
  <c r="AJ33" i="35"/>
  <c r="AK33" i="35"/>
  <c r="AL33" i="35"/>
  <c r="AM33" i="35"/>
  <c r="AN33" i="35"/>
  <c r="AO33" i="35"/>
  <c r="AP33" i="35"/>
  <c r="AQ33" i="35"/>
  <c r="AR33" i="35"/>
  <c r="AS33" i="35"/>
  <c r="AT33" i="35"/>
  <c r="AU33" i="35"/>
  <c r="AV33" i="35"/>
  <c r="AW33" i="35"/>
  <c r="AX33" i="35"/>
  <c r="AY33" i="35"/>
  <c r="AZ33" i="35"/>
  <c r="BA33" i="35"/>
  <c r="BB33" i="35"/>
  <c r="BC33" i="35"/>
  <c r="BD33" i="35"/>
  <c r="BE33" i="35"/>
  <c r="BF33" i="35"/>
  <c r="BG33" i="35"/>
  <c r="BH33" i="35"/>
  <c r="BI33" i="35"/>
  <c r="BJ33" i="35"/>
  <c r="BK33" i="35"/>
  <c r="BL33" i="35"/>
  <c r="BM33" i="35"/>
  <c r="BN33" i="35"/>
  <c r="BO33" i="35"/>
  <c r="BP33" i="35"/>
  <c r="AA20" i="35"/>
  <c r="E44" i="35" a="1"/>
  <c r="E44" i="35"/>
  <c r="F44" i="35" a="1"/>
  <c r="F44" i="35"/>
  <c r="G44" i="35" a="1"/>
  <c r="H44" i="35" a="1"/>
  <c r="I44" i="35" a="1"/>
  <c r="J44" i="35" a="1"/>
  <c r="K44" i="35" a="1"/>
  <c r="L44" i="35" a="1"/>
  <c r="M44" i="35" a="1"/>
  <c r="N44" i="35" a="1"/>
  <c r="O44" i="35" a="1"/>
  <c r="P44" i="35" a="1"/>
  <c r="Q44" i="35" a="1"/>
  <c r="R44" i="35" a="1"/>
  <c r="S44" i="35" a="1"/>
  <c r="T44" i="35" a="1"/>
  <c r="U44" i="35" a="1"/>
  <c r="V44" i="35" a="1"/>
  <c r="W44" i="35" a="1"/>
  <c r="X44" i="35" a="1"/>
  <c r="Y44" i="35" a="1"/>
  <c r="Z44" i="35" a="1"/>
  <c r="AA44" i="35" a="1"/>
  <c r="AB44" i="35" a="1"/>
  <c r="AC44" i="35" a="1"/>
  <c r="AD44" i="35" a="1"/>
  <c r="AE44" i="35" a="1"/>
  <c r="AF44" i="35" a="1"/>
  <c r="AG44" i="35" a="1"/>
  <c r="AH44" i="35" a="1"/>
  <c r="AI44" i="35" a="1"/>
  <c r="AJ44" i="35" a="1"/>
  <c r="AK44" i="35" a="1"/>
  <c r="AL44" i="35" a="1"/>
  <c r="AM44" i="35" a="1"/>
  <c r="AN44" i="35" a="1"/>
  <c r="AO44" i="35" a="1"/>
  <c r="AP44" i="35" a="1"/>
  <c r="AQ44" i="35" a="1"/>
  <c r="AR44" i="35" a="1"/>
  <c r="AS44" i="35" a="1"/>
  <c r="AT44" i="35" a="1"/>
  <c r="AU44" i="35" a="1"/>
  <c r="AV44" i="35" a="1"/>
  <c r="AW44" i="35" a="1"/>
  <c r="AX44" i="35" a="1"/>
  <c r="AY44" i="35" a="1"/>
  <c r="AZ44" i="35" a="1"/>
  <c r="BA44" i="35" a="1"/>
  <c r="BB44" i="35" a="1"/>
  <c r="BC44" i="35" a="1"/>
  <c r="BD44" i="35" a="1"/>
  <c r="BE44" i="35" a="1"/>
  <c r="BF44" i="35" a="1"/>
  <c r="BG44" i="35" a="1"/>
  <c r="BH44" i="35" a="1"/>
  <c r="BI44" i="35" a="1"/>
  <c r="BJ44" i="35" a="1"/>
  <c r="BK44" i="35" a="1"/>
  <c r="BL44" i="35" a="1"/>
  <c r="BM44" i="35" a="1"/>
  <c r="BN44" i="35" a="1"/>
  <c r="BO44" i="35" a="1"/>
  <c r="BP44" i="35" a="1"/>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AB20" i="35"/>
  <c r="W20" i="35"/>
  <c r="M21" i="35"/>
  <c r="N21" i="35" a="1"/>
  <c r="N21" i="35"/>
  <c r="O21" i="35"/>
  <c r="E34" i="35" a="1"/>
  <c r="E34" i="35"/>
  <c r="F34" i="35" a="1"/>
  <c r="F34" i="35"/>
  <c r="G34" i="35" a="1"/>
  <c r="H34" i="35" a="1"/>
  <c r="I34" i="35" a="1"/>
  <c r="J34" i="35" a="1"/>
  <c r="K34" i="35" a="1"/>
  <c r="L34" i="35" a="1"/>
  <c r="P21" i="35"/>
  <c r="M34" i="35" a="1"/>
  <c r="N34" i="35" a="1"/>
  <c r="O34" i="35" a="1"/>
  <c r="P34" i="35" a="1"/>
  <c r="Q34" i="35" a="1"/>
  <c r="R34" i="35" a="1"/>
  <c r="S34" i="35" a="1"/>
  <c r="T34" i="35" a="1"/>
  <c r="Q21" i="35"/>
  <c r="U34" i="35" a="1"/>
  <c r="V34" i="35" a="1"/>
  <c r="W34" i="35" a="1"/>
  <c r="X34" i="35" a="1"/>
  <c r="Y34" i="35" a="1"/>
  <c r="Z34" i="35" a="1"/>
  <c r="AA34" i="35" a="1"/>
  <c r="AB34" i="35" a="1"/>
  <c r="R21" i="35"/>
  <c r="AC34" i="35" a="1"/>
  <c r="AD34" i="35" a="1"/>
  <c r="AE34" i="35" a="1"/>
  <c r="AF34" i="35" a="1"/>
  <c r="AG34" i="35" a="1"/>
  <c r="AH34" i="35" a="1"/>
  <c r="AI34" i="35" a="1"/>
  <c r="AJ34" i="35" a="1"/>
  <c r="S21" i="35"/>
  <c r="AK34" i="35" a="1"/>
  <c r="AL34" i="35" a="1"/>
  <c r="AM34" i="35" a="1"/>
  <c r="AN34" i="35" a="1"/>
  <c r="AO34" i="35" a="1"/>
  <c r="AP34" i="35" a="1"/>
  <c r="AQ34" i="35" a="1"/>
  <c r="AR34" i="35" a="1"/>
  <c r="T21" i="35"/>
  <c r="AS34" i="35" a="1"/>
  <c r="AT34" i="35" a="1"/>
  <c r="AU34" i="35" a="1"/>
  <c r="AV34" i="35" a="1"/>
  <c r="AW34" i="35" a="1"/>
  <c r="AX34" i="35" a="1"/>
  <c r="AY34" i="35" a="1"/>
  <c r="AZ34" i="35" a="1"/>
  <c r="U21" i="35"/>
  <c r="BA34" i="35" a="1"/>
  <c r="BB34" i="35" a="1"/>
  <c r="BC34" i="35" a="1"/>
  <c r="BD34" i="35" a="1"/>
  <c r="BE34" i="35" a="1"/>
  <c r="BF34" i="35" a="1"/>
  <c r="BG34" i="35" a="1"/>
  <c r="BH34" i="35" a="1"/>
  <c r="V21" i="35"/>
  <c r="BI34" i="35" a="1"/>
  <c r="BJ34" i="35" a="1"/>
  <c r="BK34" i="35" a="1"/>
  <c r="BL34" i="35" a="1"/>
  <c r="BM34" i="35" a="1"/>
  <c r="BN34" i="35" a="1"/>
  <c r="BO34" i="35" a="1"/>
  <c r="BP34" i="35" a="1"/>
  <c r="G34" i="35"/>
  <c r="H34" i="35"/>
  <c r="I34" i="35"/>
  <c r="J34" i="35"/>
  <c r="K34" i="35"/>
  <c r="L34" i="35"/>
  <c r="M34" i="35"/>
  <c r="N34" i="35"/>
  <c r="O34" i="35"/>
  <c r="P34" i="35"/>
  <c r="Q34" i="35"/>
  <c r="R34" i="35"/>
  <c r="S34" i="35"/>
  <c r="T34" i="35"/>
  <c r="U34" i="35"/>
  <c r="V34" i="35"/>
  <c r="W34" i="35"/>
  <c r="X34" i="35"/>
  <c r="Y34" i="35"/>
  <c r="Z34" i="35"/>
  <c r="AA34" i="35"/>
  <c r="AB34" i="35"/>
  <c r="AC34" i="35"/>
  <c r="AD34" i="35"/>
  <c r="AE34" i="35"/>
  <c r="AF34" i="35"/>
  <c r="AG34" i="35"/>
  <c r="AH34" i="35"/>
  <c r="AI34" i="35"/>
  <c r="AJ34" i="35"/>
  <c r="AK34" i="35"/>
  <c r="AL34" i="35"/>
  <c r="AM34" i="35"/>
  <c r="AN34" i="35"/>
  <c r="AO34" i="35"/>
  <c r="AP34" i="35"/>
  <c r="AQ34" i="35"/>
  <c r="AR34" i="35"/>
  <c r="AS34" i="35"/>
  <c r="AT34" i="35"/>
  <c r="AU34" i="35"/>
  <c r="AV34" i="35"/>
  <c r="AW34" i="35"/>
  <c r="AX34" i="35"/>
  <c r="AY34" i="35"/>
  <c r="AZ34" i="35"/>
  <c r="BA34" i="35"/>
  <c r="BB34" i="35"/>
  <c r="BC34" i="35"/>
  <c r="BD34" i="35"/>
  <c r="BE34" i="35"/>
  <c r="BF34" i="35"/>
  <c r="BG34" i="35"/>
  <c r="BH34" i="35"/>
  <c r="BI34" i="35"/>
  <c r="BJ34" i="35"/>
  <c r="BK34" i="35"/>
  <c r="BL34" i="35"/>
  <c r="BM34" i="35"/>
  <c r="BN34" i="35"/>
  <c r="BO34" i="35"/>
  <c r="BP34" i="35"/>
  <c r="AA21" i="35"/>
  <c r="E45" i="35" a="1"/>
  <c r="E45" i="35"/>
  <c r="F45" i="35" a="1"/>
  <c r="F45" i="35"/>
  <c r="G45" i="35" a="1"/>
  <c r="H45" i="35" a="1"/>
  <c r="I45" i="35" a="1"/>
  <c r="J45" i="35" a="1"/>
  <c r="K45" i="35" a="1"/>
  <c r="L45" i="35" a="1"/>
  <c r="M45" i="35" a="1"/>
  <c r="N45" i="35" a="1"/>
  <c r="O45" i="35" a="1"/>
  <c r="P45" i="35" a="1"/>
  <c r="Q45" i="35" a="1"/>
  <c r="R45" i="35" a="1"/>
  <c r="S45" i="35" a="1"/>
  <c r="T45" i="35" a="1"/>
  <c r="U45" i="35" a="1"/>
  <c r="V45" i="35" a="1"/>
  <c r="W45" i="35" a="1"/>
  <c r="X45" i="35" a="1"/>
  <c r="Y45" i="35" a="1"/>
  <c r="Z45" i="35" a="1"/>
  <c r="AA45" i="35" a="1"/>
  <c r="AB45" i="35" a="1"/>
  <c r="AC45" i="35" a="1"/>
  <c r="AD45" i="35" a="1"/>
  <c r="AE45" i="35" a="1"/>
  <c r="AF45" i="35" a="1"/>
  <c r="AG45" i="35" a="1"/>
  <c r="AH45" i="35" a="1"/>
  <c r="AI45" i="35" a="1"/>
  <c r="AJ45" i="35" a="1"/>
  <c r="AK45" i="35" a="1"/>
  <c r="AL45" i="35" a="1"/>
  <c r="AM45" i="35" a="1"/>
  <c r="AN45" i="35" a="1"/>
  <c r="AO45" i="35" a="1"/>
  <c r="AP45" i="35" a="1"/>
  <c r="AQ45" i="35" a="1"/>
  <c r="AR45" i="35" a="1"/>
  <c r="AS45" i="35" a="1"/>
  <c r="AT45" i="35" a="1"/>
  <c r="AU45" i="35" a="1"/>
  <c r="AV45" i="35" a="1"/>
  <c r="AW45" i="35" a="1"/>
  <c r="AX45" i="35" a="1"/>
  <c r="AY45" i="35" a="1"/>
  <c r="AZ45" i="35" a="1"/>
  <c r="BA45" i="35" a="1"/>
  <c r="BB45" i="35" a="1"/>
  <c r="BC45" i="35" a="1"/>
  <c r="BD45" i="35" a="1"/>
  <c r="BE45" i="35" a="1"/>
  <c r="BF45" i="35" a="1"/>
  <c r="BG45" i="35" a="1"/>
  <c r="BH45" i="35" a="1"/>
  <c r="BI45" i="35" a="1"/>
  <c r="BJ45" i="35" a="1"/>
  <c r="BK45" i="35" a="1"/>
  <c r="BL45" i="35" a="1"/>
  <c r="BM45" i="35" a="1"/>
  <c r="BN45" i="35" a="1"/>
  <c r="BO45" i="35" a="1"/>
  <c r="BP45" i="35" a="1"/>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AB21" i="35"/>
  <c r="W21" i="35"/>
  <c r="M22" i="35"/>
  <c r="N22" i="35" a="1"/>
  <c r="N22" i="35"/>
  <c r="O22" i="35"/>
  <c r="BT52" i="35"/>
  <c r="BU52" i="35"/>
  <c r="BV52" i="35"/>
  <c r="BW52" i="35"/>
  <c r="BX52" i="35"/>
  <c r="BY52" i="35"/>
  <c r="BZ52" i="35"/>
  <c r="CA52" i="35"/>
  <c r="BS53" i="35"/>
  <c r="BU53" i="35"/>
  <c r="BV53" i="35"/>
  <c r="BW53" i="35"/>
  <c r="BX53" i="35"/>
  <c r="BY53" i="35"/>
  <c r="BZ53" i="35"/>
  <c r="CA53" i="35"/>
  <c r="BS54" i="35"/>
  <c r="BT54" i="35"/>
  <c r="BV54" i="35"/>
  <c r="BW54" i="35"/>
  <c r="BX54" i="35"/>
  <c r="BY54" i="35"/>
  <c r="BZ54" i="35"/>
  <c r="CA54" i="35"/>
  <c r="BS55" i="35"/>
  <c r="BT55" i="35"/>
  <c r="BU55" i="35"/>
  <c r="BW55" i="35"/>
  <c r="BX55" i="35"/>
  <c r="BY55" i="35"/>
  <c r="BZ55" i="35"/>
  <c r="CA55" i="35"/>
  <c r="BS56" i="35"/>
  <c r="BT56" i="35"/>
  <c r="BU56" i="35"/>
  <c r="BV56" i="35"/>
  <c r="BX56" i="35"/>
  <c r="BY56" i="35"/>
  <c r="BZ56" i="35"/>
  <c r="CA56" i="35"/>
  <c r="BS57" i="35"/>
  <c r="BT57" i="35"/>
  <c r="BU57" i="35"/>
  <c r="BV57" i="35"/>
  <c r="BW57" i="35"/>
  <c r="BY57" i="35"/>
  <c r="BZ57" i="35"/>
  <c r="CA57" i="35"/>
  <c r="BS58" i="35"/>
  <c r="BT58" i="35"/>
  <c r="BU58" i="35"/>
  <c r="BV58" i="35"/>
  <c r="BW58" i="35"/>
  <c r="BX58" i="35"/>
  <c r="BZ58" i="35"/>
  <c r="CA58" i="35"/>
  <c r="BS59" i="35"/>
  <c r="BT59" i="35"/>
  <c r="BU59" i="35"/>
  <c r="BV59" i="35"/>
  <c r="BW59" i="35"/>
  <c r="BX59" i="35"/>
  <c r="BY59" i="35"/>
  <c r="CA59" i="35"/>
  <c r="BS60" i="35"/>
  <c r="BT60" i="35"/>
  <c r="BU60" i="35"/>
  <c r="BV60" i="35"/>
  <c r="BW60" i="35"/>
  <c r="BX60" i="35"/>
  <c r="BY60" i="35"/>
  <c r="BZ60" i="35"/>
  <c r="E35" i="35" a="1"/>
  <c r="E35" i="35"/>
  <c r="F35" i="35" a="1"/>
  <c r="F35" i="35"/>
  <c r="G35" i="35" a="1"/>
  <c r="H35" i="35" a="1"/>
  <c r="I35" i="35" a="1"/>
  <c r="M23" i="35"/>
  <c r="N23" i="35" a="1"/>
  <c r="N23" i="35"/>
  <c r="O23" i="35"/>
  <c r="J35" i="35" a="1"/>
  <c r="M24" i="35"/>
  <c r="N24" i="35" a="1"/>
  <c r="N24" i="35"/>
  <c r="O24" i="35"/>
  <c r="K35" i="35" a="1"/>
  <c r="M25" i="35"/>
  <c r="N25" i="35" a="1"/>
  <c r="N25" i="35"/>
  <c r="O25" i="35"/>
  <c r="L35" i="35" a="1"/>
  <c r="P22" i="35"/>
  <c r="M35" i="35" a="1"/>
  <c r="N35" i="35" a="1"/>
  <c r="O35" i="35" a="1"/>
  <c r="P35" i="35" a="1"/>
  <c r="Q35" i="35" a="1"/>
  <c r="P23" i="35"/>
  <c r="R35" i="35" a="1"/>
  <c r="P24" i="35"/>
  <c r="S35" i="35" a="1"/>
  <c r="P25" i="35"/>
  <c r="T35" i="35" a="1"/>
  <c r="Q22" i="35"/>
  <c r="U35" i="35" a="1"/>
  <c r="V35" i="35" a="1"/>
  <c r="W35" i="35" a="1"/>
  <c r="X35" i="35" a="1"/>
  <c r="Y35" i="35" a="1"/>
  <c r="Q23" i="35"/>
  <c r="Z35" i="35" a="1"/>
  <c r="Q24" i="35"/>
  <c r="AA35" i="35" a="1"/>
  <c r="Q25" i="35"/>
  <c r="AB35" i="35" a="1"/>
  <c r="R22" i="35"/>
  <c r="AC35" i="35" a="1"/>
  <c r="AD35" i="35" a="1"/>
  <c r="AE35" i="35" a="1"/>
  <c r="AF35" i="35" a="1"/>
  <c r="AG35" i="35" a="1"/>
  <c r="R23" i="35"/>
  <c r="AH35" i="35" a="1"/>
  <c r="R24" i="35"/>
  <c r="AI35" i="35" a="1"/>
  <c r="R25" i="35"/>
  <c r="AJ35" i="35" a="1"/>
  <c r="S22" i="35"/>
  <c r="AK35" i="35" a="1"/>
  <c r="AL35" i="35" a="1"/>
  <c r="AM35" i="35" a="1"/>
  <c r="AN35" i="35" a="1"/>
  <c r="AO35" i="35" a="1"/>
  <c r="S23" i="35"/>
  <c r="AP35" i="35" a="1"/>
  <c r="S24" i="35"/>
  <c r="AQ35" i="35" a="1"/>
  <c r="S25" i="35"/>
  <c r="AR35" i="35" a="1"/>
  <c r="T22" i="35"/>
  <c r="AS35" i="35" a="1"/>
  <c r="AT35" i="35" a="1"/>
  <c r="AU35" i="35" a="1"/>
  <c r="AV35" i="35" a="1"/>
  <c r="AW35" i="35" a="1"/>
  <c r="T23" i="35"/>
  <c r="AX35" i="35" a="1"/>
  <c r="T24" i="35"/>
  <c r="AY35" i="35" a="1"/>
  <c r="T25" i="35"/>
  <c r="AZ35" i="35" a="1"/>
  <c r="U22" i="35"/>
  <c r="BA35" i="35" a="1"/>
  <c r="BB35" i="35" a="1"/>
  <c r="BC35" i="35" a="1"/>
  <c r="BD35" i="35" a="1"/>
  <c r="BE35" i="35" a="1"/>
  <c r="U23" i="35"/>
  <c r="BF35" i="35" a="1"/>
  <c r="U24" i="35"/>
  <c r="BG35" i="35" a="1"/>
  <c r="U25" i="35"/>
  <c r="BH35" i="35" a="1"/>
  <c r="V22" i="35"/>
  <c r="BI35" i="35" a="1"/>
  <c r="BJ35" i="35" a="1"/>
  <c r="BK35" i="35" a="1"/>
  <c r="BL35" i="35" a="1"/>
  <c r="BM35" i="35" a="1"/>
  <c r="V23" i="35"/>
  <c r="BN35" i="35" a="1"/>
  <c r="V24" i="35"/>
  <c r="BO35" i="35" a="1"/>
  <c r="V25" i="35"/>
  <c r="BP35" i="35" a="1"/>
  <c r="G35" i="35"/>
  <c r="H35" i="35"/>
  <c r="I35" i="35"/>
  <c r="J35" i="35"/>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AL35" i="35"/>
  <c r="AM35" i="35"/>
  <c r="AN35" i="35"/>
  <c r="AO35" i="35"/>
  <c r="AP35" i="35"/>
  <c r="AQ35" i="35"/>
  <c r="AR35" i="35"/>
  <c r="AS35" i="35"/>
  <c r="AT35" i="35"/>
  <c r="AU35" i="35"/>
  <c r="AV35" i="35"/>
  <c r="AW35" i="35"/>
  <c r="AX35" i="35"/>
  <c r="AY35" i="35"/>
  <c r="AZ35" i="35"/>
  <c r="BA35" i="35"/>
  <c r="BB35" i="35"/>
  <c r="BC35" i="35"/>
  <c r="BD35" i="35"/>
  <c r="BE35" i="35"/>
  <c r="BF35" i="35"/>
  <c r="BG35" i="35"/>
  <c r="BH35" i="35"/>
  <c r="BI35" i="35"/>
  <c r="BJ35" i="35"/>
  <c r="BK35" i="35"/>
  <c r="BL35" i="35"/>
  <c r="BM35" i="35"/>
  <c r="BN35" i="35"/>
  <c r="BO35" i="35"/>
  <c r="BP35" i="35"/>
  <c r="AA22" i="35"/>
  <c r="AF103" i="35"/>
  <c r="AH103" i="35"/>
  <c r="BT30" i="35"/>
  <c r="AG103" i="35"/>
  <c r="AI103" i="35"/>
  <c r="BS31" i="35"/>
  <c r="BT41" i="35"/>
  <c r="AG95" i="35"/>
  <c r="AI95" i="35"/>
  <c r="BU30" i="35"/>
  <c r="AF95" i="35"/>
  <c r="AH95" i="35"/>
  <c r="BS32" i="35"/>
  <c r="BU41" i="35"/>
  <c r="AF83" i="35"/>
  <c r="AH83" i="35"/>
  <c r="BV30" i="35"/>
  <c r="AG83" i="35"/>
  <c r="AI83" i="35"/>
  <c r="BS33" i="35"/>
  <c r="BV41" i="35"/>
  <c r="AG75" i="35"/>
  <c r="AI75" i="35"/>
  <c r="BW30" i="35"/>
  <c r="AF75" i="35"/>
  <c r="AH75" i="35"/>
  <c r="BS34" i="35"/>
  <c r="BW41" i="35"/>
  <c r="BX30" i="35"/>
  <c r="BS35" i="35"/>
  <c r="BX41" i="35"/>
  <c r="BY30" i="35"/>
  <c r="BS36" i="35"/>
  <c r="BY41" i="35"/>
  <c r="BZ30" i="35"/>
  <c r="BS37" i="35"/>
  <c r="BZ41" i="35"/>
  <c r="CA30" i="35"/>
  <c r="BS38" i="35"/>
  <c r="CA41" i="35"/>
  <c r="BS42" i="35"/>
  <c r="AF79" i="35"/>
  <c r="AH79" i="35"/>
  <c r="BU31" i="35"/>
  <c r="AG79" i="35"/>
  <c r="AI79" i="35"/>
  <c r="BT32" i="35"/>
  <c r="BU42" i="35"/>
  <c r="AF91" i="35"/>
  <c r="AH91" i="35"/>
  <c r="BV31" i="35"/>
  <c r="AG91" i="35"/>
  <c r="AI91" i="35"/>
  <c r="BT33" i="35"/>
  <c r="BV42" i="35"/>
  <c r="AG67" i="35"/>
  <c r="AI67" i="35"/>
  <c r="BW31" i="35"/>
  <c r="AF67" i="35"/>
  <c r="AH67" i="35"/>
  <c r="BT34" i="35"/>
  <c r="BW42" i="35"/>
  <c r="BX31" i="35"/>
  <c r="BT35" i="35"/>
  <c r="BX42" i="35"/>
  <c r="BY31" i="35"/>
  <c r="BT36" i="35"/>
  <c r="BY42" i="35"/>
  <c r="BZ31" i="35"/>
  <c r="BT37" i="35"/>
  <c r="BZ42" i="35"/>
  <c r="CA31" i="35"/>
  <c r="BT38" i="35"/>
  <c r="CA42" i="35"/>
  <c r="BS43" i="35"/>
  <c r="BT43" i="35"/>
  <c r="AF71" i="35"/>
  <c r="AH71" i="35"/>
  <c r="BV32" i="35"/>
  <c r="AG71" i="35"/>
  <c r="AI71" i="35"/>
  <c r="BU33" i="35"/>
  <c r="BV43" i="35"/>
  <c r="AF87" i="35"/>
  <c r="AH87" i="35"/>
  <c r="BW32" i="35"/>
  <c r="AG87" i="35"/>
  <c r="AI87" i="35"/>
  <c r="BU34" i="35"/>
  <c r="BW43" i="35"/>
  <c r="BX32" i="35"/>
  <c r="BU35" i="35"/>
  <c r="BX43" i="35"/>
  <c r="BY32" i="35"/>
  <c r="BU36" i="35"/>
  <c r="BY43" i="35"/>
  <c r="BZ32" i="35"/>
  <c r="BU37" i="35"/>
  <c r="BZ43" i="35"/>
  <c r="CA32" i="35"/>
  <c r="BU38" i="35"/>
  <c r="CA43" i="35"/>
  <c r="BS44" i="35"/>
  <c r="BT44" i="35"/>
  <c r="BU44" i="35"/>
  <c r="AF99" i="35"/>
  <c r="AH99" i="35"/>
  <c r="BW33" i="35"/>
  <c r="AG99" i="35"/>
  <c r="AI99" i="35"/>
  <c r="BV34" i="35"/>
  <c r="BW44" i="35"/>
  <c r="BX33" i="35"/>
  <c r="BV35" i="35"/>
  <c r="BX44" i="35"/>
  <c r="BY33" i="35"/>
  <c r="BV36" i="35"/>
  <c r="BY44" i="35"/>
  <c r="BZ33" i="35"/>
  <c r="BV37" i="35"/>
  <c r="BZ44" i="35"/>
  <c r="CA33" i="35"/>
  <c r="BV38" i="35"/>
  <c r="CA44" i="35"/>
  <c r="BS45" i="35"/>
  <c r="BT45" i="35"/>
  <c r="BU45" i="35"/>
  <c r="BV45" i="35"/>
  <c r="BX34" i="35"/>
  <c r="BW35" i="35"/>
  <c r="BX45" i="35"/>
  <c r="BY34" i="35"/>
  <c r="BW36" i="35"/>
  <c r="BY45" i="35"/>
  <c r="BZ34" i="35"/>
  <c r="BW37" i="35"/>
  <c r="BZ45" i="35"/>
  <c r="CA34" i="35"/>
  <c r="BW38" i="35"/>
  <c r="CA45" i="35"/>
  <c r="BS46" i="35"/>
  <c r="BT46" i="35"/>
  <c r="BU46" i="35"/>
  <c r="BV46" i="35"/>
  <c r="BW46" i="35"/>
  <c r="AH104" i="35"/>
  <c r="AH105" i="35"/>
  <c r="AH106" i="35"/>
  <c r="AH107" i="35"/>
  <c r="AF64" i="35"/>
  <c r="AH64" i="35"/>
  <c r="AF65" i="35"/>
  <c r="AH65" i="35"/>
  <c r="AF66" i="35"/>
  <c r="AH66" i="35"/>
  <c r="AF68" i="35"/>
  <c r="AH68" i="35"/>
  <c r="AF69" i="35"/>
  <c r="AH69" i="35"/>
  <c r="AF70" i="35"/>
  <c r="AH70" i="35"/>
  <c r="AF72" i="35"/>
  <c r="AH72" i="35"/>
  <c r="AF73" i="35"/>
  <c r="AH73" i="35"/>
  <c r="AF74" i="35"/>
  <c r="AH74" i="35"/>
  <c r="AF76" i="35"/>
  <c r="AH76" i="35"/>
  <c r="AF77" i="35"/>
  <c r="AH77" i="35"/>
  <c r="AF78" i="35"/>
  <c r="AH78" i="35"/>
  <c r="AF80" i="35"/>
  <c r="AH80" i="35"/>
  <c r="AF81" i="35"/>
  <c r="AH81" i="35"/>
  <c r="AF82" i="35"/>
  <c r="AH82" i="35"/>
  <c r="AF84" i="35"/>
  <c r="AH84" i="35"/>
  <c r="AF85" i="35"/>
  <c r="AH85" i="35"/>
  <c r="AF86" i="35"/>
  <c r="AH86" i="35"/>
  <c r="AF88" i="35"/>
  <c r="AH88" i="35"/>
  <c r="AF89" i="35"/>
  <c r="AH89" i="35"/>
  <c r="AF90" i="35"/>
  <c r="AH90" i="35"/>
  <c r="AF92" i="35"/>
  <c r="AH92" i="35"/>
  <c r="AF93" i="35"/>
  <c r="AH93" i="35"/>
  <c r="AF94" i="35"/>
  <c r="AH94" i="35"/>
  <c r="AF96" i="35"/>
  <c r="AH96" i="35"/>
  <c r="AF97" i="35"/>
  <c r="AH97" i="35"/>
  <c r="AF98" i="35"/>
  <c r="AH98" i="35"/>
  <c r="AF100" i="35"/>
  <c r="AH100" i="35"/>
  <c r="AF101" i="35"/>
  <c r="AH101" i="35"/>
  <c r="AF102" i="35"/>
  <c r="AH102" i="35"/>
  <c r="AH108" i="35"/>
  <c r="AH109" i="35"/>
  <c r="AH110" i="35"/>
  <c r="AH111" i="35"/>
  <c r="AH112" i="35"/>
  <c r="AH113" i="35"/>
  <c r="AH114" i="35"/>
  <c r="AH115" i="35"/>
  <c r="AH116" i="35"/>
  <c r="AH117" i="35"/>
  <c r="AH118" i="35"/>
  <c r="AH119" i="35"/>
  <c r="AH120" i="35"/>
  <c r="AH121" i="35"/>
  <c r="AH122" i="35"/>
  <c r="AH123" i="35"/>
  <c r="AG64" i="35"/>
  <c r="AI64" i="35"/>
  <c r="AG65" i="35"/>
  <c r="AI65" i="35"/>
  <c r="AG66" i="35"/>
  <c r="AI66" i="35"/>
  <c r="AG68" i="35"/>
  <c r="AI68" i="35"/>
  <c r="AG69" i="35"/>
  <c r="AI69" i="35"/>
  <c r="AG70" i="35"/>
  <c r="AI70" i="35"/>
  <c r="AG72" i="35"/>
  <c r="AI72" i="35"/>
  <c r="AG73" i="35"/>
  <c r="AI73" i="35"/>
  <c r="AG74" i="35"/>
  <c r="AI74" i="35"/>
  <c r="AG76" i="35"/>
  <c r="AI76" i="35"/>
  <c r="AG77" i="35"/>
  <c r="AI77" i="35"/>
  <c r="AG78" i="35"/>
  <c r="AI78" i="35"/>
  <c r="AG80" i="35"/>
  <c r="AI80" i="35"/>
  <c r="AG81" i="35"/>
  <c r="AI81" i="35"/>
  <c r="AG82" i="35"/>
  <c r="AI82" i="35"/>
  <c r="AG84" i="35"/>
  <c r="AI84" i="35"/>
  <c r="AG85" i="35"/>
  <c r="AI85" i="35"/>
  <c r="AG86" i="35"/>
  <c r="AI86" i="35"/>
  <c r="AG88" i="35"/>
  <c r="AI88" i="35"/>
  <c r="AG89" i="35"/>
  <c r="AI89" i="35"/>
  <c r="AG90" i="35"/>
  <c r="AI90" i="35"/>
  <c r="AG92" i="35"/>
  <c r="AI92" i="35"/>
  <c r="AG93" i="35"/>
  <c r="AI93" i="35"/>
  <c r="AG94" i="35"/>
  <c r="AI94" i="35"/>
  <c r="AG96" i="35"/>
  <c r="AI96" i="35"/>
  <c r="AG97" i="35"/>
  <c r="AI97" i="35"/>
  <c r="AG98" i="35"/>
  <c r="AI98" i="35"/>
  <c r="AG100" i="35"/>
  <c r="AI100" i="35"/>
  <c r="AG101" i="35"/>
  <c r="AI101" i="35"/>
  <c r="AG102" i="35"/>
  <c r="AI102" i="35"/>
  <c r="AI104" i="35"/>
  <c r="AI105" i="35"/>
  <c r="AI106" i="35"/>
  <c r="AI107" i="35"/>
  <c r="AI108" i="35"/>
  <c r="AI109" i="35"/>
  <c r="AI110" i="35"/>
  <c r="AI111" i="35"/>
  <c r="AI112" i="35"/>
  <c r="AI113" i="35"/>
  <c r="AI114" i="35"/>
  <c r="AI115" i="35"/>
  <c r="AI116" i="35"/>
  <c r="AI117" i="35"/>
  <c r="AI118" i="35"/>
  <c r="AI119" i="35"/>
  <c r="AI120" i="35"/>
  <c r="AI121" i="35"/>
  <c r="AI122" i="35"/>
  <c r="AI123" i="35"/>
  <c r="BY35" i="35"/>
  <c r="BX36" i="35"/>
  <c r="BY46" i="35"/>
  <c r="BZ35" i="35"/>
  <c r="BX37" i="35"/>
  <c r="BZ46" i="35"/>
  <c r="CA35" i="35"/>
  <c r="BX38" i="35"/>
  <c r="CA46" i="35"/>
  <c r="BS47" i="35"/>
  <c r="BT47" i="35"/>
  <c r="BU47" i="35"/>
  <c r="BV47" i="35"/>
  <c r="BW47" i="35"/>
  <c r="BX47" i="35"/>
  <c r="BZ36" i="35"/>
  <c r="BY37" i="35"/>
  <c r="BZ47" i="35"/>
  <c r="CA36" i="35"/>
  <c r="BY38" i="35"/>
  <c r="CA47" i="35"/>
  <c r="BS48" i="35"/>
  <c r="BT48" i="35"/>
  <c r="BU48" i="35"/>
  <c r="BV48" i="35"/>
  <c r="BW48" i="35"/>
  <c r="BX48" i="35"/>
  <c r="BY48" i="35"/>
  <c r="CA37" i="35"/>
  <c r="BZ38" i="35"/>
  <c r="CA48" i="35"/>
  <c r="BS49" i="35"/>
  <c r="BT49" i="35"/>
  <c r="BU49" i="35"/>
  <c r="BV49" i="35"/>
  <c r="BW49" i="35"/>
  <c r="BX49" i="35"/>
  <c r="BY49" i="35"/>
  <c r="BZ49" i="35"/>
  <c r="E46" i="35" a="1"/>
  <c r="E46" i="35"/>
  <c r="F46" i="35" a="1"/>
  <c r="F46" i="35"/>
  <c r="G46" i="35" a="1"/>
  <c r="H46" i="35" a="1"/>
  <c r="I46" i="35" a="1"/>
  <c r="J46" i="35" a="1"/>
  <c r="K46" i="35" a="1"/>
  <c r="L46" i="35" a="1"/>
  <c r="M46" i="35" a="1"/>
  <c r="N46" i="35" a="1"/>
  <c r="O46" i="35" a="1"/>
  <c r="P46" i="35" a="1"/>
  <c r="Q46" i="35" a="1"/>
  <c r="R46" i="35" a="1"/>
  <c r="S46" i="35" a="1"/>
  <c r="T46" i="35" a="1"/>
  <c r="U46" i="35" a="1"/>
  <c r="V46" i="35" a="1"/>
  <c r="W46" i="35" a="1"/>
  <c r="X46" i="35" a="1"/>
  <c r="Y46" i="35" a="1"/>
  <c r="Z46" i="35" a="1"/>
  <c r="AA46" i="35" a="1"/>
  <c r="AB46" i="35" a="1"/>
  <c r="AC46" i="35" a="1"/>
  <c r="AD46" i="35" a="1"/>
  <c r="AE46" i="35" a="1"/>
  <c r="AF46" i="35" a="1"/>
  <c r="AG46" i="35" a="1"/>
  <c r="AH46" i="35" a="1"/>
  <c r="AI46" i="35" a="1"/>
  <c r="AJ46" i="35" a="1"/>
  <c r="AK46" i="35" a="1"/>
  <c r="AL46" i="35" a="1"/>
  <c r="AM46" i="35" a="1"/>
  <c r="AN46" i="35" a="1"/>
  <c r="AO46" i="35" a="1"/>
  <c r="AP46" i="35" a="1"/>
  <c r="AQ46" i="35" a="1"/>
  <c r="AR46" i="35" a="1"/>
  <c r="AS46" i="35" a="1"/>
  <c r="AT46" i="35" a="1"/>
  <c r="AU46" i="35" a="1"/>
  <c r="AV46" i="35" a="1"/>
  <c r="AW46" i="35" a="1"/>
  <c r="AX46" i="35" a="1"/>
  <c r="AY46" i="35" a="1"/>
  <c r="AZ46" i="35" a="1"/>
  <c r="BA46" i="35" a="1"/>
  <c r="BB46" i="35" a="1"/>
  <c r="BC46" i="35" a="1"/>
  <c r="BD46" i="35" a="1"/>
  <c r="BE46" i="35" a="1"/>
  <c r="BF46" i="35" a="1"/>
  <c r="BG46" i="35" a="1"/>
  <c r="BH46" i="35" a="1"/>
  <c r="BI46" i="35" a="1"/>
  <c r="BJ46" i="35" a="1"/>
  <c r="BK46" i="35" a="1"/>
  <c r="BL46" i="35" a="1"/>
  <c r="BM46" i="35" a="1"/>
  <c r="BN46" i="35" a="1"/>
  <c r="BO46" i="35" a="1"/>
  <c r="BP46" i="35" a="1"/>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AB22" i="35"/>
  <c r="W22" i="35"/>
  <c r="E36" i="35" a="1"/>
  <c r="E36" i="35"/>
  <c r="F36" i="35" a="1"/>
  <c r="F36" i="35"/>
  <c r="G36" i="35" a="1"/>
  <c r="H36" i="35" a="1"/>
  <c r="I36" i="35" a="1"/>
  <c r="J36" i="35" a="1"/>
  <c r="K36" i="35" a="1"/>
  <c r="L36" i="35" a="1"/>
  <c r="M36" i="35" a="1"/>
  <c r="N36" i="35" a="1"/>
  <c r="O36" i="35" a="1"/>
  <c r="P36" i="35" a="1"/>
  <c r="Q36" i="35" a="1"/>
  <c r="R36" i="35" a="1"/>
  <c r="S36" i="35" a="1"/>
  <c r="T36" i="35" a="1"/>
  <c r="U36" i="35" a="1"/>
  <c r="V36" i="35" a="1"/>
  <c r="W36" i="35" a="1"/>
  <c r="X36" i="35" a="1"/>
  <c r="Y36" i="35" a="1"/>
  <c r="Z36" i="35" a="1"/>
  <c r="AA36" i="35" a="1"/>
  <c r="AB36" i="35" a="1"/>
  <c r="AC36" i="35" a="1"/>
  <c r="AD36" i="35" a="1"/>
  <c r="AE36" i="35" a="1"/>
  <c r="AF36" i="35" a="1"/>
  <c r="AG36" i="35" a="1"/>
  <c r="AH36" i="35" a="1"/>
  <c r="AI36" i="35" a="1"/>
  <c r="AJ36" i="35" a="1"/>
  <c r="AK36" i="35" a="1"/>
  <c r="AL36" i="35" a="1"/>
  <c r="AM36" i="35" a="1"/>
  <c r="AN36" i="35" a="1"/>
  <c r="AO36" i="35" a="1"/>
  <c r="AP36" i="35" a="1"/>
  <c r="AQ36" i="35" a="1"/>
  <c r="AR36" i="35" a="1"/>
  <c r="AS36" i="35" a="1"/>
  <c r="AT36" i="35" a="1"/>
  <c r="AU36" i="35" a="1"/>
  <c r="AV36" i="35" a="1"/>
  <c r="AW36" i="35" a="1"/>
  <c r="AX36" i="35" a="1"/>
  <c r="AY36" i="35" a="1"/>
  <c r="AZ36" i="35" a="1"/>
  <c r="BA36" i="35" a="1"/>
  <c r="BB36" i="35" a="1"/>
  <c r="BC36" i="35" a="1"/>
  <c r="BD36" i="35" a="1"/>
  <c r="BE36" i="35" a="1"/>
  <c r="BF36" i="35" a="1"/>
  <c r="BG36" i="35" a="1"/>
  <c r="BH36" i="35" a="1"/>
  <c r="BI36" i="35" a="1"/>
  <c r="BJ36" i="35" a="1"/>
  <c r="BK36" i="35" a="1"/>
  <c r="BL36" i="35" a="1"/>
  <c r="BM36" i="35" a="1"/>
  <c r="BN36" i="35" a="1"/>
  <c r="BO36" i="35" a="1"/>
  <c r="BP36" i="35" a="1"/>
  <c r="G36" i="35"/>
  <c r="H36" i="35"/>
  <c r="I36" i="35"/>
  <c r="J36" i="35"/>
  <c r="K36" i="35"/>
  <c r="L36" i="35"/>
  <c r="M36" i="35"/>
  <c r="N36" i="35"/>
  <c r="O36" i="35"/>
  <c r="P36" i="35"/>
  <c r="Q36" i="35"/>
  <c r="R36" i="35"/>
  <c r="S36" i="35"/>
  <c r="T36" i="35"/>
  <c r="U36" i="35"/>
  <c r="V36" i="35"/>
  <c r="W36" i="35"/>
  <c r="X36" i="35"/>
  <c r="Y36" i="35"/>
  <c r="Z36" i="35"/>
  <c r="AA36" i="35"/>
  <c r="AB36" i="35"/>
  <c r="AC36" i="35"/>
  <c r="AD36" i="35"/>
  <c r="AE36" i="35"/>
  <c r="AF36" i="35"/>
  <c r="AG36" i="35"/>
  <c r="AH36" i="35"/>
  <c r="AI36" i="35"/>
  <c r="AJ36" i="35"/>
  <c r="AK36" i="35"/>
  <c r="AL36" i="35"/>
  <c r="AM36" i="35"/>
  <c r="AN36" i="35"/>
  <c r="AO36" i="35"/>
  <c r="AP36" i="35"/>
  <c r="AQ36" i="35"/>
  <c r="AR36" i="35"/>
  <c r="AS36" i="35"/>
  <c r="AT36" i="35"/>
  <c r="AU36" i="35"/>
  <c r="AV36" i="35"/>
  <c r="AW36" i="35"/>
  <c r="AX36" i="35"/>
  <c r="AY36" i="35"/>
  <c r="AZ36" i="35"/>
  <c r="BA36" i="35"/>
  <c r="BB36" i="35"/>
  <c r="BC36" i="35"/>
  <c r="BD36" i="35"/>
  <c r="BE36" i="35"/>
  <c r="BF36" i="35"/>
  <c r="BG36" i="35"/>
  <c r="BH36" i="35"/>
  <c r="BI36" i="35"/>
  <c r="BJ36" i="35"/>
  <c r="BK36" i="35"/>
  <c r="BL36" i="35"/>
  <c r="BM36" i="35"/>
  <c r="BN36" i="35"/>
  <c r="BO36" i="35"/>
  <c r="BP36" i="35"/>
  <c r="AA23" i="35"/>
  <c r="E47" i="35" a="1"/>
  <c r="E47" i="35"/>
  <c r="F47" i="35" a="1"/>
  <c r="F47" i="35"/>
  <c r="G47" i="35" a="1"/>
  <c r="H47" i="35" a="1"/>
  <c r="I47" i="35" a="1"/>
  <c r="J47" i="35" a="1"/>
  <c r="K47" i="35" a="1"/>
  <c r="L47" i="35" a="1"/>
  <c r="M47" i="35" a="1"/>
  <c r="N47" i="35" a="1"/>
  <c r="O47" i="35" a="1"/>
  <c r="P47" i="35" a="1"/>
  <c r="Q47" i="35" a="1"/>
  <c r="R47" i="35" a="1"/>
  <c r="S47" i="35" a="1"/>
  <c r="T47" i="35" a="1"/>
  <c r="U47" i="35" a="1"/>
  <c r="V47" i="35" a="1"/>
  <c r="W47" i="35" a="1"/>
  <c r="X47" i="35" a="1"/>
  <c r="Y47" i="35" a="1"/>
  <c r="Z47" i="35" a="1"/>
  <c r="AA47" i="35" a="1"/>
  <c r="AB47" i="35" a="1"/>
  <c r="AC47" i="35" a="1"/>
  <c r="AD47" i="35" a="1"/>
  <c r="AE47" i="35" a="1"/>
  <c r="AF47" i="35" a="1"/>
  <c r="AG47" i="35" a="1"/>
  <c r="AH47" i="35" a="1"/>
  <c r="AI47" i="35" a="1"/>
  <c r="AJ47" i="35" a="1"/>
  <c r="AK47" i="35" a="1"/>
  <c r="AL47" i="35" a="1"/>
  <c r="AM47" i="35" a="1"/>
  <c r="AN47" i="35" a="1"/>
  <c r="AO47" i="35" a="1"/>
  <c r="AP47" i="35" a="1"/>
  <c r="AQ47" i="35" a="1"/>
  <c r="AR47" i="35" a="1"/>
  <c r="AS47" i="35" a="1"/>
  <c r="AT47" i="35" a="1"/>
  <c r="AU47" i="35" a="1"/>
  <c r="AV47" i="35" a="1"/>
  <c r="AW47" i="35" a="1"/>
  <c r="AX47" i="35" a="1"/>
  <c r="AY47" i="35" a="1"/>
  <c r="AZ47" i="35" a="1"/>
  <c r="BA47" i="35" a="1"/>
  <c r="BB47" i="35" a="1"/>
  <c r="BC47" i="35" a="1"/>
  <c r="BD47" i="35" a="1"/>
  <c r="BE47" i="35" a="1"/>
  <c r="BF47" i="35" a="1"/>
  <c r="BG47" i="35" a="1"/>
  <c r="BH47" i="35" a="1"/>
  <c r="BI47" i="35" a="1"/>
  <c r="BJ47" i="35" a="1"/>
  <c r="BK47" i="35" a="1"/>
  <c r="BL47" i="35" a="1"/>
  <c r="BM47" i="35" a="1"/>
  <c r="BN47" i="35" a="1"/>
  <c r="BO47" i="35" a="1"/>
  <c r="BP47" i="35" a="1"/>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AB23" i="35"/>
  <c r="W23" i="35"/>
  <c r="E37" i="35" a="1"/>
  <c r="E37" i="35"/>
  <c r="F37" i="35" a="1"/>
  <c r="F37" i="35"/>
  <c r="G37" i="35" a="1"/>
  <c r="H37" i="35" a="1"/>
  <c r="I37" i="35" a="1"/>
  <c r="J37" i="35" a="1"/>
  <c r="K37" i="35" a="1"/>
  <c r="L37" i="35" a="1"/>
  <c r="M37" i="35" a="1"/>
  <c r="N37" i="35" a="1"/>
  <c r="O37" i="35" a="1"/>
  <c r="P37" i="35" a="1"/>
  <c r="Q37" i="35" a="1"/>
  <c r="R37" i="35" a="1"/>
  <c r="S37" i="35" a="1"/>
  <c r="T37" i="35" a="1"/>
  <c r="U37" i="35" a="1"/>
  <c r="V37" i="35" a="1"/>
  <c r="W37" i="35" a="1"/>
  <c r="X37" i="35" a="1"/>
  <c r="Y37" i="35" a="1"/>
  <c r="Z37" i="35" a="1"/>
  <c r="AA37" i="35" a="1"/>
  <c r="AB37" i="35" a="1"/>
  <c r="AC37" i="35" a="1"/>
  <c r="AD37" i="35" a="1"/>
  <c r="AE37" i="35" a="1"/>
  <c r="AF37" i="35" a="1"/>
  <c r="AG37" i="35" a="1"/>
  <c r="AH37" i="35" a="1"/>
  <c r="AI37" i="35" a="1"/>
  <c r="AJ37" i="35" a="1"/>
  <c r="AK37" i="35" a="1"/>
  <c r="AL37" i="35" a="1"/>
  <c r="AM37" i="35" a="1"/>
  <c r="AN37" i="35" a="1"/>
  <c r="AO37" i="35" a="1"/>
  <c r="AP37" i="35" a="1"/>
  <c r="AQ37" i="35" a="1"/>
  <c r="AR37" i="35" a="1"/>
  <c r="AS37" i="35" a="1"/>
  <c r="AT37" i="35" a="1"/>
  <c r="AU37" i="35" a="1"/>
  <c r="AV37" i="35" a="1"/>
  <c r="AW37" i="35" a="1"/>
  <c r="AX37" i="35" a="1"/>
  <c r="AY37" i="35" a="1"/>
  <c r="AZ37" i="35" a="1"/>
  <c r="BA37" i="35" a="1"/>
  <c r="BB37" i="35" a="1"/>
  <c r="BC37" i="35" a="1"/>
  <c r="BD37" i="35" a="1"/>
  <c r="BE37" i="35" a="1"/>
  <c r="BF37" i="35" a="1"/>
  <c r="BG37" i="35" a="1"/>
  <c r="BH37" i="35" a="1"/>
  <c r="BI37" i="35" a="1"/>
  <c r="BJ37" i="35" a="1"/>
  <c r="BK37" i="35" a="1"/>
  <c r="BL37" i="35" a="1"/>
  <c r="BM37" i="35" a="1"/>
  <c r="BN37" i="35" a="1"/>
  <c r="BO37" i="35" a="1"/>
  <c r="BP37" i="35" a="1"/>
  <c r="G37" i="35"/>
  <c r="H37" i="35"/>
  <c r="I37" i="35"/>
  <c r="J37" i="35"/>
  <c r="K37" i="35"/>
  <c r="L37" i="35"/>
  <c r="M37" i="35"/>
  <c r="N37" i="35"/>
  <c r="O37" i="35"/>
  <c r="P37" i="35"/>
  <c r="Q37" i="35"/>
  <c r="R37" i="35"/>
  <c r="S37" i="35"/>
  <c r="T37" i="35"/>
  <c r="U37" i="35"/>
  <c r="V37" i="35"/>
  <c r="W37" i="35"/>
  <c r="X37" i="35"/>
  <c r="Y37" i="35"/>
  <c r="Z37" i="35"/>
  <c r="AA37" i="35"/>
  <c r="AB37" i="35"/>
  <c r="AC37" i="35"/>
  <c r="AD37" i="35"/>
  <c r="AE37" i="35"/>
  <c r="AF37" i="35"/>
  <c r="AG37" i="35"/>
  <c r="AH37" i="35"/>
  <c r="AI37" i="35"/>
  <c r="AJ37" i="35"/>
  <c r="AK37" i="35"/>
  <c r="AL37" i="35"/>
  <c r="AM37" i="35"/>
  <c r="AN37" i="35"/>
  <c r="AO37" i="35"/>
  <c r="AP37" i="35"/>
  <c r="AQ37" i="35"/>
  <c r="AR37" i="35"/>
  <c r="AS37" i="35"/>
  <c r="AT37" i="35"/>
  <c r="AU37" i="35"/>
  <c r="AV37" i="35"/>
  <c r="AW37" i="35"/>
  <c r="AX37" i="35"/>
  <c r="AY37" i="35"/>
  <c r="AZ37" i="35"/>
  <c r="BA37" i="35"/>
  <c r="BB37" i="35"/>
  <c r="BC37" i="35"/>
  <c r="BD37" i="35"/>
  <c r="BE37" i="35"/>
  <c r="BF37" i="35"/>
  <c r="BG37" i="35"/>
  <c r="BH37" i="35"/>
  <c r="BI37" i="35"/>
  <c r="BJ37" i="35"/>
  <c r="BK37" i="35"/>
  <c r="BL37" i="35"/>
  <c r="BM37" i="35"/>
  <c r="BN37" i="35"/>
  <c r="BO37" i="35"/>
  <c r="BP37" i="35"/>
  <c r="AA24" i="35"/>
  <c r="E48" i="35" a="1"/>
  <c r="E48" i="35"/>
  <c r="F48" i="35" a="1"/>
  <c r="F48" i="35"/>
  <c r="G48" i="35" a="1"/>
  <c r="H48" i="35" a="1"/>
  <c r="I48" i="35" a="1"/>
  <c r="J48" i="35" a="1"/>
  <c r="K48" i="35" a="1"/>
  <c r="L48" i="35" a="1"/>
  <c r="M48" i="35" a="1"/>
  <c r="N48" i="35" a="1"/>
  <c r="O48" i="35" a="1"/>
  <c r="P48" i="35" a="1"/>
  <c r="Q48" i="35" a="1"/>
  <c r="R48" i="35" a="1"/>
  <c r="S48" i="35" a="1"/>
  <c r="T48" i="35" a="1"/>
  <c r="U48" i="35" a="1"/>
  <c r="V48" i="35" a="1"/>
  <c r="W48" i="35" a="1"/>
  <c r="X48" i="35" a="1"/>
  <c r="Y48" i="35" a="1"/>
  <c r="Z48" i="35" a="1"/>
  <c r="AA48" i="35" a="1"/>
  <c r="AB48" i="35" a="1"/>
  <c r="AC48" i="35" a="1"/>
  <c r="AD48" i="35" a="1"/>
  <c r="AE48" i="35" a="1"/>
  <c r="AF48" i="35" a="1"/>
  <c r="AG48" i="35" a="1"/>
  <c r="AH48" i="35" a="1"/>
  <c r="AI48" i="35" a="1"/>
  <c r="AJ48" i="35" a="1"/>
  <c r="AK48" i="35" a="1"/>
  <c r="AL48" i="35" a="1"/>
  <c r="AM48" i="35" a="1"/>
  <c r="AN48" i="35" a="1"/>
  <c r="AO48" i="35" a="1"/>
  <c r="AP48" i="35" a="1"/>
  <c r="AQ48" i="35" a="1"/>
  <c r="AR48" i="35" a="1"/>
  <c r="AS48" i="35" a="1"/>
  <c r="AT48" i="35" a="1"/>
  <c r="AU48" i="35" a="1"/>
  <c r="AV48" i="35" a="1"/>
  <c r="AW48" i="35" a="1"/>
  <c r="AX48" i="35" a="1"/>
  <c r="AY48" i="35" a="1"/>
  <c r="AZ48" i="35" a="1"/>
  <c r="BA48" i="35" a="1"/>
  <c r="BB48" i="35" a="1"/>
  <c r="BC48" i="35" a="1"/>
  <c r="BD48" i="35" a="1"/>
  <c r="BE48" i="35" a="1"/>
  <c r="BF48" i="35" a="1"/>
  <c r="BG48" i="35" a="1"/>
  <c r="BH48" i="35" a="1"/>
  <c r="BI48" i="35" a="1"/>
  <c r="BJ48" i="35" a="1"/>
  <c r="BK48" i="35" a="1"/>
  <c r="BL48" i="35" a="1"/>
  <c r="BM48" i="35" a="1"/>
  <c r="BN48" i="35" a="1"/>
  <c r="BO48" i="35" a="1"/>
  <c r="BP48" i="35" a="1"/>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AB24" i="35"/>
  <c r="W24" i="35"/>
  <c r="E38" i="35" a="1"/>
  <c r="E38" i="35"/>
  <c r="F38" i="35" a="1"/>
  <c r="F38" i="35"/>
  <c r="G38" i="35" a="1"/>
  <c r="H38" i="35" a="1"/>
  <c r="I38" i="35" a="1"/>
  <c r="J38" i="35" a="1"/>
  <c r="K38" i="35" a="1"/>
  <c r="L38" i="35" a="1"/>
  <c r="M38" i="35" a="1"/>
  <c r="N38" i="35" a="1"/>
  <c r="O38" i="35" a="1"/>
  <c r="P38" i="35" a="1"/>
  <c r="Q38" i="35" a="1"/>
  <c r="R38" i="35" a="1"/>
  <c r="S38" i="35" a="1"/>
  <c r="T38" i="35" a="1"/>
  <c r="U38" i="35" a="1"/>
  <c r="V38" i="35" a="1"/>
  <c r="W38" i="35" a="1"/>
  <c r="X38" i="35" a="1"/>
  <c r="Y38" i="35" a="1"/>
  <c r="Z38" i="35" a="1"/>
  <c r="AA38" i="35" a="1"/>
  <c r="AB38" i="35" a="1"/>
  <c r="AC38" i="35" a="1"/>
  <c r="AD38" i="35" a="1"/>
  <c r="AE38" i="35" a="1"/>
  <c r="AF38" i="35" a="1"/>
  <c r="AG38" i="35" a="1"/>
  <c r="AH38" i="35" a="1"/>
  <c r="AI38" i="35" a="1"/>
  <c r="AJ38" i="35" a="1"/>
  <c r="AK38" i="35" a="1"/>
  <c r="AL38" i="35" a="1"/>
  <c r="AM38" i="35" a="1"/>
  <c r="AN38" i="35" a="1"/>
  <c r="AO38" i="35" a="1"/>
  <c r="AP38" i="35" a="1"/>
  <c r="AQ38" i="35" a="1"/>
  <c r="AR38" i="35" a="1"/>
  <c r="AS38" i="35" a="1"/>
  <c r="AT38" i="35" a="1"/>
  <c r="AU38" i="35" a="1"/>
  <c r="AV38" i="35" a="1"/>
  <c r="AW38" i="35" a="1"/>
  <c r="AX38" i="35" a="1"/>
  <c r="AY38" i="35" a="1"/>
  <c r="AZ38" i="35" a="1"/>
  <c r="BA38" i="35" a="1"/>
  <c r="BB38" i="35" a="1"/>
  <c r="BC38" i="35" a="1"/>
  <c r="BD38" i="35" a="1"/>
  <c r="BE38" i="35" a="1"/>
  <c r="BF38" i="35" a="1"/>
  <c r="BG38" i="35" a="1"/>
  <c r="BH38" i="35" a="1"/>
  <c r="BI38" i="35" a="1"/>
  <c r="BJ38" i="35" a="1"/>
  <c r="BK38" i="35" a="1"/>
  <c r="BL38" i="35" a="1"/>
  <c r="BM38" i="35" a="1"/>
  <c r="BN38" i="35" a="1"/>
  <c r="BO38" i="35" a="1"/>
  <c r="BP38" i="35" a="1"/>
  <c r="G38" i="35"/>
  <c r="H38" i="35"/>
  <c r="I38" i="35"/>
  <c r="J38" i="35"/>
  <c r="K38" i="35"/>
  <c r="L38" i="35"/>
  <c r="M38" i="35"/>
  <c r="N38" i="35"/>
  <c r="O38" i="35"/>
  <c r="P38" i="35"/>
  <c r="Q38" i="35"/>
  <c r="R38" i="35"/>
  <c r="S38" i="35"/>
  <c r="T38" i="35"/>
  <c r="U38" i="35"/>
  <c r="V38" i="35"/>
  <c r="W38" i="35"/>
  <c r="X38" i="35"/>
  <c r="Y38" i="35"/>
  <c r="Z38" i="35"/>
  <c r="AA38" i="35"/>
  <c r="AB38" i="35"/>
  <c r="AC38" i="35"/>
  <c r="AD38" i="35"/>
  <c r="AE38" i="35"/>
  <c r="AF38" i="35"/>
  <c r="AG38" i="35"/>
  <c r="AH38" i="35"/>
  <c r="AI38" i="35"/>
  <c r="AJ38" i="35"/>
  <c r="AK38" i="35"/>
  <c r="AL38" i="35"/>
  <c r="AM38" i="35"/>
  <c r="AN38" i="35"/>
  <c r="AO38" i="35"/>
  <c r="AP38" i="35"/>
  <c r="AQ38" i="35"/>
  <c r="AR38" i="35"/>
  <c r="AS38" i="35"/>
  <c r="AT38" i="35"/>
  <c r="AU38" i="35"/>
  <c r="AV38" i="35"/>
  <c r="AW38" i="35"/>
  <c r="AX38" i="35"/>
  <c r="AY38" i="35"/>
  <c r="AZ38" i="35"/>
  <c r="BA38" i="35"/>
  <c r="BB38" i="35"/>
  <c r="BC38" i="35"/>
  <c r="BD38" i="35"/>
  <c r="BE38" i="35"/>
  <c r="BF38" i="35"/>
  <c r="BG38" i="35"/>
  <c r="BH38" i="35"/>
  <c r="BI38" i="35"/>
  <c r="BJ38" i="35"/>
  <c r="BK38" i="35"/>
  <c r="BL38" i="35"/>
  <c r="BM38" i="35"/>
  <c r="BN38" i="35"/>
  <c r="BO38" i="35"/>
  <c r="BP38" i="35"/>
  <c r="AA25" i="35"/>
  <c r="E49" i="35" a="1"/>
  <c r="E49" i="35"/>
  <c r="F49" i="35" a="1"/>
  <c r="F49" i="35"/>
  <c r="G49" i="35" a="1"/>
  <c r="H49" i="35" a="1"/>
  <c r="I49" i="35" a="1"/>
  <c r="J49" i="35" a="1"/>
  <c r="K49" i="35" a="1"/>
  <c r="L49" i="35" a="1"/>
  <c r="M49" i="35" a="1"/>
  <c r="N49" i="35" a="1"/>
  <c r="O49" i="35" a="1"/>
  <c r="P49" i="35" a="1"/>
  <c r="Q49" i="35" a="1"/>
  <c r="R49" i="35" a="1"/>
  <c r="S49" i="35" a="1"/>
  <c r="T49" i="35" a="1"/>
  <c r="U49" i="35" a="1"/>
  <c r="V49" i="35" a="1"/>
  <c r="W49" i="35" a="1"/>
  <c r="X49" i="35" a="1"/>
  <c r="Y49" i="35" a="1"/>
  <c r="Z49" i="35" a="1"/>
  <c r="AA49" i="35" a="1"/>
  <c r="AB49" i="35" a="1"/>
  <c r="AC49" i="35" a="1"/>
  <c r="AD49" i="35" a="1"/>
  <c r="AE49" i="35" a="1"/>
  <c r="AF49" i="35" a="1"/>
  <c r="AG49" i="35" a="1"/>
  <c r="AH49" i="35" a="1"/>
  <c r="AI49" i="35" a="1"/>
  <c r="AJ49" i="35" a="1"/>
  <c r="AK49" i="35" a="1"/>
  <c r="AL49" i="35" a="1"/>
  <c r="AM49" i="35" a="1"/>
  <c r="AN49" i="35" a="1"/>
  <c r="AO49" i="35" a="1"/>
  <c r="AP49" i="35" a="1"/>
  <c r="AQ49" i="35" a="1"/>
  <c r="AR49" i="35" a="1"/>
  <c r="AS49" i="35" a="1"/>
  <c r="AT49" i="35" a="1"/>
  <c r="AU49" i="35" a="1"/>
  <c r="AV49" i="35" a="1"/>
  <c r="AW49" i="35" a="1"/>
  <c r="AX49" i="35" a="1"/>
  <c r="AY49" i="35" a="1"/>
  <c r="AZ49" i="35" a="1"/>
  <c r="BA49" i="35" a="1"/>
  <c r="BB49" i="35" a="1"/>
  <c r="BC49" i="35" a="1"/>
  <c r="BD49" i="35" a="1"/>
  <c r="BE49" i="35" a="1"/>
  <c r="BF49" i="35" a="1"/>
  <c r="BG49" i="35" a="1"/>
  <c r="BH49" i="35" a="1"/>
  <c r="BI49" i="35" a="1"/>
  <c r="BJ49" i="35" a="1"/>
  <c r="BK49" i="35" a="1"/>
  <c r="BL49" i="35" a="1"/>
  <c r="BM49" i="35" a="1"/>
  <c r="BN49" i="35" a="1"/>
  <c r="BO49" i="35" a="1"/>
  <c r="BP49" i="35" a="1"/>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AB25" i="35"/>
  <c r="W25" i="35"/>
  <c r="X17" i="35"/>
  <c r="X18" i="35"/>
  <c r="X19" i="35"/>
  <c r="X20" i="35"/>
  <c r="X21" i="35"/>
  <c r="X22" i="35"/>
  <c r="X23" i="35"/>
  <c r="X24" i="35"/>
  <c r="X25" i="35"/>
  <c r="E4" i="35"/>
  <c r="D4" i="35"/>
  <c r="E5" i="35"/>
  <c r="D5" i="35"/>
  <c r="E6" i="35"/>
  <c r="D6" i="35"/>
  <c r="E7" i="35"/>
  <c r="D7" i="35"/>
  <c r="E8" i="35"/>
  <c r="D8" i="35"/>
  <c r="E9" i="35"/>
  <c r="D9" i="35"/>
  <c r="E10" i="35"/>
  <c r="D10" i="35"/>
  <c r="E11" i="35"/>
  <c r="D11" i="35"/>
  <c r="E12" i="35"/>
  <c r="D12" i="35"/>
  <c r="C4" i="35"/>
  <c r="C5" i="35"/>
  <c r="C6" i="35"/>
  <c r="N4" i="35"/>
  <c r="N5" i="35"/>
  <c r="N6" i="35"/>
  <c r="C7" i="35"/>
  <c r="N7" i="35"/>
  <c r="C8" i="35"/>
  <c r="N8" i="35"/>
  <c r="C9" i="35"/>
  <c r="N9" i="35"/>
  <c r="C10" i="35"/>
  <c r="N10" i="35"/>
  <c r="C11" i="35"/>
  <c r="N11" i="35"/>
  <c r="C12" i="35"/>
  <c r="N12" i="35"/>
  <c r="X47" i="6"/>
  <c r="Y16" i="21"/>
  <c r="K13" i="21"/>
  <c r="AD13" i="21"/>
  <c r="AC13" i="21"/>
  <c r="AE13" i="21"/>
  <c r="AF13" i="21"/>
  <c r="AR13" i="21"/>
  <c r="AG13" i="21"/>
  <c r="AS13" i="21"/>
  <c r="AA13" i="21"/>
  <c r="B13" i="21"/>
  <c r="H27" i="21"/>
  <c r="AB13" i="21"/>
  <c r="K27" i="21"/>
  <c r="AD27" i="21"/>
  <c r="AF27" i="21"/>
  <c r="AR27" i="21"/>
  <c r="AG27" i="21"/>
  <c r="AS27" i="21"/>
  <c r="AA27" i="21"/>
  <c r="AB27" i="21"/>
  <c r="AI27" i="21"/>
  <c r="AJ27" i="21"/>
  <c r="AL27" i="21"/>
  <c r="AM27" i="21"/>
  <c r="AN27" i="21"/>
  <c r="AO27" i="21"/>
  <c r="AP27" i="21"/>
  <c r="AC28" i="21"/>
  <c r="AE28" i="21"/>
  <c r="F28" i="21"/>
  <c r="I28" i="21"/>
  <c r="H28" i="21"/>
  <c r="K28" i="21"/>
  <c r="AD28" i="21"/>
  <c r="AF28" i="21"/>
  <c r="AR28" i="21"/>
  <c r="AG28" i="21"/>
  <c r="AS28" i="21"/>
  <c r="AA28" i="21"/>
  <c r="AB28" i="21"/>
  <c r="AI28" i="21"/>
  <c r="AJ28" i="21"/>
  <c r="AL28" i="21"/>
  <c r="AM28" i="21"/>
  <c r="AN28" i="21"/>
  <c r="AO28" i="21"/>
  <c r="AP28" i="21"/>
  <c r="AC31" i="21"/>
  <c r="AE31" i="21"/>
  <c r="X16" i="6"/>
  <c r="Y20" i="21"/>
  <c r="X18" i="21"/>
  <c r="I14" i="21"/>
  <c r="X36" i="6"/>
  <c r="Y22" i="21"/>
  <c r="K14" i="21"/>
  <c r="AD14" i="21"/>
  <c r="AC14" i="21"/>
  <c r="AE14" i="21"/>
  <c r="AF14" i="21"/>
  <c r="AR14" i="21"/>
  <c r="AG14" i="21"/>
  <c r="AS14" i="21"/>
  <c r="AA14" i="21"/>
  <c r="B14" i="21"/>
  <c r="F31" i="21"/>
  <c r="AB14" i="21"/>
  <c r="I31" i="21"/>
  <c r="X26" i="6"/>
  <c r="Y21" i="21"/>
  <c r="I15" i="21"/>
  <c r="X46" i="6"/>
  <c r="Y23" i="21"/>
  <c r="K15" i="21"/>
  <c r="AD15" i="21"/>
  <c r="AC15" i="21"/>
  <c r="AE15" i="21"/>
  <c r="AF15" i="21"/>
  <c r="AR15" i="21"/>
  <c r="AG15" i="21"/>
  <c r="AS15" i="21"/>
  <c r="AA15" i="21"/>
  <c r="B15" i="21"/>
  <c r="H31" i="21"/>
  <c r="AB15" i="21"/>
  <c r="K31" i="21"/>
  <c r="AD31" i="21"/>
  <c r="AF31" i="21"/>
  <c r="AR31" i="21"/>
  <c r="AG31" i="21"/>
  <c r="AS31" i="21"/>
  <c r="AA31" i="21"/>
  <c r="AB31" i="21"/>
  <c r="AI31" i="21"/>
  <c r="AJ31" i="21"/>
  <c r="AL31" i="21"/>
  <c r="AM31" i="21"/>
  <c r="AN31" i="21"/>
  <c r="AO31" i="21"/>
  <c r="AP31" i="21"/>
  <c r="AC32" i="21"/>
  <c r="AE32" i="21"/>
  <c r="F32" i="21"/>
  <c r="I32" i="21"/>
  <c r="H32" i="21"/>
  <c r="K32" i="21"/>
  <c r="AD32" i="21"/>
  <c r="AF32" i="21"/>
  <c r="AR32" i="21"/>
  <c r="AG32" i="21"/>
  <c r="AS32" i="21"/>
  <c r="AA32" i="21"/>
  <c r="AB32" i="21"/>
  <c r="AI32" i="21"/>
  <c r="AJ32" i="21"/>
  <c r="AL32" i="21"/>
  <c r="AM32" i="21"/>
  <c r="AN32" i="21"/>
  <c r="AO32" i="21"/>
  <c r="AP32" i="21"/>
  <c r="AC35" i="21"/>
  <c r="AE35" i="21"/>
  <c r="X15" i="6"/>
  <c r="Y27" i="21"/>
  <c r="X25" i="21"/>
  <c r="I16" i="21"/>
  <c r="X35" i="6"/>
  <c r="Y29" i="21"/>
  <c r="K16" i="21"/>
  <c r="AD16" i="21"/>
  <c r="AC16" i="21"/>
  <c r="AE16" i="21"/>
  <c r="AF16" i="21"/>
  <c r="AR16" i="21"/>
  <c r="AG16" i="21"/>
  <c r="AS16" i="21"/>
  <c r="AA16" i="21"/>
  <c r="B16" i="21"/>
  <c r="F35" i="21"/>
  <c r="AB16" i="21"/>
  <c r="I35" i="21"/>
  <c r="X25" i="6"/>
  <c r="Y28" i="21"/>
  <c r="I17" i="21"/>
  <c r="X45" i="6"/>
  <c r="Y30" i="21"/>
  <c r="K17" i="21"/>
  <c r="AD17" i="21"/>
  <c r="AC17" i="21"/>
  <c r="AE17" i="21"/>
  <c r="AF17" i="21"/>
  <c r="AR17" i="21"/>
  <c r="AG17" i="21"/>
  <c r="AS17" i="21"/>
  <c r="AA17" i="21"/>
  <c r="B17" i="21"/>
  <c r="H35" i="21"/>
  <c r="AB17" i="21"/>
  <c r="K35" i="21"/>
  <c r="AD35" i="21"/>
  <c r="AF35" i="21"/>
  <c r="AR35" i="21"/>
  <c r="AG35" i="21"/>
  <c r="AS35" i="21"/>
  <c r="AA35" i="21"/>
  <c r="AB35" i="21"/>
  <c r="AI35" i="21"/>
  <c r="AJ35" i="21"/>
  <c r="AL35" i="21"/>
  <c r="AM35" i="21"/>
  <c r="AN35" i="21"/>
  <c r="AO35" i="21"/>
  <c r="AP35" i="21"/>
  <c r="AC36" i="21"/>
  <c r="AE36" i="21"/>
  <c r="F36" i="21"/>
  <c r="I36" i="21"/>
  <c r="H36" i="21"/>
  <c r="K36" i="21"/>
  <c r="AD36" i="21"/>
  <c r="AF36" i="21"/>
  <c r="AR36" i="21"/>
  <c r="AG36" i="21"/>
  <c r="AS36" i="21"/>
  <c r="AA36" i="21"/>
  <c r="AB36" i="21"/>
  <c r="AI36" i="21"/>
  <c r="AJ36" i="21"/>
  <c r="AL36" i="21"/>
  <c r="AM36" i="21"/>
  <c r="AN36" i="21"/>
  <c r="AO36" i="21"/>
  <c r="AP36" i="21"/>
  <c r="AC39" i="21"/>
  <c r="AE39" i="21"/>
  <c r="X14" i="6"/>
  <c r="Y34" i="21"/>
  <c r="X32" i="21"/>
  <c r="I18" i="21"/>
  <c r="X34" i="6"/>
  <c r="Y36" i="21"/>
  <c r="K18" i="21"/>
  <c r="AD18" i="21"/>
  <c r="AC18" i="21"/>
  <c r="AE18" i="21"/>
  <c r="AF18" i="21"/>
  <c r="AR18" i="21"/>
  <c r="AG18" i="21"/>
  <c r="AS18" i="21"/>
  <c r="AA18" i="21"/>
  <c r="B18" i="21"/>
  <c r="F39" i="21"/>
  <c r="AB18" i="21"/>
  <c r="I39" i="21"/>
  <c r="X24" i="6"/>
  <c r="Y35" i="21"/>
  <c r="I19" i="21"/>
  <c r="X44" i="6"/>
  <c r="Y37" i="21"/>
  <c r="K19" i="21"/>
  <c r="AD19" i="21"/>
  <c r="AC19" i="21"/>
  <c r="AE19" i="21"/>
  <c r="AF19" i="21"/>
  <c r="AR19" i="21"/>
  <c r="AG19" i="21"/>
  <c r="AS19" i="21"/>
  <c r="AA19" i="21"/>
  <c r="B19" i="21"/>
  <c r="H39" i="21"/>
  <c r="AB19" i="21"/>
  <c r="K39" i="21"/>
  <c r="AD39" i="21"/>
  <c r="AF39" i="21"/>
  <c r="AR39" i="21"/>
  <c r="AG39" i="21"/>
  <c r="AS39" i="21"/>
  <c r="AA39" i="21"/>
  <c r="AB39" i="21"/>
  <c r="AI39" i="21"/>
  <c r="AJ39" i="21"/>
  <c r="AL39" i="21"/>
  <c r="AM39" i="21"/>
  <c r="AN39" i="21"/>
  <c r="AO39" i="21"/>
  <c r="AP39" i="21"/>
  <c r="AC40" i="21"/>
  <c r="AE40" i="21"/>
  <c r="F40" i="21"/>
  <c r="I40" i="21"/>
  <c r="H40" i="21"/>
  <c r="K40" i="21"/>
  <c r="AD40" i="21"/>
  <c r="AF40" i="21"/>
  <c r="AR40" i="21"/>
  <c r="AG40" i="21"/>
  <c r="AS40" i="21"/>
  <c r="AA40" i="21"/>
  <c r="AB40" i="21"/>
  <c r="AI40" i="21"/>
  <c r="AJ40" i="21"/>
  <c r="AL40" i="21"/>
  <c r="AM40" i="21"/>
  <c r="AN40" i="21"/>
  <c r="AO40" i="21"/>
  <c r="AP40" i="21"/>
  <c r="AC43" i="21"/>
  <c r="AE43" i="21"/>
  <c r="X13" i="6"/>
  <c r="Y41" i="21"/>
  <c r="X39" i="21"/>
  <c r="I20" i="21"/>
  <c r="X33" i="6"/>
  <c r="Y43" i="21"/>
  <c r="K20" i="21"/>
  <c r="AD20" i="21"/>
  <c r="AC20" i="21"/>
  <c r="AE20" i="21"/>
  <c r="AF20" i="21"/>
  <c r="AR20" i="21"/>
  <c r="AG20" i="21"/>
  <c r="AS20" i="21"/>
  <c r="AA20" i="21"/>
  <c r="B20" i="21"/>
  <c r="F43" i="21"/>
  <c r="AB20" i="21"/>
  <c r="I43" i="21"/>
  <c r="X23" i="6"/>
  <c r="Y42" i="21"/>
  <c r="I21" i="21"/>
  <c r="X43" i="6"/>
  <c r="Y44" i="21"/>
  <c r="K21" i="21"/>
  <c r="AD21" i="21"/>
  <c r="AC21" i="21"/>
  <c r="AE21" i="21"/>
  <c r="AF21" i="21"/>
  <c r="AR21" i="21"/>
  <c r="AG21" i="21"/>
  <c r="AS21" i="21"/>
  <c r="AA21" i="21"/>
  <c r="B21" i="21"/>
  <c r="H43" i="21"/>
  <c r="AB21" i="21"/>
  <c r="K43" i="21"/>
  <c r="AD43" i="21"/>
  <c r="AF43" i="21"/>
  <c r="AR43" i="21"/>
  <c r="AG43" i="21"/>
  <c r="AS43" i="21"/>
  <c r="AA43" i="21"/>
  <c r="AB43" i="21"/>
  <c r="AI43" i="21"/>
  <c r="AJ43" i="21"/>
  <c r="AL43" i="21"/>
  <c r="AM43" i="21"/>
  <c r="AN43" i="21"/>
  <c r="AO43" i="21"/>
  <c r="AP43" i="21"/>
  <c r="AC44" i="21"/>
  <c r="AE44" i="21"/>
  <c r="F44" i="21"/>
  <c r="I44" i="21"/>
  <c r="H44" i="21"/>
  <c r="K44" i="21"/>
  <c r="AD44" i="21"/>
  <c r="AF44" i="21"/>
  <c r="AR44" i="21"/>
  <c r="AG44" i="21"/>
  <c r="AS44" i="21"/>
  <c r="AA44" i="21"/>
  <c r="AB44" i="21"/>
  <c r="AI44" i="21"/>
  <c r="AJ44" i="21"/>
  <c r="AL44" i="21"/>
  <c r="AM44" i="21"/>
  <c r="AN44" i="21"/>
  <c r="AO44" i="21"/>
  <c r="AP44" i="21"/>
  <c r="AC47" i="21"/>
  <c r="AE47" i="21"/>
  <c r="X12" i="6"/>
  <c r="Y48" i="21"/>
  <c r="X46" i="21"/>
  <c r="I22" i="21"/>
  <c r="X32" i="6"/>
  <c r="Y50" i="21"/>
  <c r="K22" i="21"/>
  <c r="AD22" i="21"/>
  <c r="AC22" i="21"/>
  <c r="AE22" i="21"/>
  <c r="AF22" i="21"/>
  <c r="AR22" i="21"/>
  <c r="AG22" i="21"/>
  <c r="AS22" i="21"/>
  <c r="AA22" i="21"/>
  <c r="B22" i="21"/>
  <c r="F47" i="21"/>
  <c r="AB22" i="21"/>
  <c r="I47" i="21"/>
  <c r="X22" i="6"/>
  <c r="Y49" i="21"/>
  <c r="I23" i="21"/>
  <c r="X42" i="6"/>
  <c r="Y51" i="21"/>
  <c r="K23" i="21"/>
  <c r="AD23" i="21"/>
  <c r="AC23" i="21"/>
  <c r="AE23" i="21"/>
  <c r="AF23" i="21"/>
  <c r="AR23" i="21"/>
  <c r="AG23" i="21"/>
  <c r="AS23" i="21"/>
  <c r="AA23" i="21"/>
  <c r="B23" i="21"/>
  <c r="H47" i="21"/>
  <c r="AB23" i="21"/>
  <c r="K47" i="21"/>
  <c r="AD47" i="21"/>
  <c r="AF47" i="21"/>
  <c r="AR47" i="21"/>
  <c r="AG47" i="21"/>
  <c r="AS47" i="21"/>
  <c r="AA47" i="21"/>
  <c r="AB47" i="21"/>
  <c r="AI47" i="21"/>
  <c r="AJ47" i="21"/>
  <c r="AL47" i="21"/>
  <c r="AM47" i="21"/>
  <c r="AN47" i="21"/>
  <c r="AO47" i="21"/>
  <c r="AP47" i="21"/>
  <c r="AC50" i="21"/>
  <c r="AE50" i="21"/>
  <c r="F50" i="21"/>
  <c r="I50" i="21"/>
  <c r="H50" i="21"/>
  <c r="K50" i="21"/>
  <c r="AD50" i="21"/>
  <c r="AF50" i="21"/>
  <c r="AR50" i="21"/>
  <c r="AG50" i="21"/>
  <c r="AS50" i="21"/>
  <c r="AA50" i="21"/>
  <c r="AB50" i="21"/>
  <c r="AI50" i="21"/>
  <c r="AJ50" i="21"/>
  <c r="AL50" i="21"/>
  <c r="AM50" i="21"/>
  <c r="AN50" i="21"/>
  <c r="AO50" i="21"/>
  <c r="AP50" i="21"/>
  <c r="G9" i="44"/>
  <c r="AQ48" i="49"/>
  <c r="H47" i="49"/>
  <c r="AQ49" i="49"/>
  <c r="J47" i="49"/>
  <c r="AV10" i="49"/>
  <c r="AW47" i="49"/>
  <c r="AX47" i="49"/>
  <c r="AY47" i="49"/>
  <c r="AV47" i="49"/>
  <c r="V47" i="49"/>
  <c r="U47" i="49"/>
  <c r="T47" i="49"/>
  <c r="AQ41" i="49"/>
  <c r="H46" i="49"/>
  <c r="AQ42" i="49"/>
  <c r="J46" i="49"/>
  <c r="AW46" i="49"/>
  <c r="AX46" i="49"/>
  <c r="AY46" i="49"/>
  <c r="AV46" i="49"/>
  <c r="V46" i="49"/>
  <c r="U46" i="49"/>
  <c r="T46" i="49"/>
  <c r="AQ34" i="49"/>
  <c r="H45" i="49"/>
  <c r="AQ35" i="49"/>
  <c r="J45" i="49"/>
  <c r="AW45" i="49"/>
  <c r="AX45" i="49"/>
  <c r="AY45" i="49"/>
  <c r="AV45" i="49"/>
  <c r="V45" i="49"/>
  <c r="U45" i="49"/>
  <c r="T45" i="49"/>
  <c r="AQ27" i="49"/>
  <c r="H44" i="49"/>
  <c r="AQ28" i="49"/>
  <c r="J44" i="49"/>
  <c r="AW44" i="49"/>
  <c r="AX44" i="49"/>
  <c r="AY44" i="49"/>
  <c r="AV44" i="49"/>
  <c r="V44" i="49"/>
  <c r="U44" i="49"/>
  <c r="T44" i="49"/>
  <c r="AQ20" i="49"/>
  <c r="H43" i="49"/>
  <c r="AQ21" i="49"/>
  <c r="J43" i="49"/>
  <c r="AW43" i="49"/>
  <c r="AX43" i="49"/>
  <c r="AY43" i="49"/>
  <c r="AV43" i="49"/>
  <c r="V43" i="49"/>
  <c r="U43" i="49"/>
  <c r="T43" i="49"/>
  <c r="AQ13" i="49"/>
  <c r="H42" i="49"/>
  <c r="AQ14" i="49"/>
  <c r="J42" i="49"/>
  <c r="AW42" i="49"/>
  <c r="AX42" i="49"/>
  <c r="AY42" i="49"/>
  <c r="AV42" i="49"/>
  <c r="V42" i="49"/>
  <c r="U42" i="49"/>
  <c r="T42" i="49"/>
  <c r="AQ50" i="49"/>
  <c r="H41" i="49"/>
  <c r="AQ47" i="49"/>
  <c r="J41" i="49"/>
  <c r="AW41" i="49"/>
  <c r="AX41" i="49"/>
  <c r="AY41" i="49"/>
  <c r="AV41" i="49"/>
  <c r="V41" i="49"/>
  <c r="U41" i="49"/>
  <c r="T41" i="49"/>
  <c r="AQ43" i="49"/>
  <c r="H40" i="49"/>
  <c r="AQ40" i="49"/>
  <c r="J40" i="49"/>
  <c r="AW40" i="49"/>
  <c r="AX40" i="49"/>
  <c r="AY40" i="49"/>
  <c r="AV40" i="49"/>
  <c r="V40" i="49"/>
  <c r="U40" i="49"/>
  <c r="T40" i="49"/>
  <c r="AQ36" i="49"/>
  <c r="H39" i="49"/>
  <c r="AQ33" i="49"/>
  <c r="J39" i="49"/>
  <c r="AW39" i="49"/>
  <c r="AX39" i="49"/>
  <c r="AY39" i="49"/>
  <c r="AV39" i="49"/>
  <c r="V39" i="49"/>
  <c r="U39" i="49"/>
  <c r="T39" i="49"/>
  <c r="AQ29" i="49"/>
  <c r="H38" i="49"/>
  <c r="AQ26" i="49"/>
  <c r="J38" i="49"/>
  <c r="AW38" i="49"/>
  <c r="AX38" i="49"/>
  <c r="AY38" i="49"/>
  <c r="AV38" i="49"/>
  <c r="V38" i="49"/>
  <c r="U38" i="49"/>
  <c r="T38" i="49"/>
  <c r="AQ22" i="49"/>
  <c r="H37" i="49"/>
  <c r="AQ19" i="49"/>
  <c r="J37" i="49"/>
  <c r="AW37" i="49"/>
  <c r="AX37" i="49"/>
  <c r="AY37" i="49"/>
  <c r="AV37" i="49"/>
  <c r="V37" i="49"/>
  <c r="U37" i="49"/>
  <c r="T37" i="49"/>
  <c r="AQ15" i="49"/>
  <c r="H36" i="49"/>
  <c r="AQ12" i="49"/>
  <c r="J36" i="49"/>
  <c r="AW36" i="49"/>
  <c r="AX36" i="49"/>
  <c r="AY36" i="49"/>
  <c r="AV36" i="49"/>
  <c r="V36" i="49"/>
  <c r="U36" i="49"/>
  <c r="T36" i="49"/>
  <c r="H35" i="49"/>
  <c r="J35" i="49"/>
  <c r="AW35" i="49"/>
  <c r="AX35" i="49"/>
  <c r="AY35" i="49"/>
  <c r="AV35" i="49"/>
  <c r="V35" i="49"/>
  <c r="U35" i="49"/>
  <c r="T35" i="49"/>
  <c r="H34" i="49"/>
  <c r="J34" i="49"/>
  <c r="AW34" i="49"/>
  <c r="AX34" i="49"/>
  <c r="AY34" i="49"/>
  <c r="AV34" i="49"/>
  <c r="V34" i="49"/>
  <c r="U34" i="49"/>
  <c r="T34" i="49"/>
  <c r="H33" i="49"/>
  <c r="J33" i="49"/>
  <c r="AW33" i="49"/>
  <c r="AX33" i="49"/>
  <c r="AY33" i="49"/>
  <c r="AV33" i="49"/>
  <c r="V33" i="49"/>
  <c r="U33" i="49"/>
  <c r="T33" i="49"/>
  <c r="H32" i="49"/>
  <c r="J32" i="49"/>
  <c r="AW32" i="49"/>
  <c r="AX32" i="49"/>
  <c r="AY32" i="49"/>
  <c r="AV32" i="49"/>
  <c r="V32" i="49"/>
  <c r="U32" i="49"/>
  <c r="T32" i="49"/>
  <c r="H31" i="49"/>
  <c r="J31" i="49"/>
  <c r="AW31" i="49"/>
  <c r="AX31" i="49"/>
  <c r="AY31" i="49"/>
  <c r="AV31" i="49"/>
  <c r="V31" i="49"/>
  <c r="U31" i="49"/>
  <c r="T31" i="49"/>
  <c r="H30" i="49"/>
  <c r="J30" i="49"/>
  <c r="AW30" i="49"/>
  <c r="AX30" i="49"/>
  <c r="AY30" i="49"/>
  <c r="AV30" i="49"/>
  <c r="V30" i="49"/>
  <c r="U30" i="49"/>
  <c r="T30" i="49"/>
  <c r="H29" i="49"/>
  <c r="J29" i="49"/>
  <c r="AW29" i="49"/>
  <c r="AX29" i="49"/>
  <c r="AY29" i="49"/>
  <c r="AV29" i="49"/>
  <c r="V29" i="49"/>
  <c r="U29" i="49"/>
  <c r="T29" i="49"/>
  <c r="H28" i="49"/>
  <c r="J28" i="49"/>
  <c r="AW28" i="49"/>
  <c r="AX28" i="49"/>
  <c r="AY28" i="49"/>
  <c r="AV28" i="49"/>
  <c r="V28" i="49"/>
  <c r="U28" i="49"/>
  <c r="T28" i="49"/>
  <c r="H27" i="49"/>
  <c r="J27" i="49"/>
  <c r="AW27" i="49"/>
  <c r="AX27" i="49"/>
  <c r="AY27" i="49"/>
  <c r="AV27" i="49"/>
  <c r="V27" i="49"/>
  <c r="U27" i="49"/>
  <c r="T27" i="49"/>
  <c r="H26" i="49"/>
  <c r="J26" i="49"/>
  <c r="AW26" i="49"/>
  <c r="AX26" i="49"/>
  <c r="AY26" i="49"/>
  <c r="AV26" i="49"/>
  <c r="V26" i="49"/>
  <c r="U26" i="49"/>
  <c r="T26" i="49"/>
  <c r="H25" i="49"/>
  <c r="J25" i="49"/>
  <c r="AW25" i="49"/>
  <c r="AX25" i="49"/>
  <c r="AY25" i="49"/>
  <c r="AV25" i="49"/>
  <c r="V25" i="49"/>
  <c r="U25" i="49"/>
  <c r="T25" i="49"/>
  <c r="H24" i="49"/>
  <c r="J24" i="49"/>
  <c r="AW24" i="49"/>
  <c r="AX24" i="49"/>
  <c r="AY24" i="49"/>
  <c r="AV24" i="49"/>
  <c r="V24" i="49"/>
  <c r="U24" i="49"/>
  <c r="T24" i="49"/>
  <c r="H23" i="49"/>
  <c r="J23" i="49"/>
  <c r="AW23" i="49"/>
  <c r="AX23" i="49"/>
  <c r="AY23" i="49"/>
  <c r="AV23" i="49"/>
  <c r="V23" i="49"/>
  <c r="U23" i="49"/>
  <c r="T23" i="49"/>
  <c r="H22" i="49"/>
  <c r="J22" i="49"/>
  <c r="AW22" i="49"/>
  <c r="AX22" i="49"/>
  <c r="AY22" i="49"/>
  <c r="AV22" i="49"/>
  <c r="V22" i="49"/>
  <c r="U22" i="49"/>
  <c r="T22" i="49"/>
  <c r="H21" i="49"/>
  <c r="J21" i="49"/>
  <c r="AW21" i="49"/>
  <c r="AX21" i="49"/>
  <c r="AY21" i="49"/>
  <c r="AV21" i="49"/>
  <c r="V21" i="49"/>
  <c r="U21" i="49"/>
  <c r="T21" i="49"/>
  <c r="H20" i="49"/>
  <c r="J20" i="49"/>
  <c r="AW20" i="49"/>
  <c r="AX20" i="49"/>
  <c r="AY20" i="49"/>
  <c r="AV20" i="49"/>
  <c r="V20" i="49"/>
  <c r="U20" i="49"/>
  <c r="T20" i="49"/>
  <c r="H19" i="49"/>
  <c r="J19" i="49"/>
  <c r="AW19" i="49"/>
  <c r="AX19" i="49"/>
  <c r="AY19" i="49"/>
  <c r="AV19" i="49"/>
  <c r="V19" i="49"/>
  <c r="U19" i="49"/>
  <c r="T19" i="49"/>
  <c r="H18" i="49"/>
  <c r="J18" i="49"/>
  <c r="AW18" i="49"/>
  <c r="AX18" i="49"/>
  <c r="AY18" i="49"/>
  <c r="AV18" i="49"/>
  <c r="V18" i="49"/>
  <c r="U18" i="49"/>
  <c r="T18" i="49"/>
  <c r="H17" i="49"/>
  <c r="J17" i="49"/>
  <c r="AW17" i="49"/>
  <c r="AX17" i="49"/>
  <c r="AY17" i="49"/>
  <c r="AV17" i="49"/>
  <c r="V17" i="49"/>
  <c r="U17" i="49"/>
  <c r="T17" i="49"/>
  <c r="H16" i="49"/>
  <c r="J16" i="49"/>
  <c r="AW16" i="49"/>
  <c r="AX16" i="49"/>
  <c r="AY16" i="49"/>
  <c r="AV16" i="49"/>
  <c r="V16" i="49"/>
  <c r="U16" i="49"/>
  <c r="T16" i="49"/>
  <c r="H15" i="49"/>
  <c r="J15" i="49"/>
  <c r="AW15" i="49"/>
  <c r="AX15" i="49"/>
  <c r="AY15" i="49"/>
  <c r="AV15" i="49"/>
  <c r="V15" i="49"/>
  <c r="U15" i="49"/>
  <c r="T15" i="49"/>
  <c r="H14" i="49"/>
  <c r="J14" i="49"/>
  <c r="AW14" i="49"/>
  <c r="AX14" i="49"/>
  <c r="AY14" i="49"/>
  <c r="AV14" i="49"/>
  <c r="V14" i="49"/>
  <c r="U14" i="49"/>
  <c r="T14" i="49"/>
  <c r="H13" i="49"/>
  <c r="J13" i="49"/>
  <c r="AX13" i="49"/>
  <c r="AW13" i="49"/>
  <c r="AY13" i="49"/>
  <c r="AV13" i="49"/>
  <c r="V13" i="49"/>
  <c r="U13" i="49"/>
  <c r="T13" i="49"/>
  <c r="H12" i="49"/>
  <c r="J12" i="49"/>
  <c r="AW12" i="49"/>
  <c r="AX12" i="49"/>
  <c r="AY12" i="49"/>
  <c r="AV12" i="49"/>
  <c r="V12" i="49"/>
  <c r="T12" i="49"/>
  <c r="AB10" i="39"/>
  <c r="AD13" i="39"/>
  <c r="AF13" i="39"/>
  <c r="Y14" i="39"/>
  <c r="I13" i="39"/>
  <c r="Y16" i="39"/>
  <c r="K13" i="39"/>
  <c r="AE13" i="39"/>
  <c r="AG13" i="39"/>
  <c r="AM13" i="39"/>
  <c r="AN13" i="39"/>
  <c r="AO13" i="39"/>
  <c r="AP13" i="39"/>
  <c r="AS13" i="39"/>
  <c r="AH13" i="39"/>
  <c r="AQ13" i="39"/>
  <c r="AT13" i="39"/>
  <c r="AB13" i="39"/>
  <c r="AC13" i="39"/>
  <c r="AJ13" i="39"/>
  <c r="AK13" i="39"/>
  <c r="AD15" i="39"/>
  <c r="AF15" i="39"/>
  <c r="Y13" i="39"/>
  <c r="I12" i="39"/>
  <c r="Y15" i="39"/>
  <c r="K12" i="39"/>
  <c r="AE12" i="39"/>
  <c r="AD12" i="39"/>
  <c r="AF12" i="39"/>
  <c r="AG12" i="39"/>
  <c r="AM12" i="39"/>
  <c r="AN12" i="39"/>
  <c r="AO12" i="39"/>
  <c r="AP12" i="39"/>
  <c r="AS12" i="39"/>
  <c r="AH12" i="39"/>
  <c r="AQ12" i="39"/>
  <c r="AT12" i="39"/>
  <c r="AC12" i="39"/>
  <c r="I15" i="39"/>
  <c r="K15" i="39"/>
  <c r="AE15" i="39"/>
  <c r="AG15" i="39"/>
  <c r="AM15" i="39"/>
  <c r="AN15" i="39"/>
  <c r="AO15" i="39"/>
  <c r="AP15" i="39"/>
  <c r="AS15" i="39"/>
  <c r="AH15" i="39"/>
  <c r="AQ15" i="39"/>
  <c r="AT15" i="39"/>
  <c r="AB15" i="39"/>
  <c r="AC15" i="39"/>
  <c r="AJ15" i="39"/>
  <c r="AK15" i="39"/>
  <c r="AD16" i="39"/>
  <c r="AF16" i="39"/>
  <c r="AB12" i="39"/>
  <c r="I16" i="39"/>
  <c r="K16" i="39"/>
  <c r="AE16" i="39"/>
  <c r="AG16" i="39"/>
  <c r="AM16" i="39"/>
  <c r="AN16" i="39"/>
  <c r="AO16" i="39"/>
  <c r="AP16" i="39"/>
  <c r="AS16" i="39"/>
  <c r="AH16" i="39"/>
  <c r="AQ16" i="39"/>
  <c r="AT16" i="39"/>
  <c r="AB16" i="39"/>
  <c r="AC16" i="39"/>
  <c r="AJ16" i="39"/>
  <c r="AK16" i="39"/>
  <c r="AK12" i="39"/>
  <c r="AJ12" i="39"/>
  <c r="AB10" i="24"/>
  <c r="AD13" i="24"/>
  <c r="AF13" i="24"/>
  <c r="Y21" i="24"/>
  <c r="I13" i="24"/>
  <c r="Y16" i="24"/>
  <c r="K13" i="24"/>
  <c r="AE13" i="24"/>
  <c r="AG13" i="24"/>
  <c r="AM13" i="24"/>
  <c r="AN13" i="24"/>
  <c r="AO13" i="24"/>
  <c r="AP13" i="24"/>
  <c r="AS13" i="24"/>
  <c r="AH13" i="24"/>
  <c r="AQ13" i="24"/>
  <c r="AT13" i="24"/>
  <c r="AB13" i="24"/>
  <c r="AC13" i="24"/>
  <c r="AJ13" i="24"/>
  <c r="AK13" i="24"/>
  <c r="AD14" i="24"/>
  <c r="AF14" i="24"/>
  <c r="Y22" i="24"/>
  <c r="I14" i="24"/>
  <c r="Y13" i="24"/>
  <c r="K14" i="24"/>
  <c r="AE14" i="24"/>
  <c r="AG14" i="24"/>
  <c r="AM14" i="24"/>
  <c r="AN14" i="24"/>
  <c r="AO14" i="24"/>
  <c r="AP14" i="24"/>
  <c r="AS14" i="24"/>
  <c r="AH14" i="24"/>
  <c r="AQ14" i="24"/>
  <c r="AT14" i="24"/>
  <c r="AB14" i="24"/>
  <c r="AC14" i="24"/>
  <c r="AJ14" i="24"/>
  <c r="AK14" i="24"/>
  <c r="AD15" i="24"/>
  <c r="AF15" i="24"/>
  <c r="Y23" i="24"/>
  <c r="I15" i="24"/>
  <c r="Y14" i="24"/>
  <c r="K15" i="24"/>
  <c r="AE15" i="24"/>
  <c r="AG15" i="24"/>
  <c r="AM15" i="24"/>
  <c r="AN15" i="24"/>
  <c r="AO15" i="24"/>
  <c r="AP15" i="24"/>
  <c r="AS15" i="24"/>
  <c r="AH15" i="24"/>
  <c r="AQ15" i="24"/>
  <c r="AT15" i="24"/>
  <c r="AB15" i="24"/>
  <c r="AC15" i="24"/>
  <c r="AJ15" i="24"/>
  <c r="AK15" i="24"/>
  <c r="AD17" i="24"/>
  <c r="AF17" i="24"/>
  <c r="Y20" i="24"/>
  <c r="I12" i="24"/>
  <c r="Y15" i="24"/>
  <c r="K12" i="24"/>
  <c r="AE12" i="24"/>
  <c r="AD12" i="24"/>
  <c r="AF12" i="24"/>
  <c r="AG12" i="24"/>
  <c r="AM12" i="24"/>
  <c r="AN12" i="24"/>
  <c r="AO12" i="24"/>
  <c r="AP12" i="24"/>
  <c r="AS12" i="24"/>
  <c r="AH12" i="24"/>
  <c r="AQ12" i="24"/>
  <c r="AT12" i="24"/>
  <c r="AB12" i="24"/>
  <c r="I17" i="24"/>
  <c r="K17" i="24"/>
  <c r="AE17" i="24"/>
  <c r="AG17" i="24"/>
  <c r="AM17" i="24"/>
  <c r="AN17" i="24"/>
  <c r="AO17" i="24"/>
  <c r="AP17" i="24"/>
  <c r="AS17" i="24"/>
  <c r="AH17" i="24"/>
  <c r="AQ17" i="24"/>
  <c r="AT17" i="24"/>
  <c r="AB17" i="24"/>
  <c r="AC17" i="24"/>
  <c r="AJ17" i="24"/>
  <c r="AK17" i="24"/>
  <c r="AD18" i="24"/>
  <c r="AF18" i="24"/>
  <c r="I18" i="24"/>
  <c r="K18" i="24"/>
  <c r="AE18" i="24"/>
  <c r="AG18" i="24"/>
  <c r="AM18" i="24"/>
  <c r="AN18" i="24"/>
  <c r="AO18" i="24"/>
  <c r="AP18" i="24"/>
  <c r="AS18" i="24"/>
  <c r="AH18" i="24"/>
  <c r="AQ18" i="24"/>
  <c r="AT18" i="24"/>
  <c r="AB18" i="24"/>
  <c r="AC18" i="24"/>
  <c r="AJ18" i="24"/>
  <c r="AK18" i="24"/>
  <c r="AD20" i="24"/>
  <c r="AF20" i="24"/>
  <c r="I20" i="24"/>
  <c r="K20" i="24"/>
  <c r="AE20" i="24"/>
  <c r="AG20" i="24"/>
  <c r="AM20" i="24"/>
  <c r="AN20" i="24"/>
  <c r="AO20" i="24"/>
  <c r="AP20" i="24"/>
  <c r="AS20" i="24"/>
  <c r="AH20" i="24"/>
  <c r="AQ20" i="24"/>
  <c r="AT20" i="24"/>
  <c r="AB20" i="24"/>
  <c r="AC20" i="24"/>
  <c r="AJ20" i="24"/>
  <c r="AK20" i="24"/>
  <c r="AD21" i="24"/>
  <c r="AF21" i="24"/>
  <c r="I21" i="24"/>
  <c r="K21" i="24"/>
  <c r="AE21" i="24"/>
  <c r="AG21" i="24"/>
  <c r="AM21" i="24"/>
  <c r="AN21" i="24"/>
  <c r="AO21" i="24"/>
  <c r="AP21" i="24"/>
  <c r="AS21" i="24"/>
  <c r="AH21" i="24"/>
  <c r="AQ21" i="24"/>
  <c r="AT21" i="24"/>
  <c r="AB21" i="24"/>
  <c r="AC21" i="24"/>
  <c r="AJ21" i="24"/>
  <c r="AK21" i="24"/>
  <c r="AK12" i="24"/>
  <c r="AJ12" i="24"/>
  <c r="AC12" i="24"/>
  <c r="Y17" i="21" a="1"/>
  <c r="Y19" i="21"/>
  <c r="Y24" i="21" a="1"/>
  <c r="Y26" i="21"/>
  <c r="Y31" i="21" a="1"/>
  <c r="Y33" i="21"/>
  <c r="Y38" i="21" a="1"/>
  <c r="Y40" i="21"/>
  <c r="Y45" i="21" a="1"/>
  <c r="Y47" i="21"/>
  <c r="Y52" i="21" a="1"/>
  <c r="AL22" i="21"/>
  <c r="AM22" i="21"/>
  <c r="AN22" i="21"/>
  <c r="AO22" i="21"/>
  <c r="AP22" i="21"/>
  <c r="C12" i="21" a="1"/>
  <c r="V10" i="22"/>
  <c r="V11" i="22"/>
  <c r="S13" i="22" a="1"/>
  <c r="S13" i="22"/>
  <c r="Q65" i="22"/>
  <c r="D12" i="21"/>
  <c r="E12" i="21"/>
  <c r="M12" i="21"/>
  <c r="P12" i="21"/>
  <c r="S12" i="21"/>
  <c r="Y12" i="21"/>
  <c r="AL12" i="21"/>
  <c r="AM12" i="21"/>
  <c r="AN12" i="21"/>
  <c r="AO12" i="21"/>
  <c r="AP12" i="21"/>
  <c r="C13" i="21" a="1"/>
  <c r="C13" i="21"/>
  <c r="C12" i="21"/>
  <c r="D13" i="21" a="1"/>
  <c r="E13" i="21"/>
  <c r="M13" i="21"/>
  <c r="P13" i="21"/>
  <c r="S13" i="21"/>
  <c r="AL13" i="21"/>
  <c r="AM13" i="21"/>
  <c r="AN13" i="21"/>
  <c r="AO13" i="21"/>
  <c r="AP13" i="21"/>
  <c r="C14" i="21" a="1"/>
  <c r="C14" i="21"/>
  <c r="D14" i="21" a="1"/>
  <c r="E14" i="21"/>
  <c r="M14" i="21"/>
  <c r="P14" i="21"/>
  <c r="S14" i="21"/>
  <c r="AL14" i="21"/>
  <c r="AM14" i="21"/>
  <c r="AN14" i="21"/>
  <c r="AO14" i="21"/>
  <c r="AP14" i="21"/>
  <c r="C15" i="21" a="1"/>
  <c r="C15" i="21"/>
  <c r="D15" i="21" a="1"/>
  <c r="E15" i="21"/>
  <c r="M15" i="21"/>
  <c r="P15" i="21"/>
  <c r="S15" i="21"/>
  <c r="AL15" i="21"/>
  <c r="AM15" i="21"/>
  <c r="AN15" i="21"/>
  <c r="AO15" i="21"/>
  <c r="AP15" i="21"/>
  <c r="C16" i="21" a="1"/>
  <c r="C16" i="21"/>
  <c r="D16" i="21" a="1"/>
  <c r="E16" i="21"/>
  <c r="M16" i="21"/>
  <c r="P16" i="21"/>
  <c r="S16" i="21"/>
  <c r="AL16" i="21"/>
  <c r="AM16" i="21"/>
  <c r="AN16" i="21"/>
  <c r="AO16" i="21"/>
  <c r="AP16" i="21"/>
  <c r="C17" i="21" a="1"/>
  <c r="C17" i="21"/>
  <c r="D17" i="21" a="1"/>
  <c r="E17" i="21"/>
  <c r="M17" i="21"/>
  <c r="P17" i="21"/>
  <c r="S17" i="21"/>
  <c r="Y17" i="21"/>
  <c r="AL17" i="21"/>
  <c r="AM17" i="21"/>
  <c r="AN17" i="21"/>
  <c r="AO17" i="21"/>
  <c r="AP17" i="21"/>
  <c r="C18" i="21" a="1"/>
  <c r="C18" i="21"/>
  <c r="D18" i="21" a="1"/>
  <c r="E18" i="21"/>
  <c r="M18" i="21"/>
  <c r="P18" i="21"/>
  <c r="S18" i="21"/>
  <c r="AL18" i="21"/>
  <c r="AM18" i="21"/>
  <c r="AN18" i="21"/>
  <c r="AO18" i="21"/>
  <c r="AP18" i="21"/>
  <c r="C19" i="21" a="1"/>
  <c r="C19" i="21"/>
  <c r="D19" i="21" a="1"/>
  <c r="E19" i="21"/>
  <c r="M19" i="21"/>
  <c r="P19" i="21"/>
  <c r="S19" i="21"/>
  <c r="AL19" i="21"/>
  <c r="AM19" i="21"/>
  <c r="AN19" i="21"/>
  <c r="AO19" i="21"/>
  <c r="AP19" i="21"/>
  <c r="C20" i="21" a="1"/>
  <c r="C20" i="21"/>
  <c r="D20" i="21" a="1"/>
  <c r="E20" i="21"/>
  <c r="M20" i="21"/>
  <c r="P20" i="21"/>
  <c r="S20" i="21"/>
  <c r="AL20" i="21"/>
  <c r="AM20" i="21"/>
  <c r="AN20" i="21"/>
  <c r="AO20" i="21"/>
  <c r="AP20" i="21"/>
  <c r="C21" i="21" a="1"/>
  <c r="C21" i="21"/>
  <c r="D21" i="21" a="1"/>
  <c r="E21" i="21"/>
  <c r="M21" i="21"/>
  <c r="P21" i="21"/>
  <c r="S21" i="21"/>
  <c r="AL21" i="21"/>
  <c r="AM21" i="21"/>
  <c r="AN21" i="21"/>
  <c r="AO21" i="21"/>
  <c r="AP21" i="21"/>
  <c r="C22" i="21" a="1"/>
  <c r="C22" i="21"/>
  <c r="D22" i="21" a="1"/>
  <c r="E22" i="21"/>
  <c r="M22" i="21"/>
  <c r="P22" i="21"/>
  <c r="S22" i="21"/>
  <c r="C23" i="21" a="1"/>
  <c r="C23" i="21"/>
  <c r="D23" i="21" a="1"/>
  <c r="E23" i="21"/>
  <c r="M23" i="21"/>
  <c r="P23" i="21"/>
  <c r="S23" i="21"/>
  <c r="AL23" i="21"/>
  <c r="AM23" i="21"/>
  <c r="AN23" i="21"/>
  <c r="AO23" i="21"/>
  <c r="AP23" i="21"/>
  <c r="AI13" i="21"/>
  <c r="AJ13" i="21"/>
  <c r="AI14" i="21"/>
  <c r="AJ14" i="21"/>
  <c r="AI15" i="21"/>
  <c r="AJ15" i="21"/>
  <c r="AI16" i="21"/>
  <c r="AJ16" i="21"/>
  <c r="AI17" i="21"/>
  <c r="AJ17" i="21"/>
  <c r="AI18" i="21"/>
  <c r="AJ18" i="21"/>
  <c r="AI19" i="21"/>
  <c r="AJ19" i="21"/>
  <c r="AI20" i="21"/>
  <c r="AJ20" i="21"/>
  <c r="AI21" i="21"/>
  <c r="AJ21" i="21"/>
  <c r="AI22" i="21"/>
  <c r="AJ22" i="21"/>
  <c r="AI23" i="21"/>
  <c r="AJ23" i="21"/>
  <c r="AJ12" i="21"/>
  <c r="AI12" i="21"/>
  <c r="BA10" i="6"/>
  <c r="BB71" i="6"/>
  <c r="BC71" i="6"/>
  <c r="BD71" i="6"/>
  <c r="S71" i="6"/>
  <c r="BB70" i="6"/>
  <c r="BC70" i="6"/>
  <c r="BD70" i="6"/>
  <c r="S70" i="6"/>
  <c r="BB69" i="6"/>
  <c r="BC69" i="6"/>
  <c r="BD69" i="6"/>
  <c r="S69" i="6"/>
  <c r="BB68" i="6"/>
  <c r="BC68" i="6"/>
  <c r="BD68" i="6"/>
  <c r="S68" i="6"/>
  <c r="BB67" i="6"/>
  <c r="BC67" i="6"/>
  <c r="BD67" i="6"/>
  <c r="S67" i="6"/>
  <c r="BB66" i="6"/>
  <c r="BC66" i="6"/>
  <c r="BD66" i="6"/>
  <c r="S66" i="6"/>
  <c r="BB65" i="6"/>
  <c r="BC65" i="6"/>
  <c r="BD65" i="6"/>
  <c r="S65" i="6"/>
  <c r="BB64" i="6"/>
  <c r="BC64" i="6"/>
  <c r="BD64" i="6"/>
  <c r="S64" i="6"/>
  <c r="BB63" i="6"/>
  <c r="BC63" i="6"/>
  <c r="BD63" i="6"/>
  <c r="S63" i="6"/>
  <c r="BB62" i="6"/>
  <c r="BC62" i="6"/>
  <c r="BD62" i="6"/>
  <c r="S62" i="6"/>
  <c r="BB61" i="6"/>
  <c r="BC61" i="6"/>
  <c r="BD61" i="6"/>
  <c r="S61" i="6"/>
  <c r="BB60" i="6"/>
  <c r="BC60" i="6"/>
  <c r="BD60" i="6"/>
  <c r="S60" i="6"/>
  <c r="BB59" i="6"/>
  <c r="BC59" i="6"/>
  <c r="BD59" i="6"/>
  <c r="S59" i="6"/>
  <c r="BB58" i="6"/>
  <c r="BC58" i="6"/>
  <c r="BD58" i="6"/>
  <c r="S58" i="6"/>
  <c r="BB57" i="6"/>
  <c r="BC57" i="6"/>
  <c r="BD57" i="6"/>
  <c r="S57" i="6"/>
  <c r="BB56" i="6"/>
  <c r="BC56" i="6"/>
  <c r="BD56" i="6"/>
  <c r="S56" i="6"/>
  <c r="BB55" i="6"/>
  <c r="BC55" i="6"/>
  <c r="BD55" i="6"/>
  <c r="S55" i="6"/>
  <c r="BB54" i="6"/>
  <c r="BC54" i="6"/>
  <c r="BD54" i="6"/>
  <c r="S54" i="6"/>
  <c r="BB53" i="6"/>
  <c r="BC53" i="6"/>
  <c r="BD53" i="6"/>
  <c r="S53" i="6"/>
  <c r="BB52" i="6"/>
  <c r="BC52" i="6"/>
  <c r="BD52" i="6"/>
  <c r="S52" i="6"/>
  <c r="BB51" i="6"/>
  <c r="BC51" i="6"/>
  <c r="BD51" i="6"/>
  <c r="S51" i="6"/>
  <c r="BB50" i="6"/>
  <c r="BC50" i="6"/>
  <c r="BD50" i="6"/>
  <c r="S50" i="6"/>
  <c r="BB49" i="6"/>
  <c r="BC49" i="6"/>
  <c r="BD49" i="6"/>
  <c r="S49" i="6"/>
  <c r="BB48" i="6"/>
  <c r="BC48" i="6"/>
  <c r="BD48" i="6"/>
  <c r="S48" i="6"/>
  <c r="BB47" i="6"/>
  <c r="BC47" i="6"/>
  <c r="BD47" i="6"/>
  <c r="S47" i="6"/>
  <c r="BB46" i="6"/>
  <c r="BC46" i="6"/>
  <c r="BD46" i="6"/>
  <c r="S46" i="6"/>
  <c r="BB45" i="6"/>
  <c r="BC45" i="6"/>
  <c r="BD45" i="6"/>
  <c r="S45" i="6"/>
  <c r="BB44" i="6"/>
  <c r="BC44" i="6"/>
  <c r="BD44" i="6"/>
  <c r="S44" i="6"/>
  <c r="BB43" i="6"/>
  <c r="BC43" i="6"/>
  <c r="BD43" i="6"/>
  <c r="S43" i="6"/>
  <c r="BB42" i="6"/>
  <c r="BC42" i="6"/>
  <c r="BD42" i="6"/>
  <c r="S42" i="6"/>
  <c r="BB41" i="6"/>
  <c r="BC41" i="6"/>
  <c r="BD41" i="6"/>
  <c r="S41" i="6"/>
  <c r="BB40" i="6"/>
  <c r="BC40" i="6"/>
  <c r="BD40" i="6"/>
  <c r="S40" i="6"/>
  <c r="BB39" i="6"/>
  <c r="BC39" i="6"/>
  <c r="BD39" i="6"/>
  <c r="S39" i="6"/>
  <c r="BB38" i="6"/>
  <c r="BC38" i="6"/>
  <c r="BD38" i="6"/>
  <c r="S38" i="6"/>
  <c r="BB37" i="6"/>
  <c r="BC37" i="6"/>
  <c r="BD37" i="6"/>
  <c r="S37" i="6"/>
  <c r="BB36" i="6"/>
  <c r="BC36" i="6"/>
  <c r="BD36" i="6"/>
  <c r="S36" i="6"/>
  <c r="BB35" i="6"/>
  <c r="BC35" i="6"/>
  <c r="BD35" i="6"/>
  <c r="S35" i="6"/>
  <c r="BB34" i="6"/>
  <c r="BC34" i="6"/>
  <c r="BD34" i="6"/>
  <c r="S34" i="6"/>
  <c r="BB33" i="6"/>
  <c r="BC33" i="6"/>
  <c r="BD33" i="6"/>
  <c r="S33" i="6"/>
  <c r="BB32" i="6"/>
  <c r="BC32" i="6"/>
  <c r="BD32" i="6"/>
  <c r="S32" i="6"/>
  <c r="BB31" i="6"/>
  <c r="BC31" i="6"/>
  <c r="BD31" i="6"/>
  <c r="S31" i="6"/>
  <c r="BB30" i="6"/>
  <c r="BC30" i="6"/>
  <c r="BD30" i="6"/>
  <c r="S30" i="6"/>
  <c r="BB29" i="6"/>
  <c r="BC29" i="6"/>
  <c r="BD29" i="6"/>
  <c r="S29" i="6"/>
  <c r="BB28" i="6"/>
  <c r="BC28" i="6"/>
  <c r="BD28" i="6"/>
  <c r="S28" i="6"/>
  <c r="BB27" i="6"/>
  <c r="BC27" i="6"/>
  <c r="BD27" i="6"/>
  <c r="S27" i="6"/>
  <c r="BB26" i="6"/>
  <c r="BC26" i="6"/>
  <c r="BD26" i="6"/>
  <c r="S26" i="6"/>
  <c r="BB25" i="6"/>
  <c r="BC25" i="6"/>
  <c r="BD25" i="6"/>
  <c r="S25" i="6"/>
  <c r="BB24" i="6"/>
  <c r="BC24" i="6"/>
  <c r="BD24" i="6"/>
  <c r="S24" i="6"/>
  <c r="BB23" i="6"/>
  <c r="BC23" i="6"/>
  <c r="BD23" i="6"/>
  <c r="S23" i="6"/>
  <c r="BB22" i="6"/>
  <c r="BC22" i="6"/>
  <c r="BD22" i="6"/>
  <c r="S22" i="6"/>
  <c r="BB21" i="6"/>
  <c r="BC21" i="6"/>
  <c r="BD21" i="6"/>
  <c r="S21" i="6"/>
  <c r="BB20" i="6"/>
  <c r="BC20" i="6"/>
  <c r="BD20" i="6"/>
  <c r="S20" i="6"/>
  <c r="BB19" i="6"/>
  <c r="BC19" i="6"/>
  <c r="BD19" i="6"/>
  <c r="S19" i="6"/>
  <c r="BB18" i="6"/>
  <c r="BC18" i="6"/>
  <c r="BD18" i="6"/>
  <c r="S18" i="6"/>
  <c r="BB17" i="6"/>
  <c r="BC17" i="6"/>
  <c r="BD17" i="6"/>
  <c r="S17" i="6"/>
  <c r="BB16" i="6"/>
  <c r="BC16" i="6"/>
  <c r="BD16" i="6"/>
  <c r="S16" i="6"/>
  <c r="BB15" i="6"/>
  <c r="BC15" i="6"/>
  <c r="BD15" i="6"/>
  <c r="S15" i="6"/>
  <c r="BB14" i="6"/>
  <c r="BC14" i="6"/>
  <c r="BD14" i="6"/>
  <c r="S14" i="6"/>
  <c r="BB13" i="6"/>
  <c r="S13" i="6"/>
  <c r="BC12" i="6"/>
  <c r="BB12" i="6"/>
  <c r="BD12" i="6"/>
  <c r="B43" i="44"/>
  <c r="B44" i="44"/>
  <c r="B38" i="44"/>
  <c r="B37" i="44"/>
  <c r="E139" i="9"/>
  <c r="E140" i="9"/>
  <c r="E141" i="9"/>
  <c r="E142" i="9"/>
  <c r="B3" i="47"/>
  <c r="B3" i="48"/>
  <c r="AG123" i="35"/>
  <c r="AF123" i="35"/>
  <c r="AC123" i="35"/>
  <c r="AB123" i="35"/>
  <c r="Z123" i="35"/>
  <c r="AG122" i="35"/>
  <c r="AF122" i="35"/>
  <c r="AC122" i="35"/>
  <c r="AB122" i="35"/>
  <c r="Z122" i="35"/>
  <c r="AG121" i="35"/>
  <c r="AF121" i="35"/>
  <c r="AC121" i="35"/>
  <c r="AB121" i="35"/>
  <c r="Z121" i="35"/>
  <c r="AG120" i="35"/>
  <c r="AF120" i="35"/>
  <c r="AC120" i="35"/>
  <c r="AB120" i="35"/>
  <c r="Z120" i="35"/>
  <c r="AG119" i="35"/>
  <c r="AF119" i="35"/>
  <c r="AC119" i="35"/>
  <c r="AB119" i="35"/>
  <c r="Z119" i="35"/>
  <c r="AG118" i="35"/>
  <c r="AF118" i="35"/>
  <c r="AC118" i="35"/>
  <c r="AB118" i="35"/>
  <c r="Z118" i="35"/>
  <c r="AG117" i="35"/>
  <c r="AF117" i="35"/>
  <c r="AC117" i="35"/>
  <c r="AB117" i="35"/>
  <c r="Z117" i="35"/>
  <c r="AG116" i="35"/>
  <c r="AF116" i="35"/>
  <c r="AC116" i="35"/>
  <c r="AB116" i="35"/>
  <c r="Z116" i="35"/>
  <c r="AG115" i="35"/>
  <c r="AF115" i="35"/>
  <c r="AC115" i="35"/>
  <c r="AB115" i="35"/>
  <c r="Z115" i="35"/>
  <c r="AG114" i="35"/>
  <c r="AF114" i="35"/>
  <c r="AC114" i="35"/>
  <c r="AB114" i="35"/>
  <c r="Z114" i="35"/>
  <c r="AG113" i="35"/>
  <c r="AF113" i="35"/>
  <c r="AC113" i="35"/>
  <c r="AB113" i="35"/>
  <c r="Z113" i="35"/>
  <c r="AG112" i="35"/>
  <c r="AF112" i="35"/>
  <c r="AC112" i="35"/>
  <c r="AB112" i="35"/>
  <c r="Z112" i="35"/>
  <c r="AG111" i="35"/>
  <c r="AF111" i="35"/>
  <c r="AC111" i="35"/>
  <c r="AB111" i="35"/>
  <c r="Z111" i="35"/>
  <c r="AG110" i="35"/>
  <c r="AF110" i="35"/>
  <c r="AC110" i="35"/>
  <c r="AB110" i="35"/>
  <c r="Z110" i="35"/>
  <c r="AG109" i="35"/>
  <c r="AF109" i="35"/>
  <c r="AC109" i="35"/>
  <c r="AB109" i="35"/>
  <c r="Z109" i="35"/>
  <c r="AG108" i="35"/>
  <c r="AF108" i="35"/>
  <c r="AC108" i="35"/>
  <c r="AB108" i="35"/>
  <c r="Z108" i="35"/>
  <c r="AG107" i="35"/>
  <c r="AF107" i="35"/>
  <c r="AC107" i="35"/>
  <c r="AB107" i="35"/>
  <c r="Z107" i="35"/>
  <c r="AG106" i="35"/>
  <c r="AF106" i="35"/>
  <c r="AC106" i="35"/>
  <c r="AB106" i="35"/>
  <c r="Z106" i="35"/>
  <c r="AG105" i="35"/>
  <c r="AF105" i="35"/>
  <c r="AC105" i="35"/>
  <c r="AB105" i="35"/>
  <c r="Z105" i="35"/>
  <c r="AG104" i="35"/>
  <c r="AF104" i="35"/>
  <c r="AC104" i="35"/>
  <c r="AB104" i="35"/>
  <c r="Z104" i="35"/>
  <c r="AC103" i="35"/>
  <c r="AB103" i="35"/>
  <c r="Z103" i="35"/>
  <c r="AC102" i="35"/>
  <c r="AB102" i="35"/>
  <c r="Z102" i="35"/>
  <c r="AC101" i="35"/>
  <c r="AB101" i="35"/>
  <c r="Z101" i="35"/>
  <c r="AC100" i="35"/>
  <c r="AB100" i="35"/>
  <c r="Z100" i="35"/>
  <c r="AC99" i="35"/>
  <c r="AB99" i="35"/>
  <c r="Z99" i="35"/>
  <c r="AC98" i="35"/>
  <c r="AB98" i="35"/>
  <c r="Z98" i="35"/>
  <c r="AC97" i="35"/>
  <c r="AB97" i="35"/>
  <c r="Z97" i="35"/>
  <c r="AC96" i="35"/>
  <c r="AB96" i="35"/>
  <c r="Z96" i="35"/>
  <c r="AC95" i="35"/>
  <c r="AB95" i="35"/>
  <c r="Z95" i="35"/>
  <c r="AC94" i="35"/>
  <c r="AB94" i="35"/>
  <c r="Z94" i="35"/>
  <c r="AC93" i="35"/>
  <c r="AB93" i="35"/>
  <c r="Z93" i="35"/>
  <c r="AC92" i="35"/>
  <c r="AB92" i="35"/>
  <c r="Z92" i="35"/>
  <c r="AC91" i="35"/>
  <c r="AB91" i="35"/>
  <c r="Z91" i="35"/>
  <c r="AC90" i="35"/>
  <c r="AB90" i="35"/>
  <c r="Z90" i="35"/>
  <c r="AC89" i="35"/>
  <c r="AB89" i="35"/>
  <c r="Z89" i="35"/>
  <c r="AC88" i="35"/>
  <c r="AB88" i="35"/>
  <c r="Z88" i="35"/>
  <c r="AC87" i="35"/>
  <c r="AB87" i="35"/>
  <c r="Z87" i="35"/>
  <c r="AC86" i="35"/>
  <c r="AB86" i="35"/>
  <c r="Z86" i="35"/>
  <c r="AC85" i="35"/>
  <c r="AB85" i="35"/>
  <c r="Z85" i="35"/>
  <c r="AC84" i="35"/>
  <c r="AB84" i="35"/>
  <c r="Z84" i="35"/>
  <c r="AC83" i="35"/>
  <c r="AB83" i="35"/>
  <c r="Z83" i="35"/>
  <c r="AC82" i="35"/>
  <c r="AB82" i="35"/>
  <c r="Z82" i="35"/>
  <c r="AC81" i="35"/>
  <c r="AB81" i="35"/>
  <c r="Z81" i="35"/>
  <c r="AC80" i="35"/>
  <c r="AB80" i="35"/>
  <c r="Z80" i="35"/>
  <c r="AC79" i="35"/>
  <c r="AB79" i="35"/>
  <c r="Z79" i="35"/>
  <c r="AC78" i="35"/>
  <c r="AB78" i="35"/>
  <c r="Z78" i="35"/>
  <c r="AC77" i="35"/>
  <c r="AB77" i="35"/>
  <c r="Z77" i="35"/>
  <c r="AC76" i="35"/>
  <c r="AB76" i="35"/>
  <c r="Z76" i="35"/>
  <c r="AC75" i="35"/>
  <c r="AB75" i="35"/>
  <c r="Z75" i="35"/>
  <c r="AC74" i="35"/>
  <c r="AB74" i="35"/>
  <c r="Z74" i="35"/>
  <c r="AC73" i="35"/>
  <c r="AB73" i="35"/>
  <c r="Z73" i="35"/>
  <c r="AC72" i="35"/>
  <c r="AB72" i="35"/>
  <c r="Z72" i="35"/>
  <c r="AC71" i="35"/>
  <c r="AB71" i="35"/>
  <c r="Z71" i="35"/>
  <c r="AC70" i="35"/>
  <c r="AB70" i="35"/>
  <c r="Z70" i="35"/>
  <c r="AC69" i="35"/>
  <c r="AB69" i="35"/>
  <c r="Z69" i="35"/>
  <c r="AC68" i="35"/>
  <c r="AB68" i="35"/>
  <c r="Z68" i="35"/>
  <c r="AC67" i="35"/>
  <c r="AB67" i="35"/>
  <c r="Z67" i="35"/>
  <c r="AC66" i="35"/>
  <c r="AB66" i="35"/>
  <c r="Z66" i="35"/>
  <c r="AC65" i="35"/>
  <c r="AB65" i="35"/>
  <c r="Z65" i="35"/>
  <c r="AC64" i="35"/>
  <c r="AB64" i="35"/>
  <c r="Z64" i="35"/>
  <c r="AG123" i="25"/>
  <c r="AF123" i="25"/>
  <c r="AC123" i="25"/>
  <c r="AB123" i="25"/>
  <c r="Z123" i="25"/>
  <c r="AG122" i="25"/>
  <c r="AF122" i="25"/>
  <c r="AC122" i="25"/>
  <c r="AB122" i="25"/>
  <c r="Z122" i="25"/>
  <c r="AG121" i="25"/>
  <c r="AF121" i="25"/>
  <c r="AC121" i="25"/>
  <c r="AB121" i="25"/>
  <c r="Z121" i="25"/>
  <c r="AG120" i="25"/>
  <c r="AF120" i="25"/>
  <c r="AC120" i="25"/>
  <c r="AB120" i="25"/>
  <c r="Z120" i="25"/>
  <c r="AG119" i="25"/>
  <c r="AF119" i="25"/>
  <c r="AC119" i="25"/>
  <c r="AB119" i="25"/>
  <c r="Z119" i="25"/>
  <c r="AG118" i="25"/>
  <c r="AF118" i="25"/>
  <c r="AC118" i="25"/>
  <c r="AB118" i="25"/>
  <c r="Z118" i="25"/>
  <c r="AG117" i="25"/>
  <c r="AF117" i="25"/>
  <c r="AC117" i="25"/>
  <c r="AB117" i="25"/>
  <c r="Z117" i="25"/>
  <c r="AG116" i="25"/>
  <c r="AF116" i="25"/>
  <c r="AC116" i="25"/>
  <c r="AB116" i="25"/>
  <c r="Z116" i="25"/>
  <c r="AG115" i="25"/>
  <c r="AF115" i="25"/>
  <c r="AC115" i="25"/>
  <c r="AB115" i="25"/>
  <c r="Z115" i="25"/>
  <c r="AG114" i="25"/>
  <c r="AF114" i="25"/>
  <c r="AC114" i="25"/>
  <c r="AB114" i="25"/>
  <c r="Z114" i="25"/>
  <c r="AG113" i="25"/>
  <c r="AF113" i="25"/>
  <c r="AC113" i="25"/>
  <c r="AB113" i="25"/>
  <c r="Z113" i="25"/>
  <c r="AG112" i="25"/>
  <c r="AF112" i="25"/>
  <c r="AC112" i="25"/>
  <c r="AB112" i="25"/>
  <c r="Z112" i="25"/>
  <c r="AG111" i="25"/>
  <c r="AF111" i="25"/>
  <c r="AC111" i="25"/>
  <c r="AB111" i="25"/>
  <c r="Z111" i="25"/>
  <c r="AG110" i="25"/>
  <c r="AF110" i="25"/>
  <c r="AC110" i="25"/>
  <c r="AB110" i="25"/>
  <c r="Z110" i="25"/>
  <c r="AG109" i="25"/>
  <c r="AF109" i="25"/>
  <c r="AC109" i="25"/>
  <c r="AB109" i="25"/>
  <c r="Z109" i="25"/>
  <c r="AG108" i="25"/>
  <c r="AF108" i="25"/>
  <c r="AC108" i="25"/>
  <c r="AB108" i="25"/>
  <c r="Z108" i="25"/>
  <c r="AG107" i="25"/>
  <c r="AF107" i="25"/>
  <c r="AC107" i="25"/>
  <c r="AB107" i="25"/>
  <c r="Z107" i="25"/>
  <c r="AG106" i="25"/>
  <c r="AF106" i="25"/>
  <c r="AC106" i="25"/>
  <c r="AB106" i="25"/>
  <c r="Z106" i="25"/>
  <c r="AG105" i="25"/>
  <c r="AF105" i="25"/>
  <c r="AC105" i="25"/>
  <c r="AB105" i="25"/>
  <c r="Z105" i="25"/>
  <c r="AG104" i="25"/>
  <c r="AF104" i="25"/>
  <c r="AC104" i="25"/>
  <c r="AB104" i="25"/>
  <c r="Z104" i="25"/>
  <c r="AC103" i="25"/>
  <c r="AB103" i="25"/>
  <c r="Z103" i="25"/>
  <c r="AC102" i="25"/>
  <c r="AB102" i="25"/>
  <c r="Z102" i="25"/>
  <c r="AC101" i="25"/>
  <c r="AB101" i="25"/>
  <c r="Z101" i="25"/>
  <c r="AC100" i="25"/>
  <c r="AB100" i="25"/>
  <c r="Z100" i="25"/>
  <c r="AC99" i="25"/>
  <c r="AB99" i="25"/>
  <c r="Z99" i="25"/>
  <c r="AC98" i="25"/>
  <c r="AB98" i="25"/>
  <c r="Z98" i="25"/>
  <c r="AC97" i="25"/>
  <c r="AB97" i="25"/>
  <c r="Z97" i="25"/>
  <c r="AC96" i="25"/>
  <c r="AB96" i="25"/>
  <c r="Z96" i="25"/>
  <c r="AC95" i="25"/>
  <c r="AB95" i="25"/>
  <c r="Z95" i="25"/>
  <c r="AC94" i="25"/>
  <c r="AB94" i="25"/>
  <c r="Z94" i="25"/>
  <c r="AC93" i="25"/>
  <c r="AB93" i="25"/>
  <c r="Z93" i="25"/>
  <c r="AC92" i="25"/>
  <c r="AB92" i="25"/>
  <c r="Z92" i="25"/>
  <c r="AC91" i="25"/>
  <c r="AB91" i="25"/>
  <c r="Z91" i="25"/>
  <c r="AC90" i="25"/>
  <c r="AB90" i="25"/>
  <c r="Z90" i="25"/>
  <c r="AC89" i="25"/>
  <c r="AB89" i="25"/>
  <c r="Z89" i="25"/>
  <c r="AC88" i="25"/>
  <c r="AB88" i="25"/>
  <c r="Z88" i="25"/>
  <c r="AC87" i="25"/>
  <c r="AB87" i="25"/>
  <c r="Z87" i="25"/>
  <c r="AC86" i="25"/>
  <c r="AB86" i="25"/>
  <c r="Z86" i="25"/>
  <c r="AC85" i="25"/>
  <c r="AB85" i="25"/>
  <c r="Z85" i="25"/>
  <c r="AC84" i="25"/>
  <c r="AB84" i="25"/>
  <c r="Z84" i="25"/>
  <c r="AC83" i="25"/>
  <c r="AB83" i="25"/>
  <c r="Z83" i="25"/>
  <c r="AC82" i="25"/>
  <c r="AB82" i="25"/>
  <c r="Z82" i="25"/>
  <c r="AC81" i="25"/>
  <c r="AB81" i="25"/>
  <c r="Z81" i="25"/>
  <c r="AC80" i="25"/>
  <c r="AB80" i="25"/>
  <c r="Z80" i="25"/>
  <c r="AC79" i="25"/>
  <c r="AB79" i="25"/>
  <c r="Z79" i="25"/>
  <c r="AC78" i="25"/>
  <c r="AB78" i="25"/>
  <c r="Z78" i="25"/>
  <c r="AC77" i="25"/>
  <c r="AB77" i="25"/>
  <c r="Z77" i="25"/>
  <c r="AC76" i="25"/>
  <c r="AB76" i="25"/>
  <c r="Z76" i="25"/>
  <c r="AC75" i="25"/>
  <c r="AB75" i="25"/>
  <c r="Z75" i="25"/>
  <c r="AC74" i="25"/>
  <c r="AB74" i="25"/>
  <c r="Z74" i="25"/>
  <c r="AC73" i="25"/>
  <c r="AB73" i="25"/>
  <c r="Z73" i="25"/>
  <c r="AC72" i="25"/>
  <c r="AB72" i="25"/>
  <c r="Z72" i="25"/>
  <c r="AC71" i="25"/>
  <c r="AB71" i="25"/>
  <c r="Z71" i="25"/>
  <c r="AC70" i="25"/>
  <c r="AB70" i="25"/>
  <c r="Z70" i="25"/>
  <c r="AC69" i="25"/>
  <c r="AB69" i="25"/>
  <c r="Z69" i="25"/>
  <c r="AC68" i="25"/>
  <c r="AB68" i="25"/>
  <c r="Z68" i="25"/>
  <c r="AC67" i="25"/>
  <c r="AB67" i="25"/>
  <c r="Z67" i="25"/>
  <c r="AC66" i="25"/>
  <c r="AB66" i="25"/>
  <c r="Z66" i="25"/>
  <c r="AC65" i="25"/>
  <c r="AB65" i="25"/>
  <c r="Z65" i="25"/>
  <c r="AC64" i="25"/>
  <c r="AB64" i="25"/>
  <c r="Z64" i="25"/>
  <c r="AG123" i="17"/>
  <c r="AF123" i="17"/>
  <c r="AC123" i="17"/>
  <c r="AB123" i="17"/>
  <c r="Z123" i="17"/>
  <c r="AG122" i="17"/>
  <c r="AF122" i="17"/>
  <c r="AC122" i="17"/>
  <c r="AB122" i="17"/>
  <c r="Z122" i="17"/>
  <c r="AG121" i="17"/>
  <c r="AF121" i="17"/>
  <c r="AC121" i="17"/>
  <c r="AB121" i="17"/>
  <c r="Z121" i="17"/>
  <c r="AG120" i="17"/>
  <c r="AF120" i="17"/>
  <c r="AC120" i="17"/>
  <c r="AB120" i="17"/>
  <c r="Z120" i="17"/>
  <c r="AG119" i="17"/>
  <c r="AF119" i="17"/>
  <c r="AC119" i="17"/>
  <c r="AB119" i="17"/>
  <c r="Z119" i="17"/>
  <c r="AG118" i="17"/>
  <c r="AF118" i="17"/>
  <c r="AC118" i="17"/>
  <c r="AB118" i="17"/>
  <c r="Z118" i="17"/>
  <c r="AG117" i="17"/>
  <c r="AF117" i="17"/>
  <c r="AC117" i="17"/>
  <c r="AB117" i="17"/>
  <c r="Z117" i="17"/>
  <c r="AG116" i="17"/>
  <c r="AF116" i="17"/>
  <c r="AC116" i="17"/>
  <c r="AB116" i="17"/>
  <c r="Z116" i="17"/>
  <c r="AG115" i="17"/>
  <c r="AF115" i="17"/>
  <c r="AC115" i="17"/>
  <c r="AB115" i="17"/>
  <c r="Z115" i="17"/>
  <c r="AG114" i="17"/>
  <c r="AF114" i="17"/>
  <c r="AC114" i="17"/>
  <c r="AB114" i="17"/>
  <c r="Z114" i="17"/>
  <c r="AG113" i="17"/>
  <c r="AF113" i="17"/>
  <c r="AC113" i="17"/>
  <c r="AB113" i="17"/>
  <c r="Z113" i="17"/>
  <c r="AG112" i="17"/>
  <c r="AF112" i="17"/>
  <c r="AC112" i="17"/>
  <c r="AB112" i="17"/>
  <c r="Z112" i="17"/>
  <c r="AG111" i="17"/>
  <c r="AF111" i="17"/>
  <c r="AC111" i="17"/>
  <c r="AB111" i="17"/>
  <c r="Z111" i="17"/>
  <c r="AG110" i="17"/>
  <c r="AF110" i="17"/>
  <c r="AC110" i="17"/>
  <c r="AB110" i="17"/>
  <c r="Z110" i="17"/>
  <c r="AG109" i="17"/>
  <c r="AF109" i="17"/>
  <c r="AC109" i="17"/>
  <c r="AB109" i="17"/>
  <c r="Z109" i="17"/>
  <c r="AG108" i="17"/>
  <c r="AF108" i="17"/>
  <c r="AC108" i="17"/>
  <c r="AB108" i="17"/>
  <c r="Z108" i="17"/>
  <c r="AG107" i="17"/>
  <c r="AF107" i="17"/>
  <c r="AC107" i="17"/>
  <c r="AB107" i="17"/>
  <c r="Z107" i="17"/>
  <c r="AG106" i="17"/>
  <c r="AF106" i="17"/>
  <c r="AC106" i="17"/>
  <c r="AB106" i="17"/>
  <c r="Z106" i="17"/>
  <c r="AG105" i="17"/>
  <c r="AF105" i="17"/>
  <c r="AC105" i="17"/>
  <c r="AB105" i="17"/>
  <c r="Z105" i="17"/>
  <c r="AG104" i="17"/>
  <c r="AF104" i="17"/>
  <c r="AC104" i="17"/>
  <c r="AB104" i="17"/>
  <c r="Z104" i="17"/>
  <c r="AC103" i="17"/>
  <c r="AB103" i="17"/>
  <c r="Z103" i="17"/>
  <c r="AC102" i="17"/>
  <c r="AB102" i="17"/>
  <c r="Z102" i="17"/>
  <c r="AC101" i="17"/>
  <c r="AB101" i="17"/>
  <c r="Z101" i="17"/>
  <c r="AC100" i="17"/>
  <c r="AB100" i="17"/>
  <c r="Z100" i="17"/>
  <c r="AC99" i="17"/>
  <c r="AB99" i="17"/>
  <c r="Z99" i="17"/>
  <c r="AC98" i="17"/>
  <c r="AB98" i="17"/>
  <c r="Z98" i="17"/>
  <c r="AC97" i="17"/>
  <c r="AB97" i="17"/>
  <c r="Z97" i="17"/>
  <c r="AC96" i="17"/>
  <c r="AB96" i="17"/>
  <c r="Z96" i="17"/>
  <c r="AC95" i="17"/>
  <c r="AB95" i="17"/>
  <c r="Z95" i="17"/>
  <c r="AC94" i="17"/>
  <c r="AB94" i="17"/>
  <c r="Z94" i="17"/>
  <c r="AC93" i="17"/>
  <c r="AB93" i="17"/>
  <c r="Z93" i="17"/>
  <c r="AC92" i="17"/>
  <c r="AB92" i="17"/>
  <c r="Z92" i="17"/>
  <c r="AC91" i="17"/>
  <c r="AB91" i="17"/>
  <c r="Z91" i="17"/>
  <c r="AC90" i="17"/>
  <c r="AB90" i="17"/>
  <c r="Z90" i="17"/>
  <c r="AC89" i="17"/>
  <c r="AB89" i="17"/>
  <c r="Z89" i="17"/>
  <c r="AC88" i="17"/>
  <c r="AB88" i="17"/>
  <c r="Z88" i="17"/>
  <c r="AC87" i="17"/>
  <c r="AB87" i="17"/>
  <c r="Z87" i="17"/>
  <c r="AC86" i="17"/>
  <c r="AB86" i="17"/>
  <c r="Z86" i="17"/>
  <c r="AC85" i="17"/>
  <c r="AB85" i="17"/>
  <c r="Z85" i="17"/>
  <c r="AC84" i="17"/>
  <c r="AB84" i="17"/>
  <c r="Z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AG123" i="3"/>
  <c r="AF123" i="3"/>
  <c r="AE123" i="3"/>
  <c r="AD123" i="3"/>
  <c r="AG122" i="3"/>
  <c r="AF122" i="3"/>
  <c r="AE122" i="3"/>
  <c r="AD122" i="3"/>
  <c r="AG121" i="3"/>
  <c r="AF121" i="3"/>
  <c r="AE121" i="3"/>
  <c r="AD121" i="3"/>
  <c r="AG120" i="3"/>
  <c r="AF120" i="3"/>
  <c r="AE120" i="3"/>
  <c r="AD120" i="3"/>
  <c r="AG119" i="3"/>
  <c r="AF119" i="3"/>
  <c r="AE119" i="3"/>
  <c r="AD119" i="3"/>
  <c r="AG118" i="3"/>
  <c r="AF118" i="3"/>
  <c r="AE118" i="3"/>
  <c r="AD118" i="3"/>
  <c r="AG117" i="3"/>
  <c r="AF117" i="3"/>
  <c r="AE117" i="3"/>
  <c r="AD117" i="3"/>
  <c r="AG116" i="3"/>
  <c r="AF116" i="3"/>
  <c r="AE116" i="3"/>
  <c r="AD116" i="3"/>
  <c r="AG115" i="3"/>
  <c r="AF115" i="3"/>
  <c r="AE115" i="3"/>
  <c r="AD115" i="3"/>
  <c r="AG114" i="3"/>
  <c r="AF114" i="3"/>
  <c r="AE114" i="3"/>
  <c r="AD114" i="3"/>
  <c r="AG113" i="3"/>
  <c r="AF113" i="3"/>
  <c r="AE113" i="3"/>
  <c r="AD113" i="3"/>
  <c r="AG112" i="3"/>
  <c r="AF112" i="3"/>
  <c r="AE112" i="3"/>
  <c r="AD112" i="3"/>
  <c r="AG111" i="3"/>
  <c r="AF111" i="3"/>
  <c r="AE111" i="3"/>
  <c r="AD111" i="3"/>
  <c r="AG110" i="3"/>
  <c r="AF110" i="3"/>
  <c r="AE110" i="3"/>
  <c r="AD110" i="3"/>
  <c r="AG109" i="3"/>
  <c r="AF109" i="3"/>
  <c r="AE109" i="3"/>
  <c r="AD109" i="3"/>
  <c r="AG108" i="3"/>
  <c r="AF108" i="3"/>
  <c r="AE108" i="3"/>
  <c r="AD108" i="3"/>
  <c r="AG107" i="3"/>
  <c r="AF107" i="3"/>
  <c r="AE107" i="3"/>
  <c r="AD107" i="3"/>
  <c r="AG106" i="3"/>
  <c r="AF106" i="3"/>
  <c r="AE106" i="3"/>
  <c r="AD106" i="3"/>
  <c r="AG105" i="3"/>
  <c r="AF105" i="3"/>
  <c r="AE105" i="3"/>
  <c r="AD105" i="3"/>
  <c r="AG104" i="3"/>
  <c r="AF104" i="3"/>
  <c r="AE104" i="3"/>
  <c r="AD104" i="3"/>
  <c r="Y123" i="3"/>
  <c r="X123" i="3"/>
  <c r="Y122" i="3"/>
  <c r="X122" i="3"/>
  <c r="Y121" i="3"/>
  <c r="X121" i="3"/>
  <c r="Y120" i="3"/>
  <c r="X120" i="3"/>
  <c r="Y119" i="3"/>
  <c r="X119" i="3"/>
  <c r="Y118" i="3"/>
  <c r="X118" i="3"/>
  <c r="Y117" i="3"/>
  <c r="X117" i="3"/>
  <c r="Y116" i="3"/>
  <c r="X116" i="3"/>
  <c r="Y115" i="3"/>
  <c r="X115" i="3"/>
  <c r="Y114" i="3"/>
  <c r="X114" i="3"/>
  <c r="Y113" i="3"/>
  <c r="X113" i="3"/>
  <c r="Y112" i="3"/>
  <c r="X112" i="3"/>
  <c r="Y111" i="3"/>
  <c r="X111" i="3"/>
  <c r="Y110" i="3"/>
  <c r="X110" i="3"/>
  <c r="Y109" i="3"/>
  <c r="X109" i="3"/>
  <c r="Y108" i="3"/>
  <c r="X108" i="3"/>
  <c r="Y107" i="3"/>
  <c r="X107" i="3"/>
  <c r="Y106" i="3"/>
  <c r="X106" i="3"/>
  <c r="Y105" i="3"/>
  <c r="X105" i="3"/>
  <c r="Y104" i="3"/>
  <c r="X104" i="3"/>
  <c r="G24" i="44"/>
  <c r="G14" i="44"/>
  <c r="G19" i="44"/>
  <c r="I12" i="41"/>
  <c r="K12" i="41"/>
  <c r="AC12" i="41"/>
  <c r="AD12" i="41"/>
  <c r="U12" i="41"/>
  <c r="I13" i="41"/>
  <c r="K13" i="41"/>
  <c r="AC13" i="41"/>
  <c r="AD13" i="41"/>
  <c r="U13" i="41"/>
  <c r="I14" i="41"/>
  <c r="K14" i="41"/>
  <c r="AC14" i="41"/>
  <c r="AD14" i="41"/>
  <c r="U14" i="41"/>
  <c r="I15" i="41"/>
  <c r="K15" i="41"/>
  <c r="AC15" i="41"/>
  <c r="AD15" i="41"/>
  <c r="U15" i="41"/>
  <c r="I16" i="41"/>
  <c r="K16" i="41"/>
  <c r="AC16" i="41"/>
  <c r="AD16" i="41"/>
  <c r="U16" i="41"/>
  <c r="I17" i="41"/>
  <c r="K17" i="41"/>
  <c r="AC17" i="41"/>
  <c r="AD17" i="41"/>
  <c r="U17" i="41"/>
  <c r="AD17" i="17"/>
  <c r="Y17" i="17"/>
  <c r="AD18" i="17"/>
  <c r="Y18" i="17"/>
  <c r="AD19" i="17"/>
  <c r="Y19" i="17"/>
  <c r="AD20" i="17"/>
  <c r="Y20" i="17"/>
  <c r="AD21" i="17"/>
  <c r="Y21" i="17"/>
  <c r="AD22" i="17"/>
  <c r="Y22" i="17"/>
  <c r="AP17" i="49"/>
  <c r="AP24" i="49"/>
  <c r="AP31" i="49"/>
  <c r="AP38" i="49"/>
  <c r="AD17" i="3"/>
  <c r="Y17" i="3"/>
  <c r="AD18" i="3"/>
  <c r="Y18" i="3"/>
  <c r="AD19" i="3"/>
  <c r="Y19" i="3"/>
  <c r="AD20" i="3"/>
  <c r="Y20" i="3"/>
  <c r="AD21" i="3"/>
  <c r="Y21" i="3"/>
  <c r="AD22" i="3"/>
  <c r="Y22" i="3"/>
  <c r="AD17" i="25"/>
  <c r="Y17" i="25"/>
  <c r="AD18" i="25"/>
  <c r="Y18" i="25"/>
  <c r="AD19" i="25"/>
  <c r="Y19" i="25"/>
  <c r="AD20" i="25"/>
  <c r="Y20" i="25"/>
  <c r="AD21" i="25"/>
  <c r="Y21" i="25"/>
  <c r="AD22" i="25"/>
  <c r="Y22" i="25"/>
  <c r="AD17" i="35"/>
  <c r="Y17" i="35"/>
  <c r="AD18" i="35"/>
  <c r="Y18" i="35"/>
  <c r="AD19" i="35"/>
  <c r="Y19" i="35"/>
  <c r="AD20" i="35"/>
  <c r="Y20" i="35"/>
  <c r="AD21" i="35"/>
  <c r="Y21" i="35"/>
  <c r="AD22" i="35"/>
  <c r="Y22" i="35"/>
  <c r="AQ16" i="49" a="1"/>
  <c r="AQ18" i="49"/>
  <c r="AQ23" i="49" a="1"/>
  <c r="AQ25" i="49"/>
  <c r="AQ30" i="49" a="1"/>
  <c r="AQ32" i="49"/>
  <c r="AQ37" i="49" a="1"/>
  <c r="AQ39" i="49"/>
  <c r="AQ44" i="49" a="1"/>
  <c r="AP45" i="49"/>
  <c r="AQ46" i="49"/>
  <c r="V99" i="42"/>
  <c r="W99" i="42"/>
  <c r="AA99" i="42"/>
  <c r="AG99" i="42"/>
  <c r="AF99" i="42"/>
  <c r="AE99" i="42"/>
  <c r="AD99" i="42"/>
  <c r="V98" i="42"/>
  <c r="W98" i="42"/>
  <c r="AA98" i="42"/>
  <c r="AG98" i="42"/>
  <c r="AF98" i="42"/>
  <c r="AE98" i="42"/>
  <c r="AD98" i="42"/>
  <c r="V97" i="42"/>
  <c r="W97" i="42"/>
  <c r="AA97" i="42"/>
  <c r="AG97" i="42"/>
  <c r="AF97" i="42"/>
  <c r="AE97" i="42"/>
  <c r="AD97" i="42"/>
  <c r="V96" i="42"/>
  <c r="W96" i="42"/>
  <c r="AA96" i="42"/>
  <c r="AG96" i="42"/>
  <c r="AF96" i="42"/>
  <c r="AE96" i="42"/>
  <c r="AD96" i="42"/>
  <c r="V95" i="42"/>
  <c r="W95" i="42"/>
  <c r="AA95" i="42"/>
  <c r="AG95" i="42"/>
  <c r="AF95" i="42"/>
  <c r="AE95" i="42"/>
  <c r="AD95" i="42"/>
  <c r="V94" i="42"/>
  <c r="W94" i="42"/>
  <c r="AA94" i="42"/>
  <c r="AG94" i="42"/>
  <c r="AF94" i="42"/>
  <c r="AE94" i="42"/>
  <c r="AD94" i="42"/>
  <c r="V93" i="42"/>
  <c r="W93" i="42"/>
  <c r="AA93" i="42"/>
  <c r="AG93" i="42"/>
  <c r="AF93" i="42"/>
  <c r="AE93" i="42"/>
  <c r="AD93" i="42"/>
  <c r="V92" i="42"/>
  <c r="W92" i="42"/>
  <c r="AA92" i="42"/>
  <c r="AG92" i="42"/>
  <c r="AF92" i="42"/>
  <c r="AE92" i="42"/>
  <c r="AD92" i="42"/>
  <c r="V91" i="42"/>
  <c r="W91" i="42"/>
  <c r="AA91" i="42"/>
  <c r="AG91" i="42"/>
  <c r="AF91" i="42"/>
  <c r="AE91" i="42"/>
  <c r="AD91" i="42"/>
  <c r="V90" i="42"/>
  <c r="W90" i="42"/>
  <c r="AA90" i="42"/>
  <c r="AG90" i="42"/>
  <c r="AF90" i="42"/>
  <c r="AE90" i="42"/>
  <c r="AD90" i="42"/>
  <c r="V89" i="42"/>
  <c r="W89" i="42"/>
  <c r="AA89" i="42"/>
  <c r="AG89" i="42"/>
  <c r="AF89" i="42"/>
  <c r="AE89" i="42"/>
  <c r="AD89" i="42"/>
  <c r="V88" i="42"/>
  <c r="W88" i="42"/>
  <c r="AA88" i="42"/>
  <c r="AG88" i="42"/>
  <c r="AF88" i="42"/>
  <c r="AE88" i="42"/>
  <c r="AD88" i="42"/>
  <c r="V87" i="42"/>
  <c r="W87" i="42"/>
  <c r="AA87" i="42"/>
  <c r="AG87" i="42"/>
  <c r="AF87" i="42"/>
  <c r="AE87" i="42"/>
  <c r="AD87" i="42"/>
  <c r="V86" i="42"/>
  <c r="W86" i="42"/>
  <c r="AA86" i="42"/>
  <c r="AG86" i="42"/>
  <c r="AF86" i="42"/>
  <c r="AE86" i="42"/>
  <c r="AD86" i="42"/>
  <c r="V85" i="42"/>
  <c r="W85" i="42"/>
  <c r="AA85" i="42"/>
  <c r="AG85" i="42"/>
  <c r="AF85" i="42"/>
  <c r="AE85" i="42"/>
  <c r="AD85" i="42"/>
  <c r="V84" i="42"/>
  <c r="W84" i="42"/>
  <c r="AA84" i="42"/>
  <c r="AG84" i="42"/>
  <c r="AF84" i="42"/>
  <c r="AE84" i="42"/>
  <c r="AD84" i="42"/>
  <c r="V83" i="42"/>
  <c r="W83" i="42"/>
  <c r="AA83" i="42"/>
  <c r="AG83" i="42"/>
  <c r="AF83" i="42"/>
  <c r="AE83" i="42"/>
  <c r="AD83" i="42"/>
  <c r="V82" i="42"/>
  <c r="W82" i="42"/>
  <c r="AA82" i="42"/>
  <c r="AG82" i="42"/>
  <c r="AF82" i="42"/>
  <c r="AE82" i="42"/>
  <c r="AD82" i="42"/>
  <c r="V81" i="42"/>
  <c r="W81" i="42"/>
  <c r="AA81" i="42"/>
  <c r="AG81" i="42"/>
  <c r="AF81" i="42"/>
  <c r="AE81" i="42"/>
  <c r="AD81" i="42"/>
  <c r="V80" i="42"/>
  <c r="W80" i="42"/>
  <c r="AA80" i="42"/>
  <c r="AG80" i="42"/>
  <c r="AF80" i="42"/>
  <c r="AE80" i="42"/>
  <c r="AD80" i="42"/>
  <c r="V79" i="42"/>
  <c r="W79" i="42"/>
  <c r="AA79" i="42"/>
  <c r="AG79" i="42"/>
  <c r="AF79" i="42"/>
  <c r="AE79" i="42"/>
  <c r="AD79" i="42"/>
  <c r="V78" i="42"/>
  <c r="W78" i="42"/>
  <c r="AA78" i="42"/>
  <c r="AG78" i="42"/>
  <c r="AF78" i="42"/>
  <c r="AE78" i="42"/>
  <c r="AD78" i="42"/>
  <c r="V77" i="42"/>
  <c r="W77" i="42"/>
  <c r="AA77" i="42"/>
  <c r="AG77" i="42"/>
  <c r="AF77" i="42"/>
  <c r="AE77" i="42"/>
  <c r="AD77" i="42"/>
  <c r="V76" i="42"/>
  <c r="W76" i="42"/>
  <c r="AA76" i="42"/>
  <c r="AG76" i="42"/>
  <c r="AF76" i="42"/>
  <c r="AE76" i="42"/>
  <c r="AD76" i="42"/>
  <c r="V75" i="42"/>
  <c r="W75" i="42"/>
  <c r="AA75" i="42"/>
  <c r="AG75" i="42"/>
  <c r="AF75" i="42"/>
  <c r="AE75" i="42"/>
  <c r="AD75" i="42"/>
  <c r="V74" i="42"/>
  <c r="W74" i="42"/>
  <c r="AA74" i="42"/>
  <c r="AG74" i="42"/>
  <c r="AF74" i="42"/>
  <c r="AE74" i="42"/>
  <c r="AD74" i="42"/>
  <c r="V73" i="42"/>
  <c r="W73" i="42"/>
  <c r="AA73" i="42"/>
  <c r="AG73" i="42"/>
  <c r="AF73" i="42"/>
  <c r="AE73" i="42"/>
  <c r="AD73" i="42"/>
  <c r="V72" i="42"/>
  <c r="W72" i="42"/>
  <c r="AA72" i="42"/>
  <c r="AG72" i="42"/>
  <c r="AF72" i="42"/>
  <c r="AE72" i="42"/>
  <c r="AD72" i="42"/>
  <c r="V71" i="42"/>
  <c r="W71" i="42"/>
  <c r="AA71" i="42"/>
  <c r="AG71" i="42"/>
  <c r="AF71" i="42"/>
  <c r="AE71" i="42"/>
  <c r="AD71" i="42"/>
  <c r="V70" i="42"/>
  <c r="W70" i="42"/>
  <c r="AA70" i="42"/>
  <c r="AG70" i="42"/>
  <c r="AF70" i="42"/>
  <c r="AE70" i="42"/>
  <c r="AD70" i="42"/>
  <c r="V69" i="42"/>
  <c r="W69" i="42"/>
  <c r="AA69" i="42"/>
  <c r="AG69" i="42"/>
  <c r="AF69" i="42"/>
  <c r="AE69" i="42"/>
  <c r="AD69" i="42"/>
  <c r="V68" i="42"/>
  <c r="W68" i="42"/>
  <c r="AA68" i="42"/>
  <c r="AG68" i="42"/>
  <c r="AF68" i="42"/>
  <c r="AE68" i="42"/>
  <c r="AD68" i="42"/>
  <c r="V67" i="42"/>
  <c r="W67" i="42"/>
  <c r="AA67" i="42"/>
  <c r="AG67" i="42"/>
  <c r="AF67" i="42"/>
  <c r="AE67" i="42"/>
  <c r="AD67" i="42"/>
  <c r="V66" i="42"/>
  <c r="W66" i="42"/>
  <c r="AA66" i="42"/>
  <c r="AG66" i="42"/>
  <c r="AF66" i="42"/>
  <c r="AE66" i="42"/>
  <c r="AD66" i="42"/>
  <c r="V65" i="42"/>
  <c r="W65" i="42"/>
  <c r="AA65" i="42"/>
  <c r="AG65" i="42"/>
  <c r="AF65" i="42"/>
  <c r="AE65" i="42"/>
  <c r="AD65" i="42"/>
  <c r="V64" i="42"/>
  <c r="W64" i="42"/>
  <c r="AA64" i="42"/>
  <c r="AG64" i="42"/>
  <c r="AF64" i="42"/>
  <c r="AE64" i="42"/>
  <c r="AD64" i="42"/>
  <c r="Y99" i="42"/>
  <c r="X99" i="42"/>
  <c r="Y98" i="42"/>
  <c r="X98" i="42"/>
  <c r="Y97" i="42"/>
  <c r="X97" i="42"/>
  <c r="Y96" i="42"/>
  <c r="X96" i="42"/>
  <c r="Y95" i="42"/>
  <c r="X95" i="42"/>
  <c r="Y94" i="42"/>
  <c r="X94" i="42"/>
  <c r="Y93" i="42"/>
  <c r="X93" i="42"/>
  <c r="Y92" i="42"/>
  <c r="X92" i="42"/>
  <c r="Y91" i="42"/>
  <c r="X91" i="42"/>
  <c r="Y90" i="42"/>
  <c r="X90" i="42"/>
  <c r="Y89" i="42"/>
  <c r="X89" i="42"/>
  <c r="Y88" i="42"/>
  <c r="X88" i="42"/>
  <c r="Y87" i="42"/>
  <c r="X87" i="42"/>
  <c r="Y86" i="42"/>
  <c r="X86" i="42"/>
  <c r="Y85" i="42"/>
  <c r="X85" i="42"/>
  <c r="Y84" i="42"/>
  <c r="X84" i="42"/>
  <c r="Y83" i="42"/>
  <c r="X83" i="42"/>
  <c r="Y82" i="42"/>
  <c r="X82" i="42"/>
  <c r="Y81" i="42"/>
  <c r="X81" i="42"/>
  <c r="Y80" i="42"/>
  <c r="X80" i="42"/>
  <c r="Y79" i="42"/>
  <c r="X79" i="42"/>
  <c r="Y78" i="42"/>
  <c r="X78" i="42"/>
  <c r="Y77" i="42"/>
  <c r="X77" i="42"/>
  <c r="Y76" i="42"/>
  <c r="X76" i="42"/>
  <c r="Y75" i="42"/>
  <c r="X75" i="42"/>
  <c r="Y74" i="42"/>
  <c r="X74" i="42"/>
  <c r="Y73" i="42"/>
  <c r="X73" i="42"/>
  <c r="Y72" i="42"/>
  <c r="X72" i="42"/>
  <c r="Y71" i="42"/>
  <c r="X71" i="42"/>
  <c r="Y70" i="42"/>
  <c r="X70" i="42"/>
  <c r="Y69" i="42"/>
  <c r="X69" i="42"/>
  <c r="Y68" i="42"/>
  <c r="X68" i="42"/>
  <c r="Y67" i="42"/>
  <c r="X67" i="42"/>
  <c r="Y66" i="42"/>
  <c r="X66" i="42"/>
  <c r="Y65" i="42"/>
  <c r="X65" i="42"/>
  <c r="Y64" i="42"/>
  <c r="X64" i="42"/>
  <c r="AB195" i="35"/>
  <c r="AB194" i="35"/>
  <c r="AB193" i="35"/>
  <c r="AB192" i="35"/>
  <c r="AB191" i="35"/>
  <c r="AB190" i="35"/>
  <c r="AB189" i="35"/>
  <c r="AB188" i="35"/>
  <c r="AB187" i="35"/>
  <c r="AB186" i="35"/>
  <c r="AB185" i="35"/>
  <c r="AB184" i="35"/>
  <c r="AB183" i="35"/>
  <c r="AB182" i="35"/>
  <c r="AB181" i="35"/>
  <c r="AB180" i="35"/>
  <c r="AB179" i="35"/>
  <c r="AB178" i="35"/>
  <c r="AB177" i="35"/>
  <c r="AB176" i="35"/>
  <c r="AB175" i="35"/>
  <c r="AB174" i="35"/>
  <c r="AB173" i="35"/>
  <c r="AB172" i="35"/>
  <c r="AB171" i="35"/>
  <c r="AB170" i="35"/>
  <c r="AB169" i="35"/>
  <c r="AB168" i="35"/>
  <c r="AB167" i="35"/>
  <c r="AB166" i="35"/>
  <c r="AB165" i="35"/>
  <c r="AB164" i="35"/>
  <c r="AB163" i="35"/>
  <c r="AB162" i="35"/>
  <c r="AB161" i="35"/>
  <c r="AB160" i="35"/>
  <c r="AB159" i="35"/>
  <c r="AB158" i="35"/>
  <c r="AB157" i="35"/>
  <c r="AB156" i="35"/>
  <c r="AB155" i="35"/>
  <c r="AB154" i="35"/>
  <c r="AB153" i="35"/>
  <c r="AB152" i="35"/>
  <c r="AB151" i="35"/>
  <c r="AB150" i="35"/>
  <c r="AB149" i="35"/>
  <c r="AB148" i="35"/>
  <c r="AB147" i="35"/>
  <c r="AB146" i="35"/>
  <c r="AB145" i="35"/>
  <c r="AB144" i="35"/>
  <c r="AB143" i="35"/>
  <c r="AB142" i="35"/>
  <c r="AB141" i="35"/>
  <c r="AB140" i="35"/>
  <c r="AB139" i="35"/>
  <c r="AB138" i="35"/>
  <c r="AB137" i="35"/>
  <c r="AB136" i="35"/>
  <c r="AB195" i="25"/>
  <c r="AB194" i="25"/>
  <c r="AB193" i="25"/>
  <c r="AB192" i="25"/>
  <c r="AB191" i="25"/>
  <c r="AB190" i="25"/>
  <c r="AB189" i="25"/>
  <c r="AB188" i="25"/>
  <c r="AB187" i="25"/>
  <c r="AB186" i="25"/>
  <c r="AB185" i="25"/>
  <c r="AB184" i="25"/>
  <c r="AB183" i="25"/>
  <c r="AB182" i="25"/>
  <c r="AB181" i="25"/>
  <c r="AB180" i="25"/>
  <c r="AB179" i="25"/>
  <c r="AB178" i="25"/>
  <c r="AB177" i="25"/>
  <c r="AB176" i="25"/>
  <c r="AB175" i="25"/>
  <c r="AB174" i="25"/>
  <c r="AB173" i="25"/>
  <c r="AB172" i="25"/>
  <c r="AB171" i="25"/>
  <c r="AB170" i="25"/>
  <c r="AB169" i="25"/>
  <c r="AB168" i="25"/>
  <c r="AB167" i="25"/>
  <c r="AB166" i="25"/>
  <c r="AB165" i="25"/>
  <c r="AB164" i="25"/>
  <c r="AB163" i="25"/>
  <c r="AB162" i="25"/>
  <c r="AB161" i="25"/>
  <c r="AB160" i="25"/>
  <c r="AB159" i="25"/>
  <c r="AB158" i="25"/>
  <c r="AB157" i="25"/>
  <c r="AB156" i="25"/>
  <c r="AB155" i="25"/>
  <c r="AB154" i="25"/>
  <c r="AB153" i="25"/>
  <c r="AB152" i="25"/>
  <c r="AB151" i="25"/>
  <c r="AB150" i="25"/>
  <c r="AB149" i="25"/>
  <c r="AB148" i="25"/>
  <c r="AB147" i="25"/>
  <c r="AB146" i="25"/>
  <c r="AB145" i="25"/>
  <c r="AB144" i="25"/>
  <c r="AB143" i="25"/>
  <c r="AB142" i="25"/>
  <c r="AB141" i="25"/>
  <c r="AB140" i="25"/>
  <c r="AB139" i="25"/>
  <c r="AB138" i="25"/>
  <c r="AB137" i="25"/>
  <c r="AB136" i="25"/>
  <c r="AB195" i="17"/>
  <c r="AB194" i="17"/>
  <c r="AB193" i="17"/>
  <c r="AB192" i="17"/>
  <c r="AB191" i="17"/>
  <c r="AB190" i="17"/>
  <c r="AB189" i="17"/>
  <c r="AB188" i="17"/>
  <c r="AB187" i="17"/>
  <c r="AB186" i="17"/>
  <c r="AB185" i="17"/>
  <c r="AB184" i="17"/>
  <c r="AB183" i="17"/>
  <c r="AB182" i="17"/>
  <c r="AB181" i="17"/>
  <c r="AB180" i="17"/>
  <c r="AB179" i="17"/>
  <c r="AB178" i="17"/>
  <c r="AB177" i="17"/>
  <c r="AB176" i="17"/>
  <c r="AB175" i="17"/>
  <c r="AB174" i="17"/>
  <c r="AB173" i="17"/>
  <c r="AB172" i="17"/>
  <c r="AB171" i="17"/>
  <c r="AB170" i="17"/>
  <c r="AB169" i="17"/>
  <c r="AB168" i="17"/>
  <c r="AB167" i="17"/>
  <c r="AB166" i="17"/>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95" i="3"/>
  <c r="AB194" i="3"/>
  <c r="AB193" i="3"/>
  <c r="AB192" i="3"/>
  <c r="AB191" i="3"/>
  <c r="AB190" i="3"/>
  <c r="AB189" i="3"/>
  <c r="AB188" i="3"/>
  <c r="AB187" i="3"/>
  <c r="AB186" i="3"/>
  <c r="AB185" i="3"/>
  <c r="AB184" i="3"/>
  <c r="AB183" i="3"/>
  <c r="AB182" i="3"/>
  <c r="AB181" i="3"/>
  <c r="AB180" i="3"/>
  <c r="AB179" i="3"/>
  <c r="AB178" i="3"/>
  <c r="AB177" i="3"/>
  <c r="AB176" i="3"/>
  <c r="AB175" i="3"/>
  <c r="AB174" i="3"/>
  <c r="AB173" i="3"/>
  <c r="AB172" i="3"/>
  <c r="AB171" i="3"/>
  <c r="AB170" i="3"/>
  <c r="AB169" i="3"/>
  <c r="AB168" i="3"/>
  <c r="AB167" i="3"/>
  <c r="AB166" i="3"/>
  <c r="AB165" i="3"/>
  <c r="AB164" i="3"/>
  <c r="AB163" i="3"/>
  <c r="AB162" i="3"/>
  <c r="AB161" i="3"/>
  <c r="AB160" i="3"/>
  <c r="AB159" i="3"/>
  <c r="AB158" i="3"/>
  <c r="AB157" i="3"/>
  <c r="AB156" i="3"/>
  <c r="AB155" i="3"/>
  <c r="AB154" i="3"/>
  <c r="AB153" i="3"/>
  <c r="AB152" i="3"/>
  <c r="AB151" i="3"/>
  <c r="AB150" i="3"/>
  <c r="AB149" i="3"/>
  <c r="AB148" i="3"/>
  <c r="AB147" i="3"/>
  <c r="AB146" i="3"/>
  <c r="AB145" i="3"/>
  <c r="AB144" i="3"/>
  <c r="AB143" i="3"/>
  <c r="AB142" i="3"/>
  <c r="AB141" i="3"/>
  <c r="AB140" i="3"/>
  <c r="AB139" i="3"/>
  <c r="AB138" i="3"/>
  <c r="AB137" i="3"/>
  <c r="AB136" i="3"/>
  <c r="BR38" i="31"/>
  <c r="BZ29" i="31"/>
  <c r="AH64" i="42"/>
  <c r="AH65" i="42"/>
  <c r="AH66" i="42"/>
  <c r="AH67" i="42"/>
  <c r="AH68" i="42"/>
  <c r="AH69" i="42"/>
  <c r="AH70" i="42"/>
  <c r="AH71" i="42"/>
  <c r="AH72" i="42"/>
  <c r="AH73" i="42"/>
  <c r="AH74" i="42"/>
  <c r="AH75" i="42"/>
  <c r="AH76" i="42"/>
  <c r="AH77" i="42"/>
  <c r="AH78" i="42"/>
  <c r="AH79" i="42"/>
  <c r="AH80" i="42"/>
  <c r="AH81" i="42"/>
  <c r="AH82" i="42"/>
  <c r="AH83" i="42"/>
  <c r="AH84" i="42"/>
  <c r="AH85" i="42"/>
  <c r="AH86" i="42"/>
  <c r="AH87" i="42"/>
  <c r="AH88" i="42"/>
  <c r="AH89" i="42"/>
  <c r="AH90" i="42"/>
  <c r="AH91" i="42"/>
  <c r="AH92" i="42"/>
  <c r="AH93" i="42"/>
  <c r="AH94" i="42"/>
  <c r="AH95" i="42"/>
  <c r="AH96" i="42"/>
  <c r="AH97" i="42"/>
  <c r="AH98" i="42"/>
  <c r="AH99" i="42"/>
  <c r="AI64" i="42"/>
  <c r="AI65" i="42"/>
  <c r="AI66" i="42"/>
  <c r="AI67" i="42"/>
  <c r="AI68" i="42"/>
  <c r="AI69" i="42"/>
  <c r="AI70" i="42"/>
  <c r="AI71" i="42"/>
  <c r="AI72" i="42"/>
  <c r="AI73" i="42"/>
  <c r="AI74" i="42"/>
  <c r="AI75" i="42"/>
  <c r="AI76" i="42"/>
  <c r="AI77" i="42"/>
  <c r="AI78" i="42"/>
  <c r="AI79" i="42"/>
  <c r="AI80" i="42"/>
  <c r="AI81" i="42"/>
  <c r="AI82" i="42"/>
  <c r="AI83" i="42"/>
  <c r="AI84" i="42"/>
  <c r="AI85" i="42"/>
  <c r="AI86" i="42"/>
  <c r="AI87" i="42"/>
  <c r="AI88" i="42"/>
  <c r="AI89" i="42"/>
  <c r="AI90" i="42"/>
  <c r="AI91" i="42"/>
  <c r="AI92" i="42"/>
  <c r="AI93" i="42"/>
  <c r="AI94" i="42"/>
  <c r="AI95" i="42"/>
  <c r="AI96" i="42"/>
  <c r="AI97" i="42"/>
  <c r="AI98" i="42"/>
  <c r="AI99" i="42"/>
  <c r="BZ38" i="31"/>
  <c r="BY29" i="31"/>
  <c r="BY38" i="31"/>
  <c r="BX29" i="31"/>
  <c r="BX38" i="31"/>
  <c r="BW29" i="31"/>
  <c r="BW38" i="31"/>
  <c r="C65" i="31"/>
  <c r="F7" i="31"/>
  <c r="BV29" i="31"/>
  <c r="BV38" i="31"/>
  <c r="C64" i="31"/>
  <c r="F6" i="31"/>
  <c r="BU29" i="31"/>
  <c r="BU38" i="31"/>
  <c r="C63" i="31"/>
  <c r="F5" i="31"/>
  <c r="BT29" i="31"/>
  <c r="BT38" i="31"/>
  <c r="C62" i="31"/>
  <c r="F4" i="31"/>
  <c r="BS29" i="31"/>
  <c r="BS38" i="31"/>
  <c r="BR37" i="31"/>
  <c r="CA29" i="31"/>
  <c r="CA37" i="31"/>
  <c r="BY37" i="31"/>
  <c r="BX37" i="31"/>
  <c r="BW37" i="31"/>
  <c r="BV37" i="31"/>
  <c r="BU37" i="31"/>
  <c r="BT37" i="31"/>
  <c r="BS37" i="31"/>
  <c r="BR36" i="31"/>
  <c r="CA36" i="31"/>
  <c r="BZ36" i="31"/>
  <c r="BX36" i="31"/>
  <c r="BW36" i="31"/>
  <c r="BV36" i="31"/>
  <c r="BU36" i="31"/>
  <c r="BT36" i="31"/>
  <c r="BS36" i="31"/>
  <c r="BR35" i="31"/>
  <c r="CA35" i="31"/>
  <c r="BZ35" i="31"/>
  <c r="BY35" i="31"/>
  <c r="BW35" i="31"/>
  <c r="BV35" i="31"/>
  <c r="BU35" i="31"/>
  <c r="BT35" i="31"/>
  <c r="BS35" i="31"/>
  <c r="BR34" i="31"/>
  <c r="CA34" i="31"/>
  <c r="BZ34" i="31"/>
  <c r="BY34" i="31"/>
  <c r="BX34" i="31"/>
  <c r="BV34" i="31"/>
  <c r="BU34" i="31"/>
  <c r="BT34" i="31"/>
  <c r="BS34" i="31"/>
  <c r="BR33" i="31"/>
  <c r="CA33" i="31"/>
  <c r="BZ33" i="31"/>
  <c r="BY33" i="31"/>
  <c r="BX33" i="31"/>
  <c r="BW33" i="31"/>
  <c r="BU33" i="31"/>
  <c r="BT33" i="31"/>
  <c r="BS33" i="31"/>
  <c r="BR32" i="31"/>
  <c r="CA32" i="31"/>
  <c r="BZ32" i="31"/>
  <c r="BY32" i="31"/>
  <c r="BX32" i="31"/>
  <c r="BW32" i="31"/>
  <c r="BV32" i="31"/>
  <c r="BT32" i="31"/>
  <c r="BS32" i="31"/>
  <c r="BR31" i="31"/>
  <c r="CA31" i="31"/>
  <c r="BZ31" i="31"/>
  <c r="BY31" i="31"/>
  <c r="BX31" i="31"/>
  <c r="BW31" i="31"/>
  <c r="BV31" i="31"/>
  <c r="BU31" i="31"/>
  <c r="BS31" i="31"/>
  <c r="BR30" i="31"/>
  <c r="CA30" i="31"/>
  <c r="BZ30" i="31"/>
  <c r="BY30" i="31"/>
  <c r="BX30" i="31"/>
  <c r="BW30" i="31"/>
  <c r="BV30" i="31"/>
  <c r="BU30" i="31"/>
  <c r="BT30" i="31"/>
  <c r="BR38" i="30"/>
  <c r="BZ29" i="30"/>
  <c r="BZ38" i="30"/>
  <c r="BY29" i="30"/>
  <c r="BY38" i="30"/>
  <c r="BX29" i="30"/>
  <c r="BX38" i="30"/>
  <c r="BW29" i="30"/>
  <c r="BW38" i="30"/>
  <c r="C65" i="30"/>
  <c r="F7" i="30"/>
  <c r="BV29" i="30"/>
  <c r="BV38" i="30"/>
  <c r="C64" i="30"/>
  <c r="F6" i="30"/>
  <c r="BU29" i="30"/>
  <c r="BU38" i="30"/>
  <c r="C63" i="30"/>
  <c r="F5" i="30"/>
  <c r="BT29" i="30"/>
  <c r="BT38" i="30"/>
  <c r="C62" i="30"/>
  <c r="F4" i="30"/>
  <c r="BS29" i="30"/>
  <c r="BS38" i="30"/>
  <c r="BR37" i="30"/>
  <c r="CA29" i="30"/>
  <c r="CA37" i="30"/>
  <c r="BY37" i="30"/>
  <c r="BX37" i="30"/>
  <c r="BW37" i="30"/>
  <c r="BV37" i="30"/>
  <c r="BU37" i="30"/>
  <c r="BT37" i="30"/>
  <c r="BS37" i="30"/>
  <c r="BR36" i="30"/>
  <c r="CA36" i="30"/>
  <c r="BZ36" i="30"/>
  <c r="BX36" i="30"/>
  <c r="BW36" i="30"/>
  <c r="BV36" i="30"/>
  <c r="BU36" i="30"/>
  <c r="BT36" i="30"/>
  <c r="BS36" i="30"/>
  <c r="BR35" i="30"/>
  <c r="CA35" i="30"/>
  <c r="BZ35" i="30"/>
  <c r="BY35" i="30"/>
  <c r="BW35" i="30"/>
  <c r="BV35" i="30"/>
  <c r="BU35" i="30"/>
  <c r="BT35" i="30"/>
  <c r="BS35" i="30"/>
  <c r="BR34" i="30"/>
  <c r="CA34" i="30"/>
  <c r="BZ34" i="30"/>
  <c r="BY34" i="30"/>
  <c r="BX34" i="30"/>
  <c r="BV34" i="30"/>
  <c r="BU34" i="30"/>
  <c r="BT34" i="30"/>
  <c r="BS34" i="30"/>
  <c r="BR33" i="30"/>
  <c r="CA33" i="30"/>
  <c r="BZ33" i="30"/>
  <c r="BY33" i="30"/>
  <c r="BX33" i="30"/>
  <c r="BW33" i="30"/>
  <c r="BU33" i="30"/>
  <c r="BT33" i="30"/>
  <c r="BS33" i="30"/>
  <c r="BR32" i="30"/>
  <c r="CA32" i="30"/>
  <c r="BZ32" i="30"/>
  <c r="BY32" i="30"/>
  <c r="BX32" i="30"/>
  <c r="BW32" i="30"/>
  <c r="BV32" i="30"/>
  <c r="BT32" i="30"/>
  <c r="BS32" i="30"/>
  <c r="BR31" i="30"/>
  <c r="CA31" i="30"/>
  <c r="BZ31" i="30"/>
  <c r="BY31" i="30"/>
  <c r="BX31" i="30"/>
  <c r="BW31" i="30"/>
  <c r="BV31" i="30"/>
  <c r="BU31" i="30"/>
  <c r="BS31" i="30"/>
  <c r="BR30" i="30"/>
  <c r="CA30" i="30"/>
  <c r="BZ30" i="30"/>
  <c r="BY30" i="30"/>
  <c r="BX30" i="30"/>
  <c r="BW30" i="30"/>
  <c r="BV30" i="30"/>
  <c r="BU30" i="30"/>
  <c r="BT30" i="30"/>
  <c r="BR38" i="29"/>
  <c r="BZ29" i="29"/>
  <c r="BZ38" i="29"/>
  <c r="BY29" i="29"/>
  <c r="BY38" i="29"/>
  <c r="BX29" i="29"/>
  <c r="BX38" i="29"/>
  <c r="BW29" i="29"/>
  <c r="BW38" i="29"/>
  <c r="C65" i="29"/>
  <c r="F7" i="29"/>
  <c r="BV29" i="29"/>
  <c r="BV38" i="29"/>
  <c r="C64" i="29"/>
  <c r="F6" i="29"/>
  <c r="BU29" i="29"/>
  <c r="BU38" i="29"/>
  <c r="C63" i="29"/>
  <c r="F5" i="29"/>
  <c r="BT29" i="29"/>
  <c r="BT38" i="29"/>
  <c r="C62" i="29"/>
  <c r="F4" i="29"/>
  <c r="BS29" i="29"/>
  <c r="BS38" i="29"/>
  <c r="BR37" i="29"/>
  <c r="CA29" i="29"/>
  <c r="CA37" i="29"/>
  <c r="BY37" i="29"/>
  <c r="BX37" i="29"/>
  <c r="BW37" i="29"/>
  <c r="BV37" i="29"/>
  <c r="BU37" i="29"/>
  <c r="BT37" i="29"/>
  <c r="BS37" i="29"/>
  <c r="BR36" i="29"/>
  <c r="CA36" i="29"/>
  <c r="BZ36" i="29"/>
  <c r="BX36" i="29"/>
  <c r="BW36" i="29"/>
  <c r="BV36" i="29"/>
  <c r="BU36" i="29"/>
  <c r="BT36" i="29"/>
  <c r="BS36" i="29"/>
  <c r="BR35" i="29"/>
  <c r="CA35" i="29"/>
  <c r="BZ35" i="29"/>
  <c r="BY35" i="29"/>
  <c r="BW35" i="29"/>
  <c r="BV35" i="29"/>
  <c r="BU35" i="29"/>
  <c r="BT35" i="29"/>
  <c r="BS35" i="29"/>
  <c r="BR34" i="29"/>
  <c r="CA34" i="29"/>
  <c r="BZ34" i="29"/>
  <c r="BY34" i="29"/>
  <c r="BX34" i="29"/>
  <c r="BV34" i="29"/>
  <c r="BU34" i="29"/>
  <c r="BT34" i="29"/>
  <c r="BS34" i="29"/>
  <c r="BR33" i="29"/>
  <c r="CA33" i="29"/>
  <c r="BZ33" i="29"/>
  <c r="BY33" i="29"/>
  <c r="BX33" i="29"/>
  <c r="BW33" i="29"/>
  <c r="BU33" i="29"/>
  <c r="BT33" i="29"/>
  <c r="BS33" i="29"/>
  <c r="BR32" i="29"/>
  <c r="CA32" i="29"/>
  <c r="BZ32" i="29"/>
  <c r="BY32" i="29"/>
  <c r="BX32" i="29"/>
  <c r="BW32" i="29"/>
  <c r="BV32" i="29"/>
  <c r="BT32" i="29"/>
  <c r="BS32" i="29"/>
  <c r="BR31" i="29"/>
  <c r="CA31" i="29"/>
  <c r="BZ31" i="29"/>
  <c r="BY31" i="29"/>
  <c r="BX31" i="29"/>
  <c r="BW31" i="29"/>
  <c r="BV31" i="29"/>
  <c r="BU31" i="29"/>
  <c r="BS31" i="29"/>
  <c r="BR30" i="29"/>
  <c r="CA30" i="29"/>
  <c r="BZ30" i="29"/>
  <c r="BY30" i="29"/>
  <c r="BX30" i="29"/>
  <c r="BW30" i="29"/>
  <c r="BV30" i="29"/>
  <c r="BU30" i="29"/>
  <c r="BT30" i="29"/>
  <c r="BR38" i="28"/>
  <c r="BZ29" i="28"/>
  <c r="BZ38" i="28"/>
  <c r="BY29" i="28"/>
  <c r="BY38" i="28"/>
  <c r="BX29" i="28"/>
  <c r="BX38" i="28"/>
  <c r="BW29" i="28"/>
  <c r="BW38" i="28"/>
  <c r="C65" i="28"/>
  <c r="F7" i="28"/>
  <c r="BV29" i="28"/>
  <c r="BV38" i="28"/>
  <c r="C64" i="28"/>
  <c r="F6" i="28"/>
  <c r="BU29" i="28"/>
  <c r="BU38" i="28"/>
  <c r="C63" i="28"/>
  <c r="F5" i="28"/>
  <c r="BT29" i="28"/>
  <c r="BT38" i="28"/>
  <c r="C62" i="28"/>
  <c r="F4" i="28"/>
  <c r="BS29" i="28"/>
  <c r="BS38" i="28"/>
  <c r="BR37" i="28"/>
  <c r="CA29" i="28"/>
  <c r="CA37" i="28"/>
  <c r="BY37" i="28"/>
  <c r="BX37" i="28"/>
  <c r="BW37" i="28"/>
  <c r="BV37" i="28"/>
  <c r="BU37" i="28"/>
  <c r="BT37" i="28"/>
  <c r="BS37" i="28"/>
  <c r="BR36" i="28"/>
  <c r="CA36" i="28"/>
  <c r="BZ36" i="28"/>
  <c r="BX36" i="28"/>
  <c r="BW36" i="28"/>
  <c r="BV36" i="28"/>
  <c r="BU36" i="28"/>
  <c r="BT36" i="28"/>
  <c r="BS36" i="28"/>
  <c r="BR35" i="28"/>
  <c r="CA35" i="28"/>
  <c r="BZ35" i="28"/>
  <c r="BY35" i="28"/>
  <c r="BW35" i="28"/>
  <c r="BV35" i="28"/>
  <c r="BU35" i="28"/>
  <c r="BT35" i="28"/>
  <c r="BS35" i="28"/>
  <c r="BR34" i="28"/>
  <c r="CA34" i="28"/>
  <c r="BZ34" i="28"/>
  <c r="BY34" i="28"/>
  <c r="BX34" i="28"/>
  <c r="BV34" i="28"/>
  <c r="BU34" i="28"/>
  <c r="BT34" i="28"/>
  <c r="BS34" i="28"/>
  <c r="BR33" i="28"/>
  <c r="CA33" i="28"/>
  <c r="BZ33" i="28"/>
  <c r="BY33" i="28"/>
  <c r="BX33" i="28"/>
  <c r="BW33" i="28"/>
  <c r="BU33" i="28"/>
  <c r="BT33" i="28"/>
  <c r="BS33" i="28"/>
  <c r="BR32" i="28"/>
  <c r="CA32" i="28"/>
  <c r="BZ32" i="28"/>
  <c r="BY32" i="28"/>
  <c r="BX32" i="28"/>
  <c r="BW32" i="28"/>
  <c r="BV32" i="28"/>
  <c r="BT32" i="28"/>
  <c r="BS32" i="28"/>
  <c r="BR31" i="28"/>
  <c r="CA31" i="28"/>
  <c r="BZ31" i="28"/>
  <c r="BY31" i="28"/>
  <c r="BX31" i="28"/>
  <c r="BW31" i="28"/>
  <c r="BV31" i="28"/>
  <c r="BU31" i="28"/>
  <c r="BS31" i="28"/>
  <c r="BR30" i="28"/>
  <c r="CA30" i="28"/>
  <c r="BZ30" i="28"/>
  <c r="BY30" i="28"/>
  <c r="BX30" i="28"/>
  <c r="BW30" i="28"/>
  <c r="BV30" i="28"/>
  <c r="BU30" i="28"/>
  <c r="BT30" i="28"/>
  <c r="BR38" i="27"/>
  <c r="BZ29" i="27"/>
  <c r="BZ38" i="27"/>
  <c r="BY29" i="27"/>
  <c r="BY38" i="27"/>
  <c r="BX29" i="27"/>
  <c r="BX38" i="27"/>
  <c r="BW29" i="27"/>
  <c r="BW38" i="27"/>
  <c r="C65" i="27"/>
  <c r="F7" i="27"/>
  <c r="BV29" i="27"/>
  <c r="BV38" i="27"/>
  <c r="C64" i="27"/>
  <c r="F6" i="27"/>
  <c r="BU29" i="27"/>
  <c r="BU38" i="27"/>
  <c r="C63" i="27"/>
  <c r="F5" i="27"/>
  <c r="BT29" i="27"/>
  <c r="BT38" i="27"/>
  <c r="C62" i="27"/>
  <c r="F4" i="27"/>
  <c r="BS29" i="27"/>
  <c r="BS38" i="27"/>
  <c r="BR37" i="27"/>
  <c r="CA29" i="27"/>
  <c r="CA37" i="27"/>
  <c r="BY37" i="27"/>
  <c r="BX37" i="27"/>
  <c r="BW37" i="27"/>
  <c r="BV37" i="27"/>
  <c r="BU37" i="27"/>
  <c r="BT37" i="27"/>
  <c r="BS37" i="27"/>
  <c r="BR36" i="27"/>
  <c r="CA36" i="27"/>
  <c r="BZ36" i="27"/>
  <c r="BX36" i="27"/>
  <c r="BW36" i="27"/>
  <c r="BV36" i="27"/>
  <c r="BU36" i="27"/>
  <c r="BT36" i="27"/>
  <c r="BS36" i="27"/>
  <c r="BR35" i="27"/>
  <c r="CA35" i="27"/>
  <c r="BZ35" i="27"/>
  <c r="BY35" i="27"/>
  <c r="BW35" i="27"/>
  <c r="BV35" i="27"/>
  <c r="BU35" i="27"/>
  <c r="BT35" i="27"/>
  <c r="BS35" i="27"/>
  <c r="BR34" i="27"/>
  <c r="CA34" i="27"/>
  <c r="BZ34" i="27"/>
  <c r="BY34" i="27"/>
  <c r="BX34" i="27"/>
  <c r="BV34" i="27"/>
  <c r="BU34" i="27"/>
  <c r="BT34" i="27"/>
  <c r="BS34" i="27"/>
  <c r="BR33" i="27"/>
  <c r="CA33" i="27"/>
  <c r="BZ33" i="27"/>
  <c r="BY33" i="27"/>
  <c r="BX33" i="27"/>
  <c r="BW33" i="27"/>
  <c r="BU33" i="27"/>
  <c r="BT33" i="27"/>
  <c r="BS33" i="27"/>
  <c r="BR32" i="27"/>
  <c r="CA32" i="27"/>
  <c r="BZ32" i="27"/>
  <c r="BY32" i="27"/>
  <c r="BX32" i="27"/>
  <c r="BW32" i="27"/>
  <c r="BV32" i="27"/>
  <c r="BT32" i="27"/>
  <c r="BS32" i="27"/>
  <c r="BR31" i="27"/>
  <c r="CA31" i="27"/>
  <c r="BZ31" i="27"/>
  <c r="BY31" i="27"/>
  <c r="BX31" i="27"/>
  <c r="BW31" i="27"/>
  <c r="BV31" i="27"/>
  <c r="BU31" i="27"/>
  <c r="BS31" i="27"/>
  <c r="BR30" i="27"/>
  <c r="CA30" i="27"/>
  <c r="BZ30" i="27"/>
  <c r="BY30" i="27"/>
  <c r="BX30" i="27"/>
  <c r="BW30" i="27"/>
  <c r="BV30" i="27"/>
  <c r="BU30" i="27"/>
  <c r="BT30" i="27"/>
  <c r="BZ38" i="26"/>
  <c r="BY38" i="26"/>
  <c r="BX38" i="26"/>
  <c r="BW38" i="26"/>
  <c r="C65" i="26"/>
  <c r="F7" i="26"/>
  <c r="BV29" i="26"/>
  <c r="BV38" i="26"/>
  <c r="C64" i="26"/>
  <c r="F6" i="26"/>
  <c r="BU29" i="26"/>
  <c r="BU38" i="26"/>
  <c r="C63" i="26"/>
  <c r="F5" i="26"/>
  <c r="BT29" i="26"/>
  <c r="BT38" i="26"/>
  <c r="C62" i="26"/>
  <c r="F4" i="26"/>
  <c r="BS29" i="26"/>
  <c r="BS38" i="26"/>
  <c r="CA37" i="26"/>
  <c r="BY37" i="26"/>
  <c r="BX37" i="26"/>
  <c r="BW37" i="26"/>
  <c r="BV37" i="26"/>
  <c r="BU37" i="26"/>
  <c r="BT37" i="26"/>
  <c r="BS37" i="26"/>
  <c r="CA36" i="26"/>
  <c r="BZ36" i="26"/>
  <c r="BX36" i="26"/>
  <c r="BW36" i="26"/>
  <c r="BV36" i="26"/>
  <c r="BU36" i="26"/>
  <c r="BT36" i="26"/>
  <c r="BS36" i="26"/>
  <c r="CA35" i="26"/>
  <c r="BZ35" i="26"/>
  <c r="BY35" i="26"/>
  <c r="BW35" i="26"/>
  <c r="BV35" i="26"/>
  <c r="BU35" i="26"/>
  <c r="BT35" i="26"/>
  <c r="BS35" i="26"/>
  <c r="CA34" i="26"/>
  <c r="BZ34" i="26"/>
  <c r="BY34" i="26"/>
  <c r="BX34" i="26"/>
  <c r="BV34" i="26"/>
  <c r="BU34" i="26"/>
  <c r="BT34" i="26"/>
  <c r="BS34" i="26"/>
  <c r="BR33" i="26"/>
  <c r="CA33" i="26"/>
  <c r="BZ33" i="26"/>
  <c r="BY33" i="26"/>
  <c r="BX33" i="26"/>
  <c r="BW33" i="26"/>
  <c r="BU33" i="26"/>
  <c r="BT33" i="26"/>
  <c r="BS33" i="26"/>
  <c r="BR32" i="26"/>
  <c r="CA32" i="26"/>
  <c r="BZ32" i="26"/>
  <c r="BY32" i="26"/>
  <c r="BX32" i="26"/>
  <c r="BW32" i="26"/>
  <c r="BV32" i="26"/>
  <c r="BT32" i="26"/>
  <c r="BS32" i="26"/>
  <c r="BR31" i="26"/>
  <c r="CA31" i="26"/>
  <c r="BZ31" i="26"/>
  <c r="BY31" i="26"/>
  <c r="BX31" i="26"/>
  <c r="BW31" i="26"/>
  <c r="BV31" i="26"/>
  <c r="BU31" i="26"/>
  <c r="BS31" i="26"/>
  <c r="BR30" i="26"/>
  <c r="CA30" i="26"/>
  <c r="BZ30" i="26"/>
  <c r="BY30" i="26"/>
  <c r="BX30" i="26"/>
  <c r="BW30" i="26"/>
  <c r="BV30" i="26"/>
  <c r="BU30" i="26"/>
  <c r="BT30" i="26"/>
  <c r="AK64" i="42"/>
  <c r="AK65" i="42"/>
  <c r="AK66" i="42"/>
  <c r="AK67" i="42"/>
  <c r="AK68" i="42"/>
  <c r="AK69" i="42"/>
  <c r="AK70" i="42"/>
  <c r="AK71" i="42"/>
  <c r="AK72" i="42"/>
  <c r="AK73" i="42"/>
  <c r="AK74" i="42"/>
  <c r="AK75" i="42"/>
  <c r="AK76" i="42"/>
  <c r="AK77" i="42"/>
  <c r="AK78" i="42"/>
  <c r="AK79" i="42"/>
  <c r="AK80" i="42"/>
  <c r="AK81" i="42"/>
  <c r="AK82" i="42"/>
  <c r="AK83" i="42"/>
  <c r="AK84" i="42"/>
  <c r="AK85" i="42"/>
  <c r="AK86" i="42"/>
  <c r="AK87" i="42"/>
  <c r="AK88" i="42"/>
  <c r="AK89" i="42"/>
  <c r="AK90" i="42"/>
  <c r="AK91" i="42"/>
  <c r="AK92" i="42"/>
  <c r="AK93" i="42"/>
  <c r="AK94" i="42"/>
  <c r="AK95" i="42"/>
  <c r="AK96" i="42"/>
  <c r="AK97" i="42"/>
  <c r="AK98" i="42"/>
  <c r="AK99" i="42"/>
  <c r="AJ64" i="42"/>
  <c r="AJ65" i="42"/>
  <c r="AJ66" i="42"/>
  <c r="AJ67" i="42"/>
  <c r="AJ68" i="42"/>
  <c r="AJ69" i="42"/>
  <c r="AJ70" i="42"/>
  <c r="AJ71" i="42"/>
  <c r="AJ72" i="42"/>
  <c r="AJ73" i="42"/>
  <c r="AJ74" i="42"/>
  <c r="AJ75" i="42"/>
  <c r="AJ76" i="42"/>
  <c r="AJ77" i="42"/>
  <c r="AJ78" i="42"/>
  <c r="AJ79" i="42"/>
  <c r="AJ80" i="42"/>
  <c r="AJ81" i="42"/>
  <c r="AJ82" i="42"/>
  <c r="AJ83" i="42"/>
  <c r="AJ84" i="42"/>
  <c r="AJ85" i="42"/>
  <c r="AJ86" i="42"/>
  <c r="AJ87" i="42"/>
  <c r="AJ88" i="42"/>
  <c r="AJ89" i="42"/>
  <c r="AJ90" i="42"/>
  <c r="AJ91" i="42"/>
  <c r="AJ92" i="42"/>
  <c r="AJ93" i="42"/>
  <c r="AJ94" i="42"/>
  <c r="AJ95" i="42"/>
  <c r="AJ96" i="42"/>
  <c r="AJ97" i="42"/>
  <c r="AJ98" i="42"/>
  <c r="AJ99" i="42"/>
  <c r="BV51" i="26"/>
  <c r="BU51" i="26"/>
  <c r="BT51" i="26"/>
  <c r="BS51" i="26"/>
  <c r="BR38" i="26"/>
  <c r="BZ29" i="26"/>
  <c r="BY29" i="26"/>
  <c r="BX29" i="26"/>
  <c r="BW29" i="26"/>
  <c r="BR37" i="26"/>
  <c r="CA29" i="26"/>
  <c r="BR36" i="26"/>
  <c r="BR35" i="26"/>
  <c r="BR34" i="26"/>
  <c r="BR38" i="35"/>
  <c r="BZ29" i="35"/>
  <c r="BY29" i="35"/>
  <c r="BX29" i="35"/>
  <c r="BW29" i="35"/>
  <c r="BV29" i="35"/>
  <c r="BU29" i="35"/>
  <c r="BT29" i="35"/>
  <c r="BS29" i="35"/>
  <c r="BR37" i="35"/>
  <c r="CA29" i="35"/>
  <c r="BR36" i="35"/>
  <c r="BR35" i="35"/>
  <c r="BR34" i="35"/>
  <c r="BR33" i="35"/>
  <c r="BR32" i="35"/>
  <c r="BR31" i="35"/>
  <c r="BR30" i="35"/>
  <c r="BR38" i="25"/>
  <c r="BZ29" i="25"/>
  <c r="BY29" i="25"/>
  <c r="BX29" i="25"/>
  <c r="BW29" i="25"/>
  <c r="BV29" i="25"/>
  <c r="BU29" i="25"/>
  <c r="BT29" i="25"/>
  <c r="BS29" i="25"/>
  <c r="BR37" i="25"/>
  <c r="CA29" i="25"/>
  <c r="BR36" i="25"/>
  <c r="BR35" i="25"/>
  <c r="BR34" i="25"/>
  <c r="BR33" i="25"/>
  <c r="BR32" i="25"/>
  <c r="BR31" i="25"/>
  <c r="BR30" i="25"/>
  <c r="BR38" i="17"/>
  <c r="BZ29" i="17"/>
  <c r="BY29" i="17"/>
  <c r="BX29" i="17"/>
  <c r="BW29" i="17"/>
  <c r="BV29" i="17"/>
  <c r="BU29" i="17"/>
  <c r="BT29" i="17"/>
  <c r="BS29" i="17"/>
  <c r="BR37" i="17"/>
  <c r="CA29" i="17"/>
  <c r="BR36" i="17"/>
  <c r="BR35" i="17"/>
  <c r="BR34" i="17"/>
  <c r="BR33" i="17"/>
  <c r="BR32" i="17"/>
  <c r="BR31" i="17"/>
  <c r="BR30" i="17"/>
  <c r="C18" i="31"/>
  <c r="AD18" i="31"/>
  <c r="Y18" i="31"/>
  <c r="C19" i="31"/>
  <c r="AD19" i="31"/>
  <c r="Y19" i="31"/>
  <c r="C20" i="31"/>
  <c r="AD20" i="31"/>
  <c r="Y20" i="31"/>
  <c r="C17" i="31"/>
  <c r="AD17" i="31"/>
  <c r="Y17" i="31"/>
  <c r="C18" i="29"/>
  <c r="I25" i="41"/>
  <c r="K25" i="41"/>
  <c r="AC25" i="41"/>
  <c r="AD25" i="41"/>
  <c r="U25" i="41"/>
  <c r="I26" i="41"/>
  <c r="K26" i="41"/>
  <c r="AC26" i="41"/>
  <c r="AD26" i="41"/>
  <c r="U26" i="41"/>
  <c r="I27" i="41"/>
  <c r="K27" i="41"/>
  <c r="AC27" i="41"/>
  <c r="AD27" i="41"/>
  <c r="U27" i="41"/>
  <c r="I28" i="41"/>
  <c r="K28" i="41"/>
  <c r="AC28" i="41"/>
  <c r="AD28" i="41"/>
  <c r="U28" i="41"/>
  <c r="I29" i="41"/>
  <c r="K29" i="41"/>
  <c r="AC29" i="41"/>
  <c r="AD29" i="41"/>
  <c r="U29" i="41"/>
  <c r="I30" i="41"/>
  <c r="K30" i="41"/>
  <c r="AC30" i="41"/>
  <c r="AD30" i="41"/>
  <c r="U30" i="41"/>
  <c r="AD18" i="29"/>
  <c r="Y18" i="29"/>
  <c r="C19" i="29"/>
  <c r="AD19" i="29"/>
  <c r="Y19" i="29"/>
  <c r="C20" i="29"/>
  <c r="AD20" i="29"/>
  <c r="Y20" i="29"/>
  <c r="C17" i="29"/>
  <c r="AD17" i="29"/>
  <c r="Y17" i="29"/>
  <c r="C18" i="28"/>
  <c r="AD18" i="28"/>
  <c r="Y18" i="28"/>
  <c r="C19" i="28"/>
  <c r="AD19" i="28"/>
  <c r="Y19" i="28"/>
  <c r="C20" i="28"/>
  <c r="AD20" i="28"/>
  <c r="Y20" i="28"/>
  <c r="C17" i="28"/>
  <c r="AD17" i="28"/>
  <c r="Y17" i="28"/>
  <c r="C18" i="27"/>
  <c r="AD18" i="27"/>
  <c r="Y18" i="27"/>
  <c r="C19" i="27"/>
  <c r="AD19" i="27"/>
  <c r="Y19" i="27"/>
  <c r="C20" i="27"/>
  <c r="AD20" i="27"/>
  <c r="Y20" i="27"/>
  <c r="C17" i="27"/>
  <c r="AD17" i="27"/>
  <c r="Y17" i="27"/>
  <c r="C18" i="26"/>
  <c r="AD18" i="26"/>
  <c r="Y18" i="26"/>
  <c r="C19" i="26"/>
  <c r="AD19" i="26"/>
  <c r="Y19" i="26"/>
  <c r="C20" i="26"/>
  <c r="AD20" i="26"/>
  <c r="Y20" i="26"/>
  <c r="C17" i="26"/>
  <c r="AD17" i="26"/>
  <c r="Y17" i="26"/>
  <c r="AP41" i="6"/>
  <c r="Z136" i="35"/>
  <c r="AA136" i="35"/>
  <c r="AC136" i="35"/>
  <c r="Z137" i="35"/>
  <c r="AA137" i="35"/>
  <c r="AC137" i="35"/>
  <c r="Z138" i="35"/>
  <c r="AA138" i="35"/>
  <c r="AC138" i="35"/>
  <c r="Z139" i="35"/>
  <c r="AA139" i="35"/>
  <c r="AC139" i="35"/>
  <c r="Z140" i="35"/>
  <c r="AA140" i="35"/>
  <c r="AC140" i="35"/>
  <c r="Z141" i="35"/>
  <c r="AA141" i="35"/>
  <c r="AC141" i="35"/>
  <c r="Z142" i="35"/>
  <c r="AA142" i="35"/>
  <c r="AC142" i="35"/>
  <c r="Z143" i="35"/>
  <c r="AA143" i="35"/>
  <c r="AC143" i="35"/>
  <c r="Z144" i="35"/>
  <c r="AA144" i="35"/>
  <c r="AC144" i="35"/>
  <c r="Z145" i="35"/>
  <c r="AA145" i="35"/>
  <c r="AC145" i="35"/>
  <c r="Z146" i="35"/>
  <c r="AA146" i="35"/>
  <c r="AC146" i="35"/>
  <c r="Z147" i="35"/>
  <c r="AA147" i="35"/>
  <c r="AC147" i="35"/>
  <c r="Z148" i="35"/>
  <c r="AA148" i="35"/>
  <c r="AC148" i="35"/>
  <c r="Z149" i="35"/>
  <c r="AA149" i="35"/>
  <c r="AC149" i="35"/>
  <c r="Z150" i="35"/>
  <c r="AA150" i="35"/>
  <c r="AC150" i="35"/>
  <c r="Z151" i="35"/>
  <c r="AA151" i="35"/>
  <c r="AC151" i="35"/>
  <c r="Z152" i="35"/>
  <c r="AA152" i="35"/>
  <c r="AC152" i="35"/>
  <c r="Z153" i="35"/>
  <c r="AA153" i="35"/>
  <c r="AC153" i="35"/>
  <c r="Z154" i="35"/>
  <c r="AA154" i="35"/>
  <c r="AC154" i="35"/>
  <c r="Z155" i="35"/>
  <c r="AA155" i="35"/>
  <c r="AC155" i="35"/>
  <c r="Z156" i="35"/>
  <c r="AA156" i="35"/>
  <c r="AC156" i="35"/>
  <c r="Z157" i="35"/>
  <c r="AA157" i="35"/>
  <c r="AC157" i="35"/>
  <c r="Z158" i="35"/>
  <c r="AA158" i="35"/>
  <c r="AC158" i="35"/>
  <c r="Z159" i="35"/>
  <c r="AA159" i="35"/>
  <c r="AC159" i="35"/>
  <c r="Z160" i="35"/>
  <c r="AA160" i="35"/>
  <c r="AC160" i="35"/>
  <c r="Z161" i="35"/>
  <c r="AA161" i="35"/>
  <c r="AC161" i="35"/>
  <c r="Z162" i="35"/>
  <c r="AA162" i="35"/>
  <c r="AC162" i="35"/>
  <c r="Z163" i="35"/>
  <c r="AA163" i="35"/>
  <c r="AC163" i="35"/>
  <c r="Z164" i="35"/>
  <c r="AA164" i="35"/>
  <c r="AC164" i="35"/>
  <c r="Z165" i="35"/>
  <c r="AA165" i="35"/>
  <c r="AC165" i="35"/>
  <c r="Z166" i="35"/>
  <c r="AA166" i="35"/>
  <c r="AC166" i="35"/>
  <c r="Z167" i="35"/>
  <c r="AA167" i="35"/>
  <c r="AC167" i="35"/>
  <c r="Z168" i="35"/>
  <c r="AA168" i="35"/>
  <c r="AC168" i="35"/>
  <c r="Z169" i="35"/>
  <c r="AA169" i="35"/>
  <c r="AC169" i="35"/>
  <c r="Z170" i="35"/>
  <c r="AA170" i="35"/>
  <c r="AC170" i="35"/>
  <c r="Z171" i="35"/>
  <c r="AA171" i="35"/>
  <c r="AC171" i="35"/>
  <c r="Z172" i="35"/>
  <c r="AA172" i="35"/>
  <c r="AC172" i="35"/>
  <c r="Z173" i="35"/>
  <c r="AA173" i="35"/>
  <c r="AC173" i="35"/>
  <c r="Z174" i="35"/>
  <c r="AA174" i="35"/>
  <c r="AC174" i="35"/>
  <c r="Z175" i="35"/>
  <c r="AA175" i="35"/>
  <c r="AC175" i="35"/>
  <c r="Z176" i="35"/>
  <c r="AA176" i="35"/>
  <c r="AC176" i="35"/>
  <c r="Z177" i="35"/>
  <c r="AA177" i="35"/>
  <c r="AC177" i="35"/>
  <c r="Z178" i="35"/>
  <c r="AA178" i="35"/>
  <c r="AC178" i="35"/>
  <c r="Z179" i="35"/>
  <c r="AA179" i="35"/>
  <c r="AC179" i="35"/>
  <c r="Z180" i="35"/>
  <c r="AA180" i="35"/>
  <c r="AC180" i="35"/>
  <c r="Z181" i="35"/>
  <c r="AA181" i="35"/>
  <c r="AC181" i="35"/>
  <c r="Z182" i="35"/>
  <c r="AA182" i="35"/>
  <c r="AC182" i="35"/>
  <c r="Z183" i="35"/>
  <c r="AA183" i="35"/>
  <c r="AC183" i="35"/>
  <c r="Z184" i="35"/>
  <c r="AA184" i="35"/>
  <c r="AC184" i="35"/>
  <c r="Z185" i="35"/>
  <c r="AA185" i="35"/>
  <c r="AC185" i="35"/>
  <c r="Z186" i="35"/>
  <c r="AA186" i="35"/>
  <c r="AC186" i="35"/>
  <c r="Z187" i="35"/>
  <c r="AA187" i="35"/>
  <c r="AC187" i="35"/>
  <c r="Z188" i="35"/>
  <c r="AA188" i="35"/>
  <c r="AC188" i="35"/>
  <c r="Z189" i="35"/>
  <c r="AA189" i="35"/>
  <c r="AC189" i="35"/>
  <c r="Z190" i="35"/>
  <c r="AA190" i="35"/>
  <c r="AC190" i="35"/>
  <c r="Z191" i="35"/>
  <c r="AA191" i="35"/>
  <c r="AC191" i="35"/>
  <c r="Z192" i="35"/>
  <c r="AA192" i="35"/>
  <c r="AC192" i="35"/>
  <c r="Z193" i="35"/>
  <c r="AA193" i="35"/>
  <c r="AC193" i="35"/>
  <c r="Z194" i="35"/>
  <c r="AA194" i="35"/>
  <c r="AC194" i="35"/>
  <c r="Z195" i="35"/>
  <c r="AA195" i="35"/>
  <c r="AC195" i="35"/>
  <c r="AP47" i="6"/>
  <c r="AO41" i="6"/>
  <c r="AO47" i="6"/>
  <c r="AN41" i="6"/>
  <c r="AN47" i="6"/>
  <c r="AM41" i="6"/>
  <c r="AM47" i="6"/>
  <c r="AL41" i="6"/>
  <c r="AL47" i="6"/>
  <c r="AQ41" i="6"/>
  <c r="AQ46" i="6"/>
  <c r="G29" i="44"/>
  <c r="AO46" i="6"/>
  <c r="AN46" i="6"/>
  <c r="AM46" i="6"/>
  <c r="AL46" i="6"/>
  <c r="AQ45" i="6"/>
  <c r="AP45" i="6"/>
  <c r="AN45" i="6"/>
  <c r="AM45" i="6"/>
  <c r="AL45" i="6"/>
  <c r="AQ44" i="6"/>
  <c r="AP44" i="6"/>
  <c r="AO44" i="6"/>
  <c r="AM44" i="6"/>
  <c r="AL44" i="6"/>
  <c r="AQ43" i="6"/>
  <c r="AP43" i="6"/>
  <c r="AO43" i="6"/>
  <c r="AN43" i="6"/>
  <c r="AL43" i="6"/>
  <c r="AQ42" i="6"/>
  <c r="AP42" i="6"/>
  <c r="AO42" i="6"/>
  <c r="AN42" i="6"/>
  <c r="AM42" i="6"/>
  <c r="AP31" i="6"/>
  <c r="Z136" i="25"/>
  <c r="AA136" i="25"/>
  <c r="AC136" i="25"/>
  <c r="Z137" i="25"/>
  <c r="AA137" i="25"/>
  <c r="AC137" i="25"/>
  <c r="Z138" i="25"/>
  <c r="AA138" i="25"/>
  <c r="AC138" i="25"/>
  <c r="Z139" i="25"/>
  <c r="AA139" i="25"/>
  <c r="AC139" i="25"/>
  <c r="Z140" i="25"/>
  <c r="AA140" i="25"/>
  <c r="AC140" i="25"/>
  <c r="Z141" i="25"/>
  <c r="AA141" i="25"/>
  <c r="AC141" i="25"/>
  <c r="Z142" i="25"/>
  <c r="AA142" i="25"/>
  <c r="AC142" i="25"/>
  <c r="Z143" i="25"/>
  <c r="AA143" i="25"/>
  <c r="AC143" i="25"/>
  <c r="Z144" i="25"/>
  <c r="AA144" i="25"/>
  <c r="AC144" i="25"/>
  <c r="Z145" i="25"/>
  <c r="AA145" i="25"/>
  <c r="AC145" i="25"/>
  <c r="Z146" i="25"/>
  <c r="AA146" i="25"/>
  <c r="AC146" i="25"/>
  <c r="Z147" i="25"/>
  <c r="AA147" i="25"/>
  <c r="AC147" i="25"/>
  <c r="Z148" i="25"/>
  <c r="AA148" i="25"/>
  <c r="AC148" i="25"/>
  <c r="Z149" i="25"/>
  <c r="AA149" i="25"/>
  <c r="AC149" i="25"/>
  <c r="Z150" i="25"/>
  <c r="AA150" i="25"/>
  <c r="AC150" i="25"/>
  <c r="Z151" i="25"/>
  <c r="AA151" i="25"/>
  <c r="AC151" i="25"/>
  <c r="Z152" i="25"/>
  <c r="AA152" i="25"/>
  <c r="AC152" i="25"/>
  <c r="Z153" i="25"/>
  <c r="AA153" i="25"/>
  <c r="AC153" i="25"/>
  <c r="Z154" i="25"/>
  <c r="AA154" i="25"/>
  <c r="AC154" i="25"/>
  <c r="Z155" i="25"/>
  <c r="AA155" i="25"/>
  <c r="AC155" i="25"/>
  <c r="Z156" i="25"/>
  <c r="AA156" i="25"/>
  <c r="AC156" i="25"/>
  <c r="Z157" i="25"/>
  <c r="AA157" i="25"/>
  <c r="AC157" i="25"/>
  <c r="Z158" i="25"/>
  <c r="AA158" i="25"/>
  <c r="AC158" i="25"/>
  <c r="Z159" i="25"/>
  <c r="AA159" i="25"/>
  <c r="AC159" i="25"/>
  <c r="Z160" i="25"/>
  <c r="AA160" i="25"/>
  <c r="AC160" i="25"/>
  <c r="Z161" i="25"/>
  <c r="AA161" i="25"/>
  <c r="AC161" i="25"/>
  <c r="Z162" i="25"/>
  <c r="AA162" i="25"/>
  <c r="AC162" i="25"/>
  <c r="Z163" i="25"/>
  <c r="AA163" i="25"/>
  <c r="AC163" i="25"/>
  <c r="Z164" i="25"/>
  <c r="AA164" i="25"/>
  <c r="AC164" i="25"/>
  <c r="Z165" i="25"/>
  <c r="AA165" i="25"/>
  <c r="AC165" i="25"/>
  <c r="Z166" i="25"/>
  <c r="AA166" i="25"/>
  <c r="AC166" i="25"/>
  <c r="Z167" i="25"/>
  <c r="AA167" i="25"/>
  <c r="AC167" i="25"/>
  <c r="Z168" i="25"/>
  <c r="AA168" i="25"/>
  <c r="AC168" i="25"/>
  <c r="Z169" i="25"/>
  <c r="AA169" i="25"/>
  <c r="AC169" i="25"/>
  <c r="Z170" i="25"/>
  <c r="AA170" i="25"/>
  <c r="AC170" i="25"/>
  <c r="Z171" i="25"/>
  <c r="AA171" i="25"/>
  <c r="AC171" i="25"/>
  <c r="Z172" i="25"/>
  <c r="AA172" i="25"/>
  <c r="AC172" i="25"/>
  <c r="Z173" i="25"/>
  <c r="AA173" i="25"/>
  <c r="AC173" i="25"/>
  <c r="Z174" i="25"/>
  <c r="AA174" i="25"/>
  <c r="AC174" i="25"/>
  <c r="Z175" i="25"/>
  <c r="AA175" i="25"/>
  <c r="AC175" i="25"/>
  <c r="Z176" i="25"/>
  <c r="AA176" i="25"/>
  <c r="AC176" i="25"/>
  <c r="Z177" i="25"/>
  <c r="AA177" i="25"/>
  <c r="AC177" i="25"/>
  <c r="Z178" i="25"/>
  <c r="AA178" i="25"/>
  <c r="AC178" i="25"/>
  <c r="Z179" i="25"/>
  <c r="AA179" i="25"/>
  <c r="AC179" i="25"/>
  <c r="Z180" i="25"/>
  <c r="AA180" i="25"/>
  <c r="AC180" i="25"/>
  <c r="Z181" i="25"/>
  <c r="AA181" i="25"/>
  <c r="AC181" i="25"/>
  <c r="Z182" i="25"/>
  <c r="AA182" i="25"/>
  <c r="AC182" i="25"/>
  <c r="Z183" i="25"/>
  <c r="AA183" i="25"/>
  <c r="AC183" i="25"/>
  <c r="Z184" i="25"/>
  <c r="AA184" i="25"/>
  <c r="AC184" i="25"/>
  <c r="Z185" i="25"/>
  <c r="AA185" i="25"/>
  <c r="AC185" i="25"/>
  <c r="Z186" i="25"/>
  <c r="AA186" i="25"/>
  <c r="AC186" i="25"/>
  <c r="Z187" i="25"/>
  <c r="AA187" i="25"/>
  <c r="AC187" i="25"/>
  <c r="Z188" i="25"/>
  <c r="AA188" i="25"/>
  <c r="AC188" i="25"/>
  <c r="Z189" i="25"/>
  <c r="AA189" i="25"/>
  <c r="AC189" i="25"/>
  <c r="Z190" i="25"/>
  <c r="AA190" i="25"/>
  <c r="AC190" i="25"/>
  <c r="Z191" i="25"/>
  <c r="AA191" i="25"/>
  <c r="AC191" i="25"/>
  <c r="Z192" i="25"/>
  <c r="AA192" i="25"/>
  <c r="AC192" i="25"/>
  <c r="Z193" i="25"/>
  <c r="AA193" i="25"/>
  <c r="AC193" i="25"/>
  <c r="Z194" i="25"/>
  <c r="AA194" i="25"/>
  <c r="AC194" i="25"/>
  <c r="Z195" i="25"/>
  <c r="AA195" i="25"/>
  <c r="AC195" i="25"/>
  <c r="AP37" i="6"/>
  <c r="AO31" i="6"/>
  <c r="AO37" i="6"/>
  <c r="AN31" i="6"/>
  <c r="AN37" i="6"/>
  <c r="AM31" i="6"/>
  <c r="AM37" i="6"/>
  <c r="AL31" i="6"/>
  <c r="AL37" i="6"/>
  <c r="AQ31" i="6"/>
  <c r="AQ36" i="6"/>
  <c r="AO36" i="6"/>
  <c r="AN36" i="6"/>
  <c r="AM36" i="6"/>
  <c r="AL36" i="6"/>
  <c r="AQ35" i="6"/>
  <c r="AP35" i="6"/>
  <c r="AN35" i="6"/>
  <c r="AM35" i="6"/>
  <c r="AL35" i="6"/>
  <c r="AQ34" i="6"/>
  <c r="AP34" i="6"/>
  <c r="AO34" i="6"/>
  <c r="AM34" i="6"/>
  <c r="AL34" i="6"/>
  <c r="AQ33" i="6"/>
  <c r="AP33" i="6"/>
  <c r="AO33" i="6"/>
  <c r="AN33" i="6"/>
  <c r="AL33" i="6"/>
  <c r="AQ32" i="6"/>
  <c r="AP32" i="6"/>
  <c r="AO32" i="6"/>
  <c r="AN32" i="6"/>
  <c r="AM32" i="6"/>
  <c r="AP21" i="6"/>
  <c r="Z136" i="17"/>
  <c r="AA136" i="17"/>
  <c r="AC136" i="17"/>
  <c r="Z137" i="17"/>
  <c r="AA137" i="17"/>
  <c r="AC137" i="17"/>
  <c r="Z138" i="17"/>
  <c r="AA138" i="17"/>
  <c r="AC138" i="17"/>
  <c r="Z139" i="17"/>
  <c r="AA139" i="17"/>
  <c r="AC139" i="17"/>
  <c r="Z140" i="17"/>
  <c r="AA140" i="17"/>
  <c r="AC140" i="17"/>
  <c r="Z141" i="17"/>
  <c r="AA141" i="17"/>
  <c r="AC141" i="17"/>
  <c r="Z142" i="17"/>
  <c r="AA142" i="17"/>
  <c r="AC142" i="17"/>
  <c r="Z143" i="17"/>
  <c r="AA143" i="17"/>
  <c r="AC143" i="17"/>
  <c r="Z144" i="17"/>
  <c r="AA144" i="17"/>
  <c r="AC144" i="17"/>
  <c r="Z145" i="17"/>
  <c r="AA145" i="17"/>
  <c r="AC145" i="17"/>
  <c r="Z146" i="17"/>
  <c r="AA146" i="17"/>
  <c r="AC146" i="17"/>
  <c r="Z147" i="17"/>
  <c r="AA147" i="17"/>
  <c r="AC147" i="17"/>
  <c r="Z148" i="17"/>
  <c r="AA148" i="17"/>
  <c r="AC148" i="17"/>
  <c r="Z149" i="17"/>
  <c r="AA149" i="17"/>
  <c r="AC149" i="17"/>
  <c r="Z150" i="17"/>
  <c r="AA150" i="17"/>
  <c r="AC150" i="17"/>
  <c r="Z151" i="17"/>
  <c r="AA151" i="17"/>
  <c r="AC151" i="17"/>
  <c r="Z152" i="17"/>
  <c r="AA152" i="17"/>
  <c r="AC152" i="17"/>
  <c r="Z153" i="17"/>
  <c r="AA153" i="17"/>
  <c r="AC153" i="17"/>
  <c r="Z154" i="17"/>
  <c r="AA154" i="17"/>
  <c r="AC154" i="17"/>
  <c r="Z155" i="17"/>
  <c r="AA155" i="17"/>
  <c r="AC155" i="17"/>
  <c r="Z156" i="17"/>
  <c r="AA156" i="17"/>
  <c r="AC156" i="17"/>
  <c r="Z157" i="17"/>
  <c r="AA157" i="17"/>
  <c r="AC157" i="17"/>
  <c r="Z158" i="17"/>
  <c r="AA158" i="17"/>
  <c r="AC158" i="17"/>
  <c r="Z159" i="17"/>
  <c r="AA159" i="17"/>
  <c r="AC159" i="17"/>
  <c r="Z160" i="17"/>
  <c r="AA160" i="17"/>
  <c r="AC160" i="17"/>
  <c r="Z161" i="17"/>
  <c r="AA161" i="17"/>
  <c r="AC161" i="17"/>
  <c r="Z162" i="17"/>
  <c r="AA162" i="17"/>
  <c r="AC162" i="17"/>
  <c r="Z163" i="17"/>
  <c r="AA163" i="17"/>
  <c r="AC163" i="17"/>
  <c r="Z164" i="17"/>
  <c r="AA164" i="17"/>
  <c r="AC164" i="17"/>
  <c r="Z165" i="17"/>
  <c r="AA165" i="17"/>
  <c r="AC165" i="17"/>
  <c r="Z166" i="17"/>
  <c r="AA166" i="17"/>
  <c r="AC166" i="17"/>
  <c r="Z167" i="17"/>
  <c r="AA167" i="17"/>
  <c r="AC167" i="17"/>
  <c r="Z168" i="17"/>
  <c r="AA168" i="17"/>
  <c r="AC168" i="17"/>
  <c r="Z169" i="17"/>
  <c r="AA169" i="17"/>
  <c r="AC169" i="17"/>
  <c r="Z170" i="17"/>
  <c r="AA170" i="17"/>
  <c r="AC170" i="17"/>
  <c r="Z171" i="17"/>
  <c r="AA171" i="17"/>
  <c r="AC171" i="17"/>
  <c r="Z172" i="17"/>
  <c r="AA172" i="17"/>
  <c r="AC172" i="17"/>
  <c r="Z173" i="17"/>
  <c r="AA173" i="17"/>
  <c r="AC173" i="17"/>
  <c r="Z174" i="17"/>
  <c r="AA174" i="17"/>
  <c r="AC174" i="17"/>
  <c r="Z175" i="17"/>
  <c r="AA175" i="17"/>
  <c r="AC175" i="17"/>
  <c r="Z176" i="17"/>
  <c r="AA176" i="17"/>
  <c r="AC176" i="17"/>
  <c r="Z177" i="17"/>
  <c r="AA177" i="17"/>
  <c r="AC177" i="17"/>
  <c r="Z178" i="17"/>
  <c r="AA178" i="17"/>
  <c r="AC178" i="17"/>
  <c r="Z179" i="17"/>
  <c r="AA179" i="17"/>
  <c r="AC179" i="17"/>
  <c r="Z180" i="17"/>
  <c r="AA180" i="17"/>
  <c r="AC180" i="17"/>
  <c r="Z181" i="17"/>
  <c r="AA181" i="17"/>
  <c r="AC181" i="17"/>
  <c r="Z182" i="17"/>
  <c r="AA182" i="17"/>
  <c r="AC182" i="17"/>
  <c r="Z183" i="17"/>
  <c r="AA183" i="17"/>
  <c r="AC183" i="17"/>
  <c r="Z184" i="17"/>
  <c r="AA184" i="17"/>
  <c r="AC184" i="17"/>
  <c r="Z185" i="17"/>
  <c r="AA185" i="17"/>
  <c r="AC185" i="17"/>
  <c r="Z186" i="17"/>
  <c r="AA186" i="17"/>
  <c r="AC186" i="17"/>
  <c r="Z187" i="17"/>
  <c r="AA187" i="17"/>
  <c r="AC187" i="17"/>
  <c r="Z188" i="17"/>
  <c r="AA188" i="17"/>
  <c r="AC188" i="17"/>
  <c r="Z189" i="17"/>
  <c r="AA189" i="17"/>
  <c r="AC189" i="17"/>
  <c r="Z190" i="17"/>
  <c r="AA190" i="17"/>
  <c r="AC190" i="17"/>
  <c r="Z191" i="17"/>
  <c r="AA191" i="17"/>
  <c r="AC191" i="17"/>
  <c r="Z192" i="17"/>
  <c r="AA192" i="17"/>
  <c r="AC192" i="17"/>
  <c r="Z193" i="17"/>
  <c r="AA193" i="17"/>
  <c r="AC193" i="17"/>
  <c r="Z194" i="17"/>
  <c r="AA194" i="17"/>
  <c r="AC194" i="17"/>
  <c r="Z195" i="17"/>
  <c r="AA195" i="17"/>
  <c r="AC195" i="17"/>
  <c r="AP27" i="6"/>
  <c r="AO21" i="6"/>
  <c r="AO27" i="6"/>
  <c r="AN21" i="6"/>
  <c r="AN27" i="6"/>
  <c r="AM21" i="6"/>
  <c r="AM27" i="6"/>
  <c r="AL21" i="6"/>
  <c r="AL27" i="6"/>
  <c r="AQ21" i="6"/>
  <c r="AQ26" i="6"/>
  <c r="AO26" i="6"/>
  <c r="AN26" i="6"/>
  <c r="AM26" i="6"/>
  <c r="AL26" i="6"/>
  <c r="AQ25" i="6"/>
  <c r="AP25" i="6"/>
  <c r="AN25" i="6"/>
  <c r="AM25" i="6"/>
  <c r="AL25" i="6"/>
  <c r="AQ24" i="6"/>
  <c r="AP24" i="6"/>
  <c r="AO24" i="6"/>
  <c r="AM24" i="6"/>
  <c r="AL24" i="6"/>
  <c r="AQ23" i="6"/>
  <c r="AP23" i="6"/>
  <c r="AO23" i="6"/>
  <c r="AN23" i="6"/>
  <c r="AL23" i="6"/>
  <c r="AQ22" i="6"/>
  <c r="AP22" i="6"/>
  <c r="AO22" i="6"/>
  <c r="AN22" i="6"/>
  <c r="AM22" i="6"/>
  <c r="AK50" i="49"/>
  <c r="AG50" i="49"/>
  <c r="AK49" i="49"/>
  <c r="AG49" i="49"/>
  <c r="AK48" i="49"/>
  <c r="AG48" i="49"/>
  <c r="AK47" i="49"/>
  <c r="AG47" i="49"/>
  <c r="AK43" i="49"/>
  <c r="AG43" i="49"/>
  <c r="AK42" i="49"/>
  <c r="AG42" i="49"/>
  <c r="AK41" i="49"/>
  <c r="AG41" i="49"/>
  <c r="AK40" i="49"/>
  <c r="AG40" i="49"/>
  <c r="AK36" i="49"/>
  <c r="AG36" i="49"/>
  <c r="AK35" i="49"/>
  <c r="AG35" i="49"/>
  <c r="AK34" i="49"/>
  <c r="AG34" i="49"/>
  <c r="AK33" i="49"/>
  <c r="AG33" i="49"/>
  <c r="AK15" i="49"/>
  <c r="AG15" i="49"/>
  <c r="AK14" i="49"/>
  <c r="AG14" i="49"/>
  <c r="AK13" i="49"/>
  <c r="AG13" i="49"/>
  <c r="AK12" i="49"/>
  <c r="AG12" i="49"/>
  <c r="AK29" i="49"/>
  <c r="AG29" i="49"/>
  <c r="AK28" i="49"/>
  <c r="AG28" i="49"/>
  <c r="AK27" i="49"/>
  <c r="AG27" i="49"/>
  <c r="AK26" i="49"/>
  <c r="AG26" i="49"/>
  <c r="F12" i="26"/>
  <c r="BR60" i="26"/>
  <c r="F11" i="26"/>
  <c r="BZ51" i="26"/>
  <c r="BZ60" i="26"/>
  <c r="F10" i="26"/>
  <c r="BY51" i="26"/>
  <c r="BY60" i="26"/>
  <c r="F9" i="26"/>
  <c r="BX51" i="26"/>
  <c r="BX60" i="26"/>
  <c r="F8" i="26"/>
  <c r="BW51" i="26"/>
  <c r="BW60" i="26"/>
  <c r="BV60" i="26"/>
  <c r="BU60" i="26"/>
  <c r="BT60" i="26"/>
  <c r="BS60" i="26"/>
  <c r="BR59" i="26"/>
  <c r="CA51" i="26"/>
  <c r="CA59" i="26"/>
  <c r="BY59" i="26"/>
  <c r="BX59" i="26"/>
  <c r="BW59" i="26"/>
  <c r="BV59" i="26"/>
  <c r="BU59" i="26"/>
  <c r="BT59" i="26"/>
  <c r="BS59" i="26"/>
  <c r="BR58" i="26"/>
  <c r="CA58" i="26"/>
  <c r="BZ58" i="26"/>
  <c r="BX58" i="26"/>
  <c r="BW58" i="26"/>
  <c r="BV58" i="26"/>
  <c r="BU58" i="26"/>
  <c r="BT58" i="26"/>
  <c r="BS58" i="26"/>
  <c r="BR57" i="26"/>
  <c r="CA57" i="26"/>
  <c r="BZ57" i="26"/>
  <c r="BY57" i="26"/>
  <c r="BW57" i="26"/>
  <c r="BV57" i="26"/>
  <c r="BU57" i="26"/>
  <c r="BT57" i="26"/>
  <c r="BS57" i="26"/>
  <c r="BR56" i="26"/>
  <c r="CA56" i="26"/>
  <c r="BZ56" i="26"/>
  <c r="BY56" i="26"/>
  <c r="BX56" i="26"/>
  <c r="BV56" i="26"/>
  <c r="BU56" i="26"/>
  <c r="BT56" i="26"/>
  <c r="BS56" i="26"/>
  <c r="BR55" i="26"/>
  <c r="CA55" i="26"/>
  <c r="BZ55" i="26"/>
  <c r="BY55" i="26"/>
  <c r="BX55" i="26"/>
  <c r="BW55" i="26"/>
  <c r="BU55" i="26"/>
  <c r="BT55" i="26"/>
  <c r="BS55" i="26"/>
  <c r="BR54" i="26"/>
  <c r="CA54" i="26"/>
  <c r="BZ54" i="26"/>
  <c r="BY54" i="26"/>
  <c r="BX54" i="26"/>
  <c r="BW54" i="26"/>
  <c r="BV54" i="26"/>
  <c r="BT54" i="26"/>
  <c r="BS54" i="26"/>
  <c r="BR53" i="26"/>
  <c r="CA53" i="26"/>
  <c r="BZ53" i="26"/>
  <c r="BY53" i="26"/>
  <c r="BX53" i="26"/>
  <c r="BW53" i="26"/>
  <c r="BV53" i="26"/>
  <c r="BU53" i="26"/>
  <c r="BS53" i="26"/>
  <c r="BR52" i="26"/>
  <c r="CA52" i="26"/>
  <c r="BZ52" i="26"/>
  <c r="BY52" i="26"/>
  <c r="BX52" i="26"/>
  <c r="BW52" i="26"/>
  <c r="BV52" i="26"/>
  <c r="BU52" i="26"/>
  <c r="BT52" i="26"/>
  <c r="CA48" i="26"/>
  <c r="BZ49" i="26"/>
  <c r="CA47" i="26"/>
  <c r="BY49" i="26"/>
  <c r="CA46" i="26"/>
  <c r="BX49" i="26"/>
  <c r="CA45" i="26"/>
  <c r="BW49" i="26"/>
  <c r="CA44" i="26"/>
  <c r="BV49" i="26"/>
  <c r="CA43" i="26"/>
  <c r="BU49" i="26"/>
  <c r="CA42" i="26"/>
  <c r="BT49" i="26"/>
  <c r="CA41" i="26"/>
  <c r="BS49" i="26"/>
  <c r="BR49" i="26"/>
  <c r="C25" i="26"/>
  <c r="BZ47" i="26"/>
  <c r="BY48" i="26"/>
  <c r="BZ46" i="26"/>
  <c r="BX48" i="26"/>
  <c r="BZ45" i="26"/>
  <c r="BW48" i="26"/>
  <c r="BZ44" i="26"/>
  <c r="BV48" i="26"/>
  <c r="BZ43" i="26"/>
  <c r="BU48" i="26"/>
  <c r="BZ42" i="26"/>
  <c r="BT48" i="26"/>
  <c r="BZ41" i="26"/>
  <c r="BS48" i="26"/>
  <c r="BR48" i="26"/>
  <c r="C24" i="26"/>
  <c r="BY46" i="26"/>
  <c r="BX47" i="26"/>
  <c r="BY45" i="26"/>
  <c r="BW47" i="26"/>
  <c r="BY44" i="26"/>
  <c r="BV47" i="26"/>
  <c r="BY43" i="26"/>
  <c r="BU47" i="26"/>
  <c r="BY42" i="26"/>
  <c r="BT47" i="26"/>
  <c r="BY41" i="26"/>
  <c r="BS47" i="26"/>
  <c r="BR47" i="26"/>
  <c r="C23" i="26"/>
  <c r="BX45" i="26"/>
  <c r="BW46" i="26"/>
  <c r="BX44" i="26"/>
  <c r="BV46" i="26"/>
  <c r="BX43" i="26"/>
  <c r="BU46" i="26"/>
  <c r="BX42" i="26"/>
  <c r="BT46" i="26"/>
  <c r="BX41" i="26"/>
  <c r="BS46" i="26"/>
  <c r="BR46" i="26"/>
  <c r="C22" i="26"/>
  <c r="BW44" i="26"/>
  <c r="BV45" i="26"/>
  <c r="BW43" i="26"/>
  <c r="BU45" i="26"/>
  <c r="BW42" i="26"/>
  <c r="BT45" i="26"/>
  <c r="BW41" i="26"/>
  <c r="BS45" i="26"/>
  <c r="BR45" i="26"/>
  <c r="C21" i="26"/>
  <c r="BV43" i="26"/>
  <c r="BU44" i="26"/>
  <c r="BV42" i="26"/>
  <c r="BT44" i="26"/>
  <c r="BV41" i="26"/>
  <c r="BS44" i="26"/>
  <c r="BR44" i="26"/>
  <c r="L7" i="26"/>
  <c r="M7" i="26"/>
  <c r="J7" i="26"/>
  <c r="Q7" i="26"/>
  <c r="K20" i="26"/>
  <c r="P7" i="26"/>
  <c r="R7" i="26"/>
  <c r="G7" i="26"/>
  <c r="H7" i="26"/>
  <c r="I7" i="26"/>
  <c r="T7" i="26"/>
  <c r="G4" i="26"/>
  <c r="H4" i="26"/>
  <c r="I4" i="26"/>
  <c r="T4" i="26"/>
  <c r="G5" i="26"/>
  <c r="H5" i="26"/>
  <c r="I5" i="26"/>
  <c r="T5" i="26"/>
  <c r="G6" i="26"/>
  <c r="H6" i="26"/>
  <c r="I6" i="26"/>
  <c r="T6" i="26"/>
  <c r="G8" i="26"/>
  <c r="H8" i="26"/>
  <c r="I8" i="26"/>
  <c r="T8" i="26"/>
  <c r="G9" i="26"/>
  <c r="H9" i="26"/>
  <c r="I9" i="26"/>
  <c r="T9" i="26"/>
  <c r="G10" i="26"/>
  <c r="H10" i="26"/>
  <c r="I10" i="26"/>
  <c r="T10" i="26"/>
  <c r="G11" i="26"/>
  <c r="H11" i="26"/>
  <c r="I11" i="26"/>
  <c r="T11" i="26"/>
  <c r="G12" i="26"/>
  <c r="H12" i="26"/>
  <c r="I12" i="26"/>
  <c r="T12" i="26"/>
  <c r="U7" i="26"/>
  <c r="L20" i="26"/>
  <c r="L4" i="26"/>
  <c r="M4" i="26"/>
  <c r="J4" i="26"/>
  <c r="Q4" i="26"/>
  <c r="K17" i="26"/>
  <c r="P4" i="26"/>
  <c r="R4" i="26"/>
  <c r="U4" i="26"/>
  <c r="L17" i="26"/>
  <c r="L5" i="26"/>
  <c r="M5" i="26"/>
  <c r="J5" i="26"/>
  <c r="Q5" i="26"/>
  <c r="K18" i="26"/>
  <c r="P5" i="26"/>
  <c r="R5" i="26"/>
  <c r="U5" i="26"/>
  <c r="L18" i="26"/>
  <c r="L6" i="26"/>
  <c r="M6" i="26"/>
  <c r="J6" i="26"/>
  <c r="Q6" i="26"/>
  <c r="K19" i="26"/>
  <c r="P6" i="26"/>
  <c r="R6" i="26"/>
  <c r="U6" i="26"/>
  <c r="L19" i="26"/>
  <c r="L8" i="26"/>
  <c r="J8" i="26"/>
  <c r="Q8" i="26"/>
  <c r="K21" i="26"/>
  <c r="P8" i="26"/>
  <c r="R8" i="26"/>
  <c r="U8" i="26"/>
  <c r="L21" i="26"/>
  <c r="L9" i="26"/>
  <c r="J9" i="26"/>
  <c r="Q9" i="26"/>
  <c r="K22" i="26"/>
  <c r="P9" i="26"/>
  <c r="R9" i="26"/>
  <c r="U9" i="26"/>
  <c r="L22" i="26"/>
  <c r="L10" i="26"/>
  <c r="J10" i="26"/>
  <c r="Q10" i="26"/>
  <c r="K23" i="26"/>
  <c r="P10" i="26"/>
  <c r="R10" i="26"/>
  <c r="U10" i="26"/>
  <c r="L23" i="26"/>
  <c r="L11" i="26"/>
  <c r="J11" i="26"/>
  <c r="Q11" i="26"/>
  <c r="K24" i="26"/>
  <c r="P11" i="26"/>
  <c r="R11" i="26"/>
  <c r="U11" i="26"/>
  <c r="L24" i="26"/>
  <c r="L12" i="26"/>
  <c r="J12" i="26"/>
  <c r="Q12" i="26"/>
  <c r="K25" i="26"/>
  <c r="P12" i="26"/>
  <c r="R12" i="26"/>
  <c r="U12" i="26"/>
  <c r="L25" i="26"/>
  <c r="M20" i="26"/>
  <c r="N20" i="26" a="1"/>
  <c r="N20" i="26"/>
  <c r="V20" i="26"/>
  <c r="BP44" i="26" a="1"/>
  <c r="BP44" i="26"/>
  <c r="BO44" i="26" a="1"/>
  <c r="BO44" i="26"/>
  <c r="BN44" i="26" a="1"/>
  <c r="BN44" i="26"/>
  <c r="BM44" i="26" a="1"/>
  <c r="BM44" i="26"/>
  <c r="BL44" i="26" a="1"/>
  <c r="BL44" i="26"/>
  <c r="BK44" i="26" a="1"/>
  <c r="BK44" i="26"/>
  <c r="BJ44" i="26" a="1"/>
  <c r="BJ44" i="26"/>
  <c r="BI44" i="26" a="1"/>
  <c r="BI44" i="26"/>
  <c r="U20" i="26"/>
  <c r="BH44" i="26" a="1"/>
  <c r="BH44" i="26"/>
  <c r="BG44" i="26" a="1"/>
  <c r="BG44" i="26"/>
  <c r="BF44" i="26" a="1"/>
  <c r="BF44" i="26"/>
  <c r="BE44" i="26" a="1"/>
  <c r="BE44" i="26"/>
  <c r="BD44" i="26" a="1"/>
  <c r="BD44" i="26"/>
  <c r="BC44" i="26" a="1"/>
  <c r="BC44" i="26"/>
  <c r="BB44" i="26" a="1"/>
  <c r="BB44" i="26"/>
  <c r="BA44" i="26" a="1"/>
  <c r="BA44" i="26"/>
  <c r="T20" i="26"/>
  <c r="AZ44" i="26" a="1"/>
  <c r="AZ44" i="26"/>
  <c r="AY44" i="26" a="1"/>
  <c r="AY44" i="26"/>
  <c r="AX44" i="26" a="1"/>
  <c r="AX44" i="26"/>
  <c r="AW44" i="26" a="1"/>
  <c r="AW44" i="26"/>
  <c r="AV44" i="26" a="1"/>
  <c r="AV44" i="26"/>
  <c r="AU44" i="26" a="1"/>
  <c r="AU44" i="26"/>
  <c r="AT44" i="26" a="1"/>
  <c r="AT44" i="26"/>
  <c r="AS44" i="26" a="1"/>
  <c r="AS44" i="26"/>
  <c r="S20" i="26"/>
  <c r="AR44" i="26" a="1"/>
  <c r="AR44" i="26"/>
  <c r="AQ44" i="26" a="1"/>
  <c r="AQ44" i="26"/>
  <c r="AP44" i="26" a="1"/>
  <c r="AP44" i="26"/>
  <c r="AO44" i="26" a="1"/>
  <c r="AO44" i="26"/>
  <c r="AN44" i="26" a="1"/>
  <c r="AN44" i="26"/>
  <c r="AM44" i="26" a="1"/>
  <c r="AM44" i="26"/>
  <c r="AL44" i="26" a="1"/>
  <c r="AL44" i="26"/>
  <c r="AK44" i="26" a="1"/>
  <c r="AK44" i="26"/>
  <c r="R20" i="26"/>
  <c r="AJ44" i="26" a="1"/>
  <c r="AJ44" i="26"/>
  <c r="AI44" i="26" a="1"/>
  <c r="AI44" i="26"/>
  <c r="AH44" i="26" a="1"/>
  <c r="AH44" i="26"/>
  <c r="AG44" i="26" a="1"/>
  <c r="AG44" i="26"/>
  <c r="AF44" i="26" a="1"/>
  <c r="AF44" i="26"/>
  <c r="AE44" i="26" a="1"/>
  <c r="AE44" i="26"/>
  <c r="AD44" i="26" a="1"/>
  <c r="AD44" i="26"/>
  <c r="AC44" i="26" a="1"/>
  <c r="AC44" i="26"/>
  <c r="Q20" i="26"/>
  <c r="AB44" i="26" a="1"/>
  <c r="AB44" i="26"/>
  <c r="AA44" i="26" a="1"/>
  <c r="AA44" i="26"/>
  <c r="Z44" i="26" a="1"/>
  <c r="Z44" i="26"/>
  <c r="Y44" i="26" a="1"/>
  <c r="Y44" i="26"/>
  <c r="X44" i="26" a="1"/>
  <c r="X44" i="26"/>
  <c r="W44" i="26" a="1"/>
  <c r="W44" i="26"/>
  <c r="V44" i="26" a="1"/>
  <c r="V44" i="26"/>
  <c r="U44" i="26" a="1"/>
  <c r="U44" i="26"/>
  <c r="P20" i="26"/>
  <c r="T44" i="26" a="1"/>
  <c r="T44" i="26"/>
  <c r="S44" i="26" a="1"/>
  <c r="S44" i="26"/>
  <c r="R44" i="26" a="1"/>
  <c r="R44" i="26"/>
  <c r="Q44" i="26" a="1"/>
  <c r="Q44" i="26"/>
  <c r="P44" i="26" a="1"/>
  <c r="P44" i="26"/>
  <c r="O44" i="26" a="1"/>
  <c r="O44" i="26"/>
  <c r="N44" i="26" a="1"/>
  <c r="N44" i="26"/>
  <c r="M44" i="26" a="1"/>
  <c r="M44" i="26"/>
  <c r="O20" i="26"/>
  <c r="L44" i="26" a="1"/>
  <c r="L44" i="26"/>
  <c r="K44" i="26" a="1"/>
  <c r="K44" i="26"/>
  <c r="J44" i="26" a="1"/>
  <c r="J44" i="26"/>
  <c r="I44" i="26" a="1"/>
  <c r="I44" i="26"/>
  <c r="H44" i="26" a="1"/>
  <c r="H44" i="26"/>
  <c r="G44" i="26" a="1"/>
  <c r="G44" i="26"/>
  <c r="F44" i="26" a="1"/>
  <c r="F44" i="26"/>
  <c r="E44" i="26" a="1"/>
  <c r="E44" i="26"/>
  <c r="BU42" i="26"/>
  <c r="BT43" i="26"/>
  <c r="BU41" i="26"/>
  <c r="BS43" i="26"/>
  <c r="BR43" i="26"/>
  <c r="M19" i="26"/>
  <c r="N19" i="26" a="1"/>
  <c r="N19" i="26"/>
  <c r="V19" i="26"/>
  <c r="BP43" i="26" a="1"/>
  <c r="BP43" i="26"/>
  <c r="BO43" i="26" a="1"/>
  <c r="BO43" i="26"/>
  <c r="BN43" i="26" a="1"/>
  <c r="BN43" i="26"/>
  <c r="BM43" i="26" a="1"/>
  <c r="BM43" i="26"/>
  <c r="BL43" i="26" a="1"/>
  <c r="BL43" i="26"/>
  <c r="BK43" i="26" a="1"/>
  <c r="BK43" i="26"/>
  <c r="BJ43" i="26" a="1"/>
  <c r="BJ43" i="26"/>
  <c r="BI43" i="26" a="1"/>
  <c r="BI43" i="26"/>
  <c r="U19" i="26"/>
  <c r="BH43" i="26" a="1"/>
  <c r="BH43" i="26"/>
  <c r="BG43" i="26" a="1"/>
  <c r="BG43" i="26"/>
  <c r="BF43" i="26" a="1"/>
  <c r="BF43" i="26"/>
  <c r="BE43" i="26" a="1"/>
  <c r="BE43" i="26"/>
  <c r="BD43" i="26" a="1"/>
  <c r="BD43" i="26"/>
  <c r="BC43" i="26" a="1"/>
  <c r="BC43" i="26"/>
  <c r="BB43" i="26" a="1"/>
  <c r="BB43" i="26"/>
  <c r="BA43" i="26" a="1"/>
  <c r="BA43" i="26"/>
  <c r="T19" i="26"/>
  <c r="AZ43" i="26" a="1"/>
  <c r="AZ43" i="26"/>
  <c r="AY43" i="26" a="1"/>
  <c r="AY43" i="26"/>
  <c r="AX43" i="26" a="1"/>
  <c r="AX43" i="26"/>
  <c r="AW43" i="26" a="1"/>
  <c r="AW43" i="26"/>
  <c r="AV43" i="26" a="1"/>
  <c r="AV43" i="26"/>
  <c r="AU43" i="26" a="1"/>
  <c r="AU43" i="26"/>
  <c r="AT43" i="26" a="1"/>
  <c r="AT43" i="26"/>
  <c r="AS43" i="26" a="1"/>
  <c r="AS43" i="26"/>
  <c r="S19" i="26"/>
  <c r="AR43" i="26" a="1"/>
  <c r="AR43" i="26"/>
  <c r="AQ43" i="26" a="1"/>
  <c r="AQ43" i="26"/>
  <c r="AP43" i="26" a="1"/>
  <c r="AP43" i="26"/>
  <c r="AO43" i="26" a="1"/>
  <c r="AO43" i="26"/>
  <c r="AN43" i="26" a="1"/>
  <c r="AN43" i="26"/>
  <c r="AM43" i="26" a="1"/>
  <c r="AM43" i="26"/>
  <c r="AL43" i="26" a="1"/>
  <c r="AL43" i="26"/>
  <c r="AK43" i="26" a="1"/>
  <c r="AK43" i="26"/>
  <c r="R19" i="26"/>
  <c r="AJ43" i="26" a="1"/>
  <c r="AJ43" i="26"/>
  <c r="AI43" i="26" a="1"/>
  <c r="AI43" i="26"/>
  <c r="AH43" i="26" a="1"/>
  <c r="AH43" i="26"/>
  <c r="AG43" i="26" a="1"/>
  <c r="AG43" i="26"/>
  <c r="AF43" i="26" a="1"/>
  <c r="AF43" i="26"/>
  <c r="AE43" i="26" a="1"/>
  <c r="AE43" i="26"/>
  <c r="AD43" i="26" a="1"/>
  <c r="AD43" i="26"/>
  <c r="AC43" i="26" a="1"/>
  <c r="AC43" i="26"/>
  <c r="Q19" i="26"/>
  <c r="AB43" i="26" a="1"/>
  <c r="AB43" i="26"/>
  <c r="AA43" i="26" a="1"/>
  <c r="AA43" i="26"/>
  <c r="Z43" i="26" a="1"/>
  <c r="Z43" i="26"/>
  <c r="Y43" i="26" a="1"/>
  <c r="Y43" i="26"/>
  <c r="X43" i="26" a="1"/>
  <c r="X43" i="26"/>
  <c r="W43" i="26" a="1"/>
  <c r="W43" i="26"/>
  <c r="V43" i="26" a="1"/>
  <c r="V43" i="26"/>
  <c r="U43" i="26" a="1"/>
  <c r="U43" i="26"/>
  <c r="P19" i="26"/>
  <c r="T43" i="26" a="1"/>
  <c r="T43" i="26"/>
  <c r="S43" i="26" a="1"/>
  <c r="S43" i="26"/>
  <c r="R43" i="26" a="1"/>
  <c r="R43" i="26"/>
  <c r="Q43" i="26" a="1"/>
  <c r="Q43" i="26"/>
  <c r="P43" i="26" a="1"/>
  <c r="P43" i="26"/>
  <c r="O43" i="26" a="1"/>
  <c r="O43" i="26"/>
  <c r="N43" i="26" a="1"/>
  <c r="N43" i="26"/>
  <c r="M43" i="26" a="1"/>
  <c r="M43" i="26"/>
  <c r="O19" i="26"/>
  <c r="L43" i="26" a="1"/>
  <c r="L43" i="26"/>
  <c r="K43" i="26" a="1"/>
  <c r="K43" i="26"/>
  <c r="J43" i="26" a="1"/>
  <c r="J43" i="26"/>
  <c r="I43" i="26" a="1"/>
  <c r="I43" i="26"/>
  <c r="H43" i="26" a="1"/>
  <c r="H43" i="26"/>
  <c r="G43" i="26" a="1"/>
  <c r="G43" i="26"/>
  <c r="F43" i="26" a="1"/>
  <c r="F43" i="26"/>
  <c r="E43" i="26" a="1"/>
  <c r="E43" i="26"/>
  <c r="BT41" i="26"/>
  <c r="BS42" i="26"/>
  <c r="BR42" i="26"/>
  <c r="M18" i="26"/>
  <c r="N18" i="26" a="1"/>
  <c r="N18" i="26"/>
  <c r="V18" i="26"/>
  <c r="BP42" i="26" a="1"/>
  <c r="BP42" i="26"/>
  <c r="BO42" i="26" a="1"/>
  <c r="BO42" i="26"/>
  <c r="BN42" i="26" a="1"/>
  <c r="BN42" i="26"/>
  <c r="BM42" i="26" a="1"/>
  <c r="BM42" i="26"/>
  <c r="BL42" i="26" a="1"/>
  <c r="BL42" i="26"/>
  <c r="BK42" i="26" a="1"/>
  <c r="BK42" i="26"/>
  <c r="BJ42" i="26" a="1"/>
  <c r="BJ42" i="26"/>
  <c r="BI42" i="26" a="1"/>
  <c r="BI42" i="26"/>
  <c r="U18" i="26"/>
  <c r="BH42" i="26" a="1"/>
  <c r="BH42" i="26"/>
  <c r="BG42" i="26" a="1"/>
  <c r="BG42" i="26"/>
  <c r="BF42" i="26" a="1"/>
  <c r="BF42" i="26"/>
  <c r="BE42" i="26" a="1"/>
  <c r="BE42" i="26"/>
  <c r="BD42" i="26" a="1"/>
  <c r="BD42" i="26"/>
  <c r="BC42" i="26" a="1"/>
  <c r="BC42" i="26"/>
  <c r="BB42" i="26" a="1"/>
  <c r="BB42" i="26"/>
  <c r="BA42" i="26" a="1"/>
  <c r="BA42" i="26"/>
  <c r="T18" i="26"/>
  <c r="AZ42" i="26" a="1"/>
  <c r="AZ42" i="26"/>
  <c r="AY42" i="26" a="1"/>
  <c r="AY42" i="26"/>
  <c r="AX42" i="26" a="1"/>
  <c r="AX42" i="26"/>
  <c r="AW42" i="26" a="1"/>
  <c r="AW42" i="26"/>
  <c r="AV42" i="26" a="1"/>
  <c r="AV42" i="26"/>
  <c r="AU42" i="26" a="1"/>
  <c r="AU42" i="26"/>
  <c r="AT42" i="26" a="1"/>
  <c r="AT42" i="26"/>
  <c r="AS42" i="26" a="1"/>
  <c r="AS42" i="26"/>
  <c r="S18" i="26"/>
  <c r="AR42" i="26" a="1"/>
  <c r="AR42" i="26"/>
  <c r="AQ42" i="26" a="1"/>
  <c r="AQ42" i="26"/>
  <c r="AP42" i="26" a="1"/>
  <c r="AP42" i="26"/>
  <c r="AO42" i="26" a="1"/>
  <c r="AO42" i="26"/>
  <c r="AN42" i="26" a="1"/>
  <c r="AN42" i="26"/>
  <c r="AM42" i="26" a="1"/>
  <c r="AM42" i="26"/>
  <c r="AL42" i="26" a="1"/>
  <c r="AL42" i="26"/>
  <c r="AK42" i="26" a="1"/>
  <c r="AK42" i="26"/>
  <c r="R18" i="26"/>
  <c r="AJ42" i="26" a="1"/>
  <c r="AJ42" i="26"/>
  <c r="AI42" i="26" a="1"/>
  <c r="AI42" i="26"/>
  <c r="AH42" i="26" a="1"/>
  <c r="AH42" i="26"/>
  <c r="AG42" i="26" a="1"/>
  <c r="AG42" i="26"/>
  <c r="AF42" i="26" a="1"/>
  <c r="AF42" i="26"/>
  <c r="AE42" i="26" a="1"/>
  <c r="AE42" i="26"/>
  <c r="AD42" i="26" a="1"/>
  <c r="AD42" i="26"/>
  <c r="AC42" i="26" a="1"/>
  <c r="AC42" i="26"/>
  <c r="Q18" i="26"/>
  <c r="AB42" i="26" a="1"/>
  <c r="AB42" i="26"/>
  <c r="AA42" i="26" a="1"/>
  <c r="AA42" i="26"/>
  <c r="Z42" i="26" a="1"/>
  <c r="Z42" i="26"/>
  <c r="Y42" i="26" a="1"/>
  <c r="Y42" i="26"/>
  <c r="X42" i="26" a="1"/>
  <c r="X42" i="26"/>
  <c r="W42" i="26" a="1"/>
  <c r="W42" i="26"/>
  <c r="V42" i="26" a="1"/>
  <c r="V42" i="26"/>
  <c r="U42" i="26" a="1"/>
  <c r="U42" i="26"/>
  <c r="P18" i="26"/>
  <c r="T42" i="26" a="1"/>
  <c r="T42" i="26"/>
  <c r="S42" i="26" a="1"/>
  <c r="S42" i="26"/>
  <c r="R42" i="26" a="1"/>
  <c r="R42" i="26"/>
  <c r="Q42" i="26" a="1"/>
  <c r="Q42" i="26"/>
  <c r="P42" i="26" a="1"/>
  <c r="P42" i="26"/>
  <c r="O42" i="26" a="1"/>
  <c r="O42" i="26"/>
  <c r="N42" i="26" a="1"/>
  <c r="N42" i="26"/>
  <c r="M42" i="26" a="1"/>
  <c r="M42" i="26"/>
  <c r="O18" i="26"/>
  <c r="L42" i="26" a="1"/>
  <c r="L42" i="26"/>
  <c r="K42" i="26" a="1"/>
  <c r="K42" i="26"/>
  <c r="J42" i="26" a="1"/>
  <c r="J42" i="26"/>
  <c r="I42" i="26" a="1"/>
  <c r="I42" i="26"/>
  <c r="H42" i="26" a="1"/>
  <c r="H42" i="26"/>
  <c r="G42" i="26" a="1"/>
  <c r="G42" i="26"/>
  <c r="F42" i="26" a="1"/>
  <c r="F42" i="26"/>
  <c r="E42" i="26" a="1"/>
  <c r="E42" i="26"/>
  <c r="BR41" i="26"/>
  <c r="M17" i="26"/>
  <c r="N17" i="26" a="1"/>
  <c r="N17" i="26"/>
  <c r="V17" i="26"/>
  <c r="BP41" i="26" a="1"/>
  <c r="BP41" i="26"/>
  <c r="BO41" i="26" a="1"/>
  <c r="BO41" i="26"/>
  <c r="BN41" i="26" a="1"/>
  <c r="BN41" i="26"/>
  <c r="BM41" i="26" a="1"/>
  <c r="BM41" i="26"/>
  <c r="BL41" i="26" a="1"/>
  <c r="BL41" i="26"/>
  <c r="BK41" i="26" a="1"/>
  <c r="BK41" i="26"/>
  <c r="BJ41" i="26" a="1"/>
  <c r="BJ41" i="26"/>
  <c r="BI41" i="26" a="1"/>
  <c r="BI41" i="26"/>
  <c r="U17" i="26"/>
  <c r="BH41" i="26" a="1"/>
  <c r="BH41" i="26"/>
  <c r="BG41" i="26" a="1"/>
  <c r="BG41" i="26"/>
  <c r="BF41" i="26" a="1"/>
  <c r="BF41" i="26"/>
  <c r="BE41" i="26" a="1"/>
  <c r="BE41" i="26"/>
  <c r="BD41" i="26" a="1"/>
  <c r="BD41" i="26"/>
  <c r="BC41" i="26" a="1"/>
  <c r="BC41" i="26"/>
  <c r="BB41" i="26" a="1"/>
  <c r="BB41" i="26"/>
  <c r="BA41" i="26" a="1"/>
  <c r="BA41" i="26"/>
  <c r="T17" i="26"/>
  <c r="AZ41" i="26" a="1"/>
  <c r="AZ41" i="26"/>
  <c r="AY41" i="26" a="1"/>
  <c r="AY41" i="26"/>
  <c r="AX41" i="26" a="1"/>
  <c r="AX41" i="26"/>
  <c r="AW41" i="26" a="1"/>
  <c r="AW41" i="26"/>
  <c r="AV41" i="26" a="1"/>
  <c r="AV41" i="26"/>
  <c r="AU41" i="26" a="1"/>
  <c r="AU41" i="26"/>
  <c r="AT41" i="26" a="1"/>
  <c r="AT41" i="26"/>
  <c r="AS41" i="26" a="1"/>
  <c r="AS41" i="26"/>
  <c r="S17" i="26"/>
  <c r="AR41" i="26" a="1"/>
  <c r="AR41" i="26"/>
  <c r="AQ41" i="26" a="1"/>
  <c r="AQ41" i="26"/>
  <c r="AP41" i="26" a="1"/>
  <c r="AP41" i="26"/>
  <c r="AO41" i="26" a="1"/>
  <c r="AO41" i="26"/>
  <c r="AN41" i="26" a="1"/>
  <c r="AN41" i="26"/>
  <c r="AM41" i="26" a="1"/>
  <c r="AM41" i="26"/>
  <c r="AL41" i="26" a="1"/>
  <c r="AL41" i="26"/>
  <c r="AK41" i="26" a="1"/>
  <c r="AK41" i="26"/>
  <c r="R17" i="26"/>
  <c r="AJ41" i="26" a="1"/>
  <c r="AJ41" i="26"/>
  <c r="AI41" i="26" a="1"/>
  <c r="AI41" i="26"/>
  <c r="AH41" i="26" a="1"/>
  <c r="AH41" i="26"/>
  <c r="AG41" i="26" a="1"/>
  <c r="AG41" i="26"/>
  <c r="AF41" i="26" a="1"/>
  <c r="AF41" i="26"/>
  <c r="AE41" i="26" a="1"/>
  <c r="AE41" i="26"/>
  <c r="AD41" i="26" a="1"/>
  <c r="AD41" i="26"/>
  <c r="AC41" i="26" a="1"/>
  <c r="AC41" i="26"/>
  <c r="Q17" i="26"/>
  <c r="AB41" i="26" a="1"/>
  <c r="AB41" i="26"/>
  <c r="AA41" i="26" a="1"/>
  <c r="AA41" i="26"/>
  <c r="Z41" i="26" a="1"/>
  <c r="Z41" i="26"/>
  <c r="Y41" i="26" a="1"/>
  <c r="Y41" i="26"/>
  <c r="X41" i="26" a="1"/>
  <c r="X41" i="26"/>
  <c r="W41" i="26" a="1"/>
  <c r="W41" i="26"/>
  <c r="V41" i="26" a="1"/>
  <c r="V41" i="26"/>
  <c r="U41" i="26" a="1"/>
  <c r="U41" i="26"/>
  <c r="P17" i="26"/>
  <c r="T41" i="26" a="1"/>
  <c r="T41" i="26"/>
  <c r="S41" i="26" a="1"/>
  <c r="S41" i="26"/>
  <c r="R41" i="26" a="1"/>
  <c r="R41" i="26"/>
  <c r="Q41" i="26" a="1"/>
  <c r="Q41" i="26"/>
  <c r="P41" i="26" a="1"/>
  <c r="P41" i="26"/>
  <c r="O41" i="26" a="1"/>
  <c r="O41" i="26"/>
  <c r="N41" i="26" a="1"/>
  <c r="N41" i="26"/>
  <c r="M41" i="26" a="1"/>
  <c r="M41" i="26"/>
  <c r="O17" i="26"/>
  <c r="L41" i="26" a="1"/>
  <c r="L41" i="26"/>
  <c r="K41" i="26" a="1"/>
  <c r="K41" i="26"/>
  <c r="J41" i="26" a="1"/>
  <c r="J41" i="26"/>
  <c r="I41" i="26" a="1"/>
  <c r="I41" i="26"/>
  <c r="H41" i="26" a="1"/>
  <c r="H41" i="26"/>
  <c r="G41" i="26" a="1"/>
  <c r="G41" i="26"/>
  <c r="F41" i="26" a="1"/>
  <c r="F41" i="26"/>
  <c r="E41" i="26" a="1"/>
  <c r="E41" i="26"/>
  <c r="CA40" i="26"/>
  <c r="BZ40" i="26"/>
  <c r="BY40" i="26"/>
  <c r="BX40" i="26"/>
  <c r="BW40" i="26"/>
  <c r="BV40" i="26"/>
  <c r="BU40" i="26"/>
  <c r="BT40" i="26"/>
  <c r="BS40"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BP35" i="26" a="1"/>
  <c r="BP35" i="26"/>
  <c r="BO35" i="26" a="1"/>
  <c r="BO35" i="26"/>
  <c r="BN35" i="26" a="1"/>
  <c r="BN35" i="26"/>
  <c r="BM35" i="26" a="1"/>
  <c r="BM35" i="26"/>
  <c r="BL35" i="26" a="1"/>
  <c r="BL35" i="26"/>
  <c r="BK35" i="26" a="1"/>
  <c r="BK35" i="26"/>
  <c r="BJ35" i="26" a="1"/>
  <c r="BJ35" i="26"/>
  <c r="BI35" i="26" a="1"/>
  <c r="BI35" i="26"/>
  <c r="BH35" i="26" a="1"/>
  <c r="BH35" i="26"/>
  <c r="BG35" i="26" a="1"/>
  <c r="BG35" i="26"/>
  <c r="BF35" i="26" a="1"/>
  <c r="BF35" i="26"/>
  <c r="BE35" i="26" a="1"/>
  <c r="BE35" i="26"/>
  <c r="BD35" i="26" a="1"/>
  <c r="BD35" i="26"/>
  <c r="BC35" i="26" a="1"/>
  <c r="BC35" i="26"/>
  <c r="BB35" i="26" a="1"/>
  <c r="BB35" i="26"/>
  <c r="BA35" i="26" a="1"/>
  <c r="BA35" i="26"/>
  <c r="AZ35" i="26" a="1"/>
  <c r="AZ35" i="26"/>
  <c r="AY35" i="26" a="1"/>
  <c r="AY35" i="26"/>
  <c r="AX35" i="26" a="1"/>
  <c r="AX35" i="26"/>
  <c r="AW35" i="26" a="1"/>
  <c r="AW35" i="26"/>
  <c r="AV35" i="26" a="1"/>
  <c r="AV35" i="26"/>
  <c r="AU35" i="26" a="1"/>
  <c r="AU35" i="26"/>
  <c r="AT35" i="26" a="1"/>
  <c r="AT35" i="26"/>
  <c r="AS35" i="26" a="1"/>
  <c r="AS35" i="26"/>
  <c r="AR35" i="26" a="1"/>
  <c r="AR35" i="26"/>
  <c r="AQ35" i="26" a="1"/>
  <c r="AQ35" i="26"/>
  <c r="AP35" i="26" a="1"/>
  <c r="AP35" i="26"/>
  <c r="AO35" i="26" a="1"/>
  <c r="AO35" i="26"/>
  <c r="AN35" i="26" a="1"/>
  <c r="AN35" i="26"/>
  <c r="AM35" i="26" a="1"/>
  <c r="AM35" i="26"/>
  <c r="AL35" i="26" a="1"/>
  <c r="AL35" i="26"/>
  <c r="AK35" i="26" a="1"/>
  <c r="AK35" i="26"/>
  <c r="AJ35" i="26" a="1"/>
  <c r="AJ35" i="26"/>
  <c r="AI35" i="26" a="1"/>
  <c r="AI35" i="26"/>
  <c r="AH35" i="26" a="1"/>
  <c r="AH35" i="26"/>
  <c r="AG35" i="26" a="1"/>
  <c r="AG35" i="26"/>
  <c r="AF35" i="26" a="1"/>
  <c r="AF35" i="26"/>
  <c r="AE35" i="26" a="1"/>
  <c r="AE35" i="26"/>
  <c r="AD35" i="26" a="1"/>
  <c r="AD35" i="26"/>
  <c r="AC35" i="26" a="1"/>
  <c r="AC35" i="26"/>
  <c r="AB35" i="26" a="1"/>
  <c r="AB35" i="26"/>
  <c r="AA35" i="26" a="1"/>
  <c r="AA35" i="26"/>
  <c r="Z35" i="26" a="1"/>
  <c r="Z35" i="26"/>
  <c r="Y35" i="26" a="1"/>
  <c r="Y35" i="26"/>
  <c r="X35" i="26" a="1"/>
  <c r="X35" i="26"/>
  <c r="W35" i="26" a="1"/>
  <c r="W35" i="26"/>
  <c r="V35" i="26" a="1"/>
  <c r="V35" i="26"/>
  <c r="U35" i="26" a="1"/>
  <c r="U35" i="26"/>
  <c r="T35" i="26" a="1"/>
  <c r="T35" i="26"/>
  <c r="S35" i="26" a="1"/>
  <c r="S35" i="26"/>
  <c r="R35" i="26" a="1"/>
  <c r="R35" i="26"/>
  <c r="Q35" i="26" a="1"/>
  <c r="Q35" i="26"/>
  <c r="P35" i="26" a="1"/>
  <c r="P35" i="26"/>
  <c r="O35" i="26" a="1"/>
  <c r="O35" i="26"/>
  <c r="N35" i="26" a="1"/>
  <c r="N35" i="26"/>
  <c r="M35" i="26" a="1"/>
  <c r="M35" i="26"/>
  <c r="L35" i="26" a="1"/>
  <c r="L35" i="26"/>
  <c r="K35" i="26" a="1"/>
  <c r="K35" i="26"/>
  <c r="J35" i="26" a="1"/>
  <c r="J35" i="26"/>
  <c r="I35" i="26" a="1"/>
  <c r="I35" i="26"/>
  <c r="H35" i="26" a="1"/>
  <c r="H35" i="26"/>
  <c r="G35" i="26" a="1"/>
  <c r="G35" i="26"/>
  <c r="F35" i="26" a="1"/>
  <c r="F35" i="26"/>
  <c r="E35" i="26" a="1"/>
  <c r="E35" i="26"/>
  <c r="C35" i="26"/>
  <c r="BP34" i="26" a="1"/>
  <c r="BP34" i="26"/>
  <c r="BO34" i="26" a="1"/>
  <c r="BO34" i="26"/>
  <c r="BN34" i="26" a="1"/>
  <c r="BN34" i="26"/>
  <c r="BM34" i="26" a="1"/>
  <c r="BM34" i="26"/>
  <c r="BL34" i="26" a="1"/>
  <c r="BL34" i="26"/>
  <c r="BK34" i="26" a="1"/>
  <c r="BK34" i="26"/>
  <c r="BJ34" i="26" a="1"/>
  <c r="BJ34" i="26"/>
  <c r="BI34" i="26" a="1"/>
  <c r="BI34" i="26"/>
  <c r="BH34" i="26" a="1"/>
  <c r="BH34" i="26"/>
  <c r="BG34" i="26" a="1"/>
  <c r="BG34" i="26"/>
  <c r="BF34" i="26" a="1"/>
  <c r="BF34" i="26"/>
  <c r="BE34" i="26" a="1"/>
  <c r="BE34" i="26"/>
  <c r="BD34" i="26" a="1"/>
  <c r="BD34" i="26"/>
  <c r="BC34" i="26" a="1"/>
  <c r="BC34" i="26"/>
  <c r="BB34" i="26" a="1"/>
  <c r="BB34" i="26"/>
  <c r="BA34" i="26" a="1"/>
  <c r="BA34" i="26"/>
  <c r="AZ34" i="26" a="1"/>
  <c r="AZ34" i="26"/>
  <c r="AY34" i="26" a="1"/>
  <c r="AY34" i="26"/>
  <c r="AX34" i="26" a="1"/>
  <c r="AX34" i="26"/>
  <c r="AW34" i="26" a="1"/>
  <c r="AW34" i="26"/>
  <c r="AV34" i="26" a="1"/>
  <c r="AV34" i="26"/>
  <c r="AU34" i="26" a="1"/>
  <c r="AU34" i="26"/>
  <c r="AT34" i="26" a="1"/>
  <c r="AT34" i="26"/>
  <c r="AS34" i="26" a="1"/>
  <c r="AS34" i="26"/>
  <c r="AR34" i="26" a="1"/>
  <c r="AR34" i="26"/>
  <c r="AQ34" i="26" a="1"/>
  <c r="AQ34" i="26"/>
  <c r="AP34" i="26" a="1"/>
  <c r="AP34" i="26"/>
  <c r="AO34" i="26" a="1"/>
  <c r="AO34" i="26"/>
  <c r="AN34" i="26" a="1"/>
  <c r="AN34" i="26"/>
  <c r="AM34" i="26" a="1"/>
  <c r="AM34" i="26"/>
  <c r="AL34" i="26" a="1"/>
  <c r="AL34" i="26"/>
  <c r="AK34" i="26" a="1"/>
  <c r="AK34" i="26"/>
  <c r="AJ34" i="26" a="1"/>
  <c r="AJ34" i="26"/>
  <c r="AI34" i="26" a="1"/>
  <c r="AI34" i="26"/>
  <c r="AH34" i="26" a="1"/>
  <c r="AH34" i="26"/>
  <c r="AG34" i="26" a="1"/>
  <c r="AG34" i="26"/>
  <c r="AF34" i="26" a="1"/>
  <c r="AF34" i="26"/>
  <c r="AE34" i="26" a="1"/>
  <c r="AE34" i="26"/>
  <c r="AD34" i="26" a="1"/>
  <c r="AD34" i="26"/>
  <c r="AC34" i="26" a="1"/>
  <c r="AC34" i="26"/>
  <c r="AB34" i="26" a="1"/>
  <c r="AB34" i="26"/>
  <c r="AA34" i="26" a="1"/>
  <c r="AA34" i="26"/>
  <c r="Z34" i="26" a="1"/>
  <c r="Z34" i="26"/>
  <c r="Y34" i="26" a="1"/>
  <c r="Y34" i="26"/>
  <c r="X34" i="26" a="1"/>
  <c r="X34" i="26"/>
  <c r="W34" i="26" a="1"/>
  <c r="W34" i="26"/>
  <c r="V34" i="26" a="1"/>
  <c r="V34" i="26"/>
  <c r="U34" i="26" a="1"/>
  <c r="U34" i="26"/>
  <c r="T34" i="26" a="1"/>
  <c r="T34" i="26"/>
  <c r="S34" i="26" a="1"/>
  <c r="S34" i="26"/>
  <c r="R34" i="26" a="1"/>
  <c r="R34" i="26"/>
  <c r="Q34" i="26" a="1"/>
  <c r="Q34" i="26"/>
  <c r="P34" i="26" a="1"/>
  <c r="P34" i="26"/>
  <c r="O34" i="26" a="1"/>
  <c r="O34" i="26"/>
  <c r="N34" i="26" a="1"/>
  <c r="N34" i="26"/>
  <c r="M34" i="26" a="1"/>
  <c r="M34" i="26"/>
  <c r="L34" i="26" a="1"/>
  <c r="L34" i="26"/>
  <c r="K34" i="26" a="1"/>
  <c r="K34" i="26"/>
  <c r="J34" i="26" a="1"/>
  <c r="J34" i="26"/>
  <c r="I34" i="26" a="1"/>
  <c r="I34" i="26"/>
  <c r="H34" i="26" a="1"/>
  <c r="H34" i="26"/>
  <c r="G34" i="26" a="1"/>
  <c r="G34" i="26"/>
  <c r="F34" i="26" a="1"/>
  <c r="F34" i="26"/>
  <c r="E34" i="26" a="1"/>
  <c r="E34" i="26"/>
  <c r="C34" i="26"/>
  <c r="BP33" i="26" a="1"/>
  <c r="BP33" i="26"/>
  <c r="BO33" i="26" a="1"/>
  <c r="BO33" i="26"/>
  <c r="BN33" i="26" a="1"/>
  <c r="BN33" i="26"/>
  <c r="BM33" i="26" a="1"/>
  <c r="BM33" i="26"/>
  <c r="BL33" i="26" a="1"/>
  <c r="BL33" i="26"/>
  <c r="BK33" i="26" a="1"/>
  <c r="BK33" i="26"/>
  <c r="BJ33" i="26" a="1"/>
  <c r="BJ33" i="26"/>
  <c r="BI33" i="26" a="1"/>
  <c r="BI33" i="26"/>
  <c r="BH33" i="26" a="1"/>
  <c r="BH33" i="26"/>
  <c r="BG33" i="26" a="1"/>
  <c r="BG33" i="26"/>
  <c r="BF33" i="26" a="1"/>
  <c r="BF33" i="26"/>
  <c r="BE33" i="26" a="1"/>
  <c r="BE33" i="26"/>
  <c r="BD33" i="26" a="1"/>
  <c r="BD33" i="26"/>
  <c r="BC33" i="26" a="1"/>
  <c r="BC33" i="26"/>
  <c r="BB33" i="26" a="1"/>
  <c r="BB33" i="26"/>
  <c r="BA33" i="26" a="1"/>
  <c r="BA33" i="26"/>
  <c r="AZ33" i="26" a="1"/>
  <c r="AZ33" i="26"/>
  <c r="AY33" i="26" a="1"/>
  <c r="AY33" i="26"/>
  <c r="AX33" i="26" a="1"/>
  <c r="AX33" i="26"/>
  <c r="AW33" i="26" a="1"/>
  <c r="AW33" i="26"/>
  <c r="AV33" i="26" a="1"/>
  <c r="AV33" i="26"/>
  <c r="AU33" i="26" a="1"/>
  <c r="AU33" i="26"/>
  <c r="AT33" i="26" a="1"/>
  <c r="AT33" i="26"/>
  <c r="AS33" i="26" a="1"/>
  <c r="AS33" i="26"/>
  <c r="AR33" i="26" a="1"/>
  <c r="AR33" i="26"/>
  <c r="AQ33" i="26" a="1"/>
  <c r="AQ33" i="26"/>
  <c r="AP33" i="26" a="1"/>
  <c r="AP33" i="26"/>
  <c r="AO33" i="26" a="1"/>
  <c r="AO33" i="26"/>
  <c r="AN33" i="26" a="1"/>
  <c r="AN33" i="26"/>
  <c r="AM33" i="26" a="1"/>
  <c r="AM33" i="26"/>
  <c r="AL33" i="26" a="1"/>
  <c r="AL33" i="26"/>
  <c r="AK33" i="26" a="1"/>
  <c r="AK33" i="26"/>
  <c r="AJ33" i="26" a="1"/>
  <c r="AJ33" i="26"/>
  <c r="AI33" i="26" a="1"/>
  <c r="AI33" i="26"/>
  <c r="AH33" i="26" a="1"/>
  <c r="AH33" i="26"/>
  <c r="AG33" i="26" a="1"/>
  <c r="AG33" i="26"/>
  <c r="AF33" i="26" a="1"/>
  <c r="AF33" i="26"/>
  <c r="AE33" i="26" a="1"/>
  <c r="AE33" i="26"/>
  <c r="AD33" i="26" a="1"/>
  <c r="AD33" i="26"/>
  <c r="AC33" i="26" a="1"/>
  <c r="AC33" i="26"/>
  <c r="AB33" i="26" a="1"/>
  <c r="AB33" i="26"/>
  <c r="AA33" i="26" a="1"/>
  <c r="AA33" i="26"/>
  <c r="Z33" i="26" a="1"/>
  <c r="Z33" i="26"/>
  <c r="Y33" i="26" a="1"/>
  <c r="Y33" i="26"/>
  <c r="X33" i="26" a="1"/>
  <c r="X33" i="26"/>
  <c r="W33" i="26" a="1"/>
  <c r="W33" i="26"/>
  <c r="V33" i="26" a="1"/>
  <c r="V33" i="26"/>
  <c r="U33" i="26" a="1"/>
  <c r="U33" i="26"/>
  <c r="T33" i="26" a="1"/>
  <c r="T33" i="26"/>
  <c r="S33" i="26" a="1"/>
  <c r="S33" i="26"/>
  <c r="R33" i="26" a="1"/>
  <c r="R33" i="26"/>
  <c r="Q33" i="26" a="1"/>
  <c r="Q33" i="26"/>
  <c r="P33" i="26" a="1"/>
  <c r="P33" i="26"/>
  <c r="O33" i="26" a="1"/>
  <c r="O33" i="26"/>
  <c r="N33" i="26" a="1"/>
  <c r="N33" i="26"/>
  <c r="M33" i="26" a="1"/>
  <c r="M33" i="26"/>
  <c r="L33" i="26" a="1"/>
  <c r="L33" i="26"/>
  <c r="K33" i="26" a="1"/>
  <c r="K33" i="26"/>
  <c r="J33" i="26" a="1"/>
  <c r="J33" i="26"/>
  <c r="I33" i="26" a="1"/>
  <c r="I33" i="26"/>
  <c r="H33" i="26" a="1"/>
  <c r="H33" i="26"/>
  <c r="G33" i="26" a="1"/>
  <c r="G33" i="26"/>
  <c r="F33" i="26" a="1"/>
  <c r="F33" i="26"/>
  <c r="E33" i="26" a="1"/>
  <c r="E33" i="26"/>
  <c r="C33" i="26"/>
  <c r="BP32" i="26" a="1"/>
  <c r="BP32" i="26"/>
  <c r="BO32" i="26" a="1"/>
  <c r="BO32" i="26"/>
  <c r="BN32" i="26" a="1"/>
  <c r="BN32" i="26"/>
  <c r="BM32" i="26" a="1"/>
  <c r="BM32" i="26"/>
  <c r="BL32" i="26" a="1"/>
  <c r="BL32" i="26"/>
  <c r="BK32" i="26" a="1"/>
  <c r="BK32" i="26"/>
  <c r="BJ32" i="26" a="1"/>
  <c r="BJ32" i="26"/>
  <c r="BI32" i="26" a="1"/>
  <c r="BI32" i="26"/>
  <c r="BH32" i="26" a="1"/>
  <c r="BH32" i="26"/>
  <c r="BG32" i="26" a="1"/>
  <c r="BG32" i="26"/>
  <c r="BF32" i="26" a="1"/>
  <c r="BF32" i="26"/>
  <c r="BE32" i="26" a="1"/>
  <c r="BE32" i="26"/>
  <c r="BD32" i="26" a="1"/>
  <c r="BD32" i="26"/>
  <c r="BC32" i="26" a="1"/>
  <c r="BC32" i="26"/>
  <c r="BB32" i="26" a="1"/>
  <c r="BB32" i="26"/>
  <c r="BA32" i="26" a="1"/>
  <c r="BA32" i="26"/>
  <c r="AZ32" i="26" a="1"/>
  <c r="AZ32" i="26"/>
  <c r="AY32" i="26" a="1"/>
  <c r="AY32" i="26"/>
  <c r="AX32" i="26" a="1"/>
  <c r="AX32" i="26"/>
  <c r="AW32" i="26" a="1"/>
  <c r="AW32" i="26"/>
  <c r="AV32" i="26" a="1"/>
  <c r="AV32" i="26"/>
  <c r="AU32" i="26" a="1"/>
  <c r="AU32" i="26"/>
  <c r="AT32" i="26" a="1"/>
  <c r="AT32" i="26"/>
  <c r="AS32" i="26" a="1"/>
  <c r="AS32" i="26"/>
  <c r="AR32" i="26" a="1"/>
  <c r="AR32" i="26"/>
  <c r="AQ32" i="26" a="1"/>
  <c r="AQ32" i="26"/>
  <c r="AP32" i="26" a="1"/>
  <c r="AP32" i="26"/>
  <c r="AO32" i="26" a="1"/>
  <c r="AO32" i="26"/>
  <c r="AN32" i="26" a="1"/>
  <c r="AN32" i="26"/>
  <c r="AM32" i="26" a="1"/>
  <c r="AM32" i="26"/>
  <c r="AL32" i="26" a="1"/>
  <c r="AL32" i="26"/>
  <c r="AK32" i="26" a="1"/>
  <c r="AK32" i="26"/>
  <c r="AJ32" i="26" a="1"/>
  <c r="AJ32" i="26"/>
  <c r="AI32" i="26" a="1"/>
  <c r="AI32" i="26"/>
  <c r="AH32" i="26" a="1"/>
  <c r="AH32" i="26"/>
  <c r="AG32" i="26" a="1"/>
  <c r="AG32" i="26"/>
  <c r="AF32" i="26" a="1"/>
  <c r="AF32" i="26"/>
  <c r="AE32" i="26" a="1"/>
  <c r="AE32" i="26"/>
  <c r="AD32" i="26" a="1"/>
  <c r="AD32" i="26"/>
  <c r="AC32" i="26" a="1"/>
  <c r="AC32" i="26"/>
  <c r="AB32" i="26" a="1"/>
  <c r="AB32" i="26"/>
  <c r="AA32" i="26" a="1"/>
  <c r="AA32" i="26"/>
  <c r="Z32" i="26" a="1"/>
  <c r="Z32" i="26"/>
  <c r="Y32" i="26" a="1"/>
  <c r="Y32" i="26"/>
  <c r="X32" i="26" a="1"/>
  <c r="X32" i="26"/>
  <c r="W32" i="26" a="1"/>
  <c r="W32" i="26"/>
  <c r="V32" i="26" a="1"/>
  <c r="V32" i="26"/>
  <c r="U32" i="26" a="1"/>
  <c r="U32" i="26"/>
  <c r="T32" i="26" a="1"/>
  <c r="T32" i="26"/>
  <c r="S32" i="26" a="1"/>
  <c r="S32" i="26"/>
  <c r="R32" i="26" a="1"/>
  <c r="R32" i="26"/>
  <c r="Q32" i="26" a="1"/>
  <c r="Q32" i="26"/>
  <c r="P32" i="26" a="1"/>
  <c r="P32" i="26"/>
  <c r="O32" i="26" a="1"/>
  <c r="O32" i="26"/>
  <c r="N32" i="26" a="1"/>
  <c r="N32" i="26"/>
  <c r="M32" i="26" a="1"/>
  <c r="M32" i="26"/>
  <c r="L32" i="26" a="1"/>
  <c r="L32" i="26"/>
  <c r="K32" i="26" a="1"/>
  <c r="K32" i="26"/>
  <c r="J32" i="26" a="1"/>
  <c r="J32" i="26"/>
  <c r="I32" i="26" a="1"/>
  <c r="I32" i="26"/>
  <c r="H32" i="26" a="1"/>
  <c r="H32" i="26"/>
  <c r="G32" i="26" a="1"/>
  <c r="G32" i="26"/>
  <c r="F32" i="26" a="1"/>
  <c r="F32" i="26"/>
  <c r="E32" i="26" a="1"/>
  <c r="E32" i="26"/>
  <c r="C32" i="26"/>
  <c r="BP31" i="26" a="1"/>
  <c r="BP31" i="26"/>
  <c r="BO31" i="26" a="1"/>
  <c r="BO31" i="26"/>
  <c r="BN31" i="26" a="1"/>
  <c r="BN31" i="26"/>
  <c r="BM31" i="26" a="1"/>
  <c r="BM31" i="26"/>
  <c r="BL31" i="26" a="1"/>
  <c r="BL31" i="26"/>
  <c r="BK31" i="26" a="1"/>
  <c r="BK31" i="26"/>
  <c r="BJ31" i="26" a="1"/>
  <c r="BJ31" i="26"/>
  <c r="BI31" i="26" a="1"/>
  <c r="BI31" i="26"/>
  <c r="BH31" i="26" a="1"/>
  <c r="BH31" i="26"/>
  <c r="BG31" i="26" a="1"/>
  <c r="BG31" i="26"/>
  <c r="BF31" i="26" a="1"/>
  <c r="BF31" i="26"/>
  <c r="BE31" i="26" a="1"/>
  <c r="BE31" i="26"/>
  <c r="BD31" i="26" a="1"/>
  <c r="BD31" i="26"/>
  <c r="BC31" i="26" a="1"/>
  <c r="BC31" i="26"/>
  <c r="BB31" i="26" a="1"/>
  <c r="BB31" i="26"/>
  <c r="BA31" i="26" a="1"/>
  <c r="BA31" i="26"/>
  <c r="AZ31" i="26" a="1"/>
  <c r="AZ31" i="26"/>
  <c r="AY31" i="26" a="1"/>
  <c r="AY31" i="26"/>
  <c r="AX31" i="26" a="1"/>
  <c r="AX31" i="26"/>
  <c r="AW31" i="26" a="1"/>
  <c r="AW31" i="26"/>
  <c r="AV31" i="26" a="1"/>
  <c r="AV31" i="26"/>
  <c r="AU31" i="26" a="1"/>
  <c r="AU31" i="26"/>
  <c r="AT31" i="26" a="1"/>
  <c r="AT31" i="26"/>
  <c r="AS31" i="26" a="1"/>
  <c r="AS31" i="26"/>
  <c r="AR31" i="26" a="1"/>
  <c r="AR31" i="26"/>
  <c r="AQ31" i="26" a="1"/>
  <c r="AQ31" i="26"/>
  <c r="AP31" i="26" a="1"/>
  <c r="AP31" i="26"/>
  <c r="AO31" i="26" a="1"/>
  <c r="AO31" i="26"/>
  <c r="AN31" i="26" a="1"/>
  <c r="AN31" i="26"/>
  <c r="AM31" i="26" a="1"/>
  <c r="AM31" i="26"/>
  <c r="AL31" i="26" a="1"/>
  <c r="AL31" i="26"/>
  <c r="AK31" i="26" a="1"/>
  <c r="AK31" i="26"/>
  <c r="AJ31" i="26" a="1"/>
  <c r="AJ31" i="26"/>
  <c r="AI31" i="26" a="1"/>
  <c r="AI31" i="26"/>
  <c r="AH31" i="26" a="1"/>
  <c r="AH31" i="26"/>
  <c r="AG31" i="26" a="1"/>
  <c r="AG31" i="26"/>
  <c r="AF31" i="26" a="1"/>
  <c r="AF31" i="26"/>
  <c r="AE31" i="26" a="1"/>
  <c r="AE31" i="26"/>
  <c r="AD31" i="26" a="1"/>
  <c r="AD31" i="26"/>
  <c r="AC31" i="26" a="1"/>
  <c r="AC31" i="26"/>
  <c r="AB31" i="26" a="1"/>
  <c r="AB31" i="26"/>
  <c r="AA31" i="26" a="1"/>
  <c r="AA31" i="26"/>
  <c r="Z31" i="26" a="1"/>
  <c r="Z31" i="26"/>
  <c r="Y31" i="26" a="1"/>
  <c r="Y31" i="26"/>
  <c r="X31" i="26" a="1"/>
  <c r="X31" i="26"/>
  <c r="W31" i="26" a="1"/>
  <c r="W31" i="26"/>
  <c r="V31" i="26" a="1"/>
  <c r="V31" i="26"/>
  <c r="U31" i="26" a="1"/>
  <c r="U31" i="26"/>
  <c r="T31" i="26" a="1"/>
  <c r="T31" i="26"/>
  <c r="S31" i="26" a="1"/>
  <c r="S31" i="26"/>
  <c r="R31" i="26" a="1"/>
  <c r="R31" i="26"/>
  <c r="Q31" i="26" a="1"/>
  <c r="Q31" i="26"/>
  <c r="P31" i="26" a="1"/>
  <c r="P31" i="26"/>
  <c r="O31" i="26" a="1"/>
  <c r="O31" i="26"/>
  <c r="N31" i="26" a="1"/>
  <c r="N31" i="26"/>
  <c r="M31" i="26" a="1"/>
  <c r="M31" i="26"/>
  <c r="L31" i="26" a="1"/>
  <c r="L31" i="26"/>
  <c r="K31" i="26" a="1"/>
  <c r="K31" i="26"/>
  <c r="J31" i="26" a="1"/>
  <c r="J31" i="26"/>
  <c r="I31" i="26" a="1"/>
  <c r="I31" i="26"/>
  <c r="H31" i="26" a="1"/>
  <c r="H31" i="26"/>
  <c r="G31" i="26" a="1"/>
  <c r="G31" i="26"/>
  <c r="F31" i="26" a="1"/>
  <c r="F31" i="26"/>
  <c r="E31" i="26" a="1"/>
  <c r="E31" i="26"/>
  <c r="C31" i="26"/>
  <c r="BP30" i="26" a="1"/>
  <c r="BP30" i="26"/>
  <c r="BO30" i="26" a="1"/>
  <c r="BO30" i="26"/>
  <c r="BN30" i="26" a="1"/>
  <c r="BN30" i="26"/>
  <c r="BM30" i="26" a="1"/>
  <c r="BM30" i="26"/>
  <c r="BL30" i="26" a="1"/>
  <c r="BL30" i="26"/>
  <c r="BK30" i="26" a="1"/>
  <c r="BK30" i="26"/>
  <c r="BJ30" i="26" a="1"/>
  <c r="BJ30" i="26"/>
  <c r="BI30" i="26" a="1"/>
  <c r="BI30" i="26"/>
  <c r="BH30" i="26" a="1"/>
  <c r="BH30" i="26"/>
  <c r="BG30" i="26" a="1"/>
  <c r="BG30" i="26"/>
  <c r="BF30" i="26" a="1"/>
  <c r="BF30" i="26"/>
  <c r="BE30" i="26" a="1"/>
  <c r="BE30" i="26"/>
  <c r="BD30" i="26" a="1"/>
  <c r="BD30" i="26"/>
  <c r="BC30" i="26" a="1"/>
  <c r="BC30" i="26"/>
  <c r="BB30" i="26" a="1"/>
  <c r="BB30" i="26"/>
  <c r="BA30" i="26" a="1"/>
  <c r="BA30" i="26"/>
  <c r="AZ30" i="26" a="1"/>
  <c r="AZ30" i="26"/>
  <c r="AY30" i="26" a="1"/>
  <c r="AY30" i="26"/>
  <c r="AX30" i="26" a="1"/>
  <c r="AX30" i="26"/>
  <c r="AW30" i="26" a="1"/>
  <c r="AW30" i="26"/>
  <c r="AV30" i="26" a="1"/>
  <c r="AV30" i="26"/>
  <c r="AU30" i="26" a="1"/>
  <c r="AU30" i="26"/>
  <c r="AT30" i="26" a="1"/>
  <c r="AT30" i="26"/>
  <c r="AS30" i="26" a="1"/>
  <c r="AS30" i="26"/>
  <c r="AR30" i="26" a="1"/>
  <c r="AR30" i="26"/>
  <c r="AQ30" i="26" a="1"/>
  <c r="AQ30" i="26"/>
  <c r="AP30" i="26" a="1"/>
  <c r="AP30" i="26"/>
  <c r="AO30" i="26" a="1"/>
  <c r="AO30" i="26"/>
  <c r="AN30" i="26" a="1"/>
  <c r="AN30" i="26"/>
  <c r="AM30" i="26" a="1"/>
  <c r="AM30" i="26"/>
  <c r="AL30" i="26" a="1"/>
  <c r="AL30" i="26"/>
  <c r="AK30" i="26" a="1"/>
  <c r="AK30" i="26"/>
  <c r="AJ30" i="26" a="1"/>
  <c r="AJ30" i="26"/>
  <c r="AI30" i="26" a="1"/>
  <c r="AI30" i="26"/>
  <c r="AH30" i="26" a="1"/>
  <c r="AH30" i="26"/>
  <c r="AG30" i="26" a="1"/>
  <c r="AG30" i="26"/>
  <c r="AF30" i="26" a="1"/>
  <c r="AF30" i="26"/>
  <c r="AE30" i="26" a="1"/>
  <c r="AE30" i="26"/>
  <c r="AD30" i="26" a="1"/>
  <c r="AD30" i="26"/>
  <c r="AC30" i="26" a="1"/>
  <c r="AC30" i="26"/>
  <c r="AB30" i="26" a="1"/>
  <c r="AB30" i="26"/>
  <c r="AA30" i="26" a="1"/>
  <c r="AA30" i="26"/>
  <c r="Z30" i="26" a="1"/>
  <c r="Z30" i="26"/>
  <c r="Y30" i="26" a="1"/>
  <c r="Y30" i="26"/>
  <c r="X30" i="26" a="1"/>
  <c r="X30" i="26"/>
  <c r="W30" i="26" a="1"/>
  <c r="W30" i="26"/>
  <c r="V30" i="26" a="1"/>
  <c r="V30" i="26"/>
  <c r="U30" i="26" a="1"/>
  <c r="U30" i="26"/>
  <c r="T30" i="26" a="1"/>
  <c r="T30" i="26"/>
  <c r="S30" i="26" a="1"/>
  <c r="S30" i="26"/>
  <c r="R30" i="26" a="1"/>
  <c r="R30" i="26"/>
  <c r="Q30" i="26" a="1"/>
  <c r="Q30" i="26"/>
  <c r="P30" i="26" a="1"/>
  <c r="P30" i="26"/>
  <c r="O30" i="26" a="1"/>
  <c r="O30" i="26"/>
  <c r="N30" i="26" a="1"/>
  <c r="N30" i="26"/>
  <c r="M30" i="26" a="1"/>
  <c r="M30" i="26"/>
  <c r="L30" i="26" a="1"/>
  <c r="L30" i="26"/>
  <c r="K30" i="26" a="1"/>
  <c r="K30" i="26"/>
  <c r="J30" i="26" a="1"/>
  <c r="J30" i="26"/>
  <c r="I30" i="26" a="1"/>
  <c r="I30" i="26"/>
  <c r="H30" i="26" a="1"/>
  <c r="H30" i="26"/>
  <c r="G30" i="26" a="1"/>
  <c r="G30" i="26"/>
  <c r="F30" i="26" a="1"/>
  <c r="F30" i="26"/>
  <c r="E30" i="26" a="1"/>
  <c r="E30" i="26"/>
  <c r="C30" i="26"/>
  <c r="AD25" i="26"/>
  <c r="AA17" i="26"/>
  <c r="AB17" i="26"/>
  <c r="W17" i="26"/>
  <c r="AA18" i="26"/>
  <c r="AB18" i="26"/>
  <c r="W18" i="26"/>
  <c r="AA19" i="26"/>
  <c r="AB19" i="26"/>
  <c r="W19" i="26"/>
  <c r="AA20" i="26"/>
  <c r="AB20" i="26"/>
  <c r="W20" i="26"/>
  <c r="Z25" i="26"/>
  <c r="X25" i="26"/>
  <c r="N25" i="26" a="1"/>
  <c r="N25" i="26"/>
  <c r="M25" i="26"/>
  <c r="AD24" i="26"/>
  <c r="Z24" i="26"/>
  <c r="X24" i="26"/>
  <c r="N24" i="26" a="1"/>
  <c r="N24" i="26"/>
  <c r="M24" i="26"/>
  <c r="AD23" i="26"/>
  <c r="Z23" i="26"/>
  <c r="X23" i="26"/>
  <c r="N23" i="26" a="1"/>
  <c r="N23" i="26"/>
  <c r="M23" i="26"/>
  <c r="AD22" i="26"/>
  <c r="Z22" i="26"/>
  <c r="X22" i="26"/>
  <c r="N22" i="26" a="1"/>
  <c r="N22" i="26"/>
  <c r="M22" i="26"/>
  <c r="AD21" i="26"/>
  <c r="Z21" i="26"/>
  <c r="X21" i="26"/>
  <c r="N21" i="26" a="1"/>
  <c r="N21" i="26"/>
  <c r="M21" i="26"/>
  <c r="Z20" i="26"/>
  <c r="X20" i="26"/>
  <c r="J20" i="26"/>
  <c r="I20" i="26"/>
  <c r="H20" i="26"/>
  <c r="K7" i="26"/>
  <c r="N7" i="26"/>
  <c r="G20" i="26"/>
  <c r="F20" i="26"/>
  <c r="E20" i="26"/>
  <c r="D20" i="26"/>
  <c r="Z19" i="26"/>
  <c r="X19" i="26"/>
  <c r="J19" i="26"/>
  <c r="I19" i="26"/>
  <c r="H19" i="26"/>
  <c r="K6" i="26"/>
  <c r="N6" i="26"/>
  <c r="G19" i="26"/>
  <c r="F19" i="26"/>
  <c r="E19" i="26"/>
  <c r="D19" i="26"/>
  <c r="Z18" i="26"/>
  <c r="X18" i="26"/>
  <c r="J18" i="26"/>
  <c r="I18" i="26"/>
  <c r="H18" i="26"/>
  <c r="K5" i="26"/>
  <c r="N5" i="26"/>
  <c r="G18" i="26"/>
  <c r="F18" i="26"/>
  <c r="E18" i="26"/>
  <c r="D18" i="26"/>
  <c r="Z17" i="26"/>
  <c r="X17" i="26"/>
  <c r="J17" i="26"/>
  <c r="I17" i="26"/>
  <c r="H17" i="26"/>
  <c r="F17" i="26"/>
  <c r="E17" i="26"/>
  <c r="K8" i="26"/>
  <c r="K9" i="26"/>
  <c r="K10" i="26"/>
  <c r="K11" i="26"/>
  <c r="K12" i="26"/>
  <c r="F13" i="26"/>
  <c r="B13" i="26"/>
  <c r="S12" i="26"/>
  <c r="N12" i="26"/>
  <c r="E12" i="26"/>
  <c r="D12" i="26"/>
  <c r="E4" i="26"/>
  <c r="D4" i="26"/>
  <c r="E5" i="26"/>
  <c r="D5" i="26"/>
  <c r="E6" i="26"/>
  <c r="D6" i="26"/>
  <c r="E7" i="26"/>
  <c r="D7" i="26"/>
  <c r="E8" i="26"/>
  <c r="D8" i="26"/>
  <c r="E9" i="26"/>
  <c r="D9" i="26"/>
  <c r="E10" i="26"/>
  <c r="D10" i="26"/>
  <c r="E11" i="26"/>
  <c r="D11" i="26"/>
  <c r="C12" i="26"/>
  <c r="S11" i="26"/>
  <c r="N11" i="26"/>
  <c r="C11" i="26"/>
  <c r="S10" i="26"/>
  <c r="N10" i="26"/>
  <c r="C10" i="26"/>
  <c r="S9" i="26"/>
  <c r="N9" i="26"/>
  <c r="C9" i="26"/>
  <c r="S8" i="26"/>
  <c r="N8" i="26"/>
  <c r="C8" i="26"/>
  <c r="S7" i="26"/>
  <c r="C7" i="26"/>
  <c r="S6" i="26"/>
  <c r="C6" i="26"/>
  <c r="S5" i="26"/>
  <c r="C5" i="26"/>
  <c r="S4" i="26"/>
  <c r="C4" i="26"/>
  <c r="F12" i="27"/>
  <c r="BR60" i="27"/>
  <c r="F11" i="27"/>
  <c r="BZ51" i="27"/>
  <c r="BZ60" i="27"/>
  <c r="F10" i="27"/>
  <c r="BY51" i="27"/>
  <c r="BY60" i="27"/>
  <c r="F9" i="27"/>
  <c r="BX51" i="27"/>
  <c r="BX60" i="27"/>
  <c r="F8" i="27"/>
  <c r="BW51" i="27"/>
  <c r="BW60" i="27"/>
  <c r="BV51" i="27"/>
  <c r="BV60" i="27"/>
  <c r="BU51" i="27"/>
  <c r="BU60" i="27"/>
  <c r="BT51" i="27"/>
  <c r="BT60" i="27"/>
  <c r="BS51" i="27"/>
  <c r="BS60" i="27"/>
  <c r="BR59" i="27"/>
  <c r="CA51" i="27"/>
  <c r="CA59" i="27"/>
  <c r="BY59" i="27"/>
  <c r="BX59" i="27"/>
  <c r="BW59" i="27"/>
  <c r="BV59" i="27"/>
  <c r="BU59" i="27"/>
  <c r="BT59" i="27"/>
  <c r="BS59" i="27"/>
  <c r="BR58" i="27"/>
  <c r="CA58" i="27"/>
  <c r="BZ58" i="27"/>
  <c r="BX58" i="27"/>
  <c r="BW58" i="27"/>
  <c r="BV58" i="27"/>
  <c r="BU58" i="27"/>
  <c r="BT58" i="27"/>
  <c r="BS58" i="27"/>
  <c r="BR57" i="27"/>
  <c r="CA57" i="27"/>
  <c r="BZ57" i="27"/>
  <c r="BY57" i="27"/>
  <c r="BW57" i="27"/>
  <c r="BV57" i="27"/>
  <c r="BU57" i="27"/>
  <c r="BT57" i="27"/>
  <c r="BS57" i="27"/>
  <c r="BR56" i="27"/>
  <c r="CA56" i="27"/>
  <c r="BZ56" i="27"/>
  <c r="BY56" i="27"/>
  <c r="BX56" i="27"/>
  <c r="BV56" i="27"/>
  <c r="BU56" i="27"/>
  <c r="BT56" i="27"/>
  <c r="BS56" i="27"/>
  <c r="BR55" i="27"/>
  <c r="CA55" i="27"/>
  <c r="BZ55" i="27"/>
  <c r="BY55" i="27"/>
  <c r="BX55" i="27"/>
  <c r="BW55" i="27"/>
  <c r="BU55" i="27"/>
  <c r="BT55" i="27"/>
  <c r="BS55" i="27"/>
  <c r="BR54" i="27"/>
  <c r="CA54" i="27"/>
  <c r="BZ54" i="27"/>
  <c r="BY54" i="27"/>
  <c r="BX54" i="27"/>
  <c r="BW54" i="27"/>
  <c r="BV54" i="27"/>
  <c r="BT54" i="27"/>
  <c r="BS54" i="27"/>
  <c r="BR53" i="27"/>
  <c r="CA53" i="27"/>
  <c r="BZ53" i="27"/>
  <c r="BY53" i="27"/>
  <c r="BX53" i="27"/>
  <c r="BW53" i="27"/>
  <c r="BV53" i="27"/>
  <c r="BU53" i="27"/>
  <c r="BS53" i="27"/>
  <c r="BR52" i="27"/>
  <c r="CA52" i="27"/>
  <c r="BZ52" i="27"/>
  <c r="BY52" i="27"/>
  <c r="BX52" i="27"/>
  <c r="BW52" i="27"/>
  <c r="BV52" i="27"/>
  <c r="BU52" i="27"/>
  <c r="BT52" i="27"/>
  <c r="CA48" i="27"/>
  <c r="BZ49" i="27"/>
  <c r="CA47" i="27"/>
  <c r="BY49" i="27"/>
  <c r="CA46" i="27"/>
  <c r="BX49" i="27"/>
  <c r="CA45" i="27"/>
  <c r="BW49" i="27"/>
  <c r="CA44" i="27"/>
  <c r="BV49" i="27"/>
  <c r="CA43" i="27"/>
  <c r="BU49" i="27"/>
  <c r="CA42" i="27"/>
  <c r="BT49" i="27"/>
  <c r="CA41" i="27"/>
  <c r="BS49" i="27"/>
  <c r="BR49" i="27"/>
  <c r="C25" i="27"/>
  <c r="BZ47" i="27"/>
  <c r="BY48" i="27"/>
  <c r="BZ46" i="27"/>
  <c r="BX48" i="27"/>
  <c r="BZ45" i="27"/>
  <c r="BW48" i="27"/>
  <c r="BZ44" i="27"/>
  <c r="BV48" i="27"/>
  <c r="BZ43" i="27"/>
  <c r="BU48" i="27"/>
  <c r="BZ42" i="27"/>
  <c r="BT48" i="27"/>
  <c r="BZ41" i="27"/>
  <c r="BS48" i="27"/>
  <c r="BR48" i="27"/>
  <c r="C24" i="27"/>
  <c r="BY46" i="27"/>
  <c r="BX47" i="27"/>
  <c r="BY45" i="27"/>
  <c r="BW47" i="27"/>
  <c r="BY44" i="27"/>
  <c r="BV47" i="27"/>
  <c r="BY43" i="27"/>
  <c r="BU47" i="27"/>
  <c r="BY42" i="27"/>
  <c r="BT47" i="27"/>
  <c r="BY41" i="27"/>
  <c r="BS47" i="27"/>
  <c r="BR47" i="27"/>
  <c r="C23" i="27"/>
  <c r="BX45" i="27"/>
  <c r="BW46" i="27"/>
  <c r="BX44" i="27"/>
  <c r="BV46" i="27"/>
  <c r="BX43" i="27"/>
  <c r="BU46" i="27"/>
  <c r="BX42" i="27"/>
  <c r="BT46" i="27"/>
  <c r="BX41" i="27"/>
  <c r="BS46" i="27"/>
  <c r="BR46" i="27"/>
  <c r="C22" i="27"/>
  <c r="BW44" i="27"/>
  <c r="BV45" i="27"/>
  <c r="BW43" i="27"/>
  <c r="BU45" i="27"/>
  <c r="BW42" i="27"/>
  <c r="BT45" i="27"/>
  <c r="BW41" i="27"/>
  <c r="BS45" i="27"/>
  <c r="BR45" i="27"/>
  <c r="C21" i="27"/>
  <c r="BV43" i="27"/>
  <c r="BU44" i="27"/>
  <c r="BV42" i="27"/>
  <c r="BT44" i="27"/>
  <c r="BV41" i="27"/>
  <c r="BS44" i="27"/>
  <c r="BR44" i="27"/>
  <c r="L7" i="27"/>
  <c r="M7" i="27"/>
  <c r="J7" i="27"/>
  <c r="Q7" i="27"/>
  <c r="K20" i="27"/>
  <c r="P7" i="27"/>
  <c r="R7" i="27"/>
  <c r="G7" i="27"/>
  <c r="H7" i="27"/>
  <c r="I7" i="27"/>
  <c r="T7" i="27"/>
  <c r="G4" i="27"/>
  <c r="H4" i="27"/>
  <c r="I4" i="27"/>
  <c r="T4" i="27"/>
  <c r="G5" i="27"/>
  <c r="H5" i="27"/>
  <c r="I5" i="27"/>
  <c r="T5" i="27"/>
  <c r="G6" i="27"/>
  <c r="H6" i="27"/>
  <c r="I6" i="27"/>
  <c r="T6" i="27"/>
  <c r="G8" i="27"/>
  <c r="H8" i="27"/>
  <c r="I8" i="27"/>
  <c r="T8" i="27"/>
  <c r="G9" i="27"/>
  <c r="H9" i="27"/>
  <c r="I9" i="27"/>
  <c r="T9" i="27"/>
  <c r="G10" i="27"/>
  <c r="H10" i="27"/>
  <c r="I10" i="27"/>
  <c r="T10" i="27"/>
  <c r="G11" i="27"/>
  <c r="H11" i="27"/>
  <c r="I11" i="27"/>
  <c r="T11" i="27"/>
  <c r="G12" i="27"/>
  <c r="H12" i="27"/>
  <c r="I12" i="27"/>
  <c r="T12" i="27"/>
  <c r="U7" i="27"/>
  <c r="L20" i="27"/>
  <c r="L4" i="27"/>
  <c r="M4" i="27"/>
  <c r="J4" i="27"/>
  <c r="Q4" i="27"/>
  <c r="K17" i="27"/>
  <c r="P4" i="27"/>
  <c r="R4" i="27"/>
  <c r="U4" i="27"/>
  <c r="L17" i="27"/>
  <c r="L5" i="27"/>
  <c r="M5" i="27"/>
  <c r="J5" i="27"/>
  <c r="Q5" i="27"/>
  <c r="K18" i="27"/>
  <c r="P5" i="27"/>
  <c r="R5" i="27"/>
  <c r="U5" i="27"/>
  <c r="L18" i="27"/>
  <c r="L6" i="27"/>
  <c r="M6" i="27"/>
  <c r="J6" i="27"/>
  <c r="Q6" i="27"/>
  <c r="K19" i="27"/>
  <c r="P6" i="27"/>
  <c r="R6" i="27"/>
  <c r="U6" i="27"/>
  <c r="L19" i="27"/>
  <c r="L8" i="27"/>
  <c r="J8" i="27"/>
  <c r="Q8" i="27"/>
  <c r="K21" i="27"/>
  <c r="P8" i="27"/>
  <c r="R8" i="27"/>
  <c r="U8" i="27"/>
  <c r="L21" i="27"/>
  <c r="L9" i="27"/>
  <c r="J9" i="27"/>
  <c r="Q9" i="27"/>
  <c r="K22" i="27"/>
  <c r="P9" i="27"/>
  <c r="R9" i="27"/>
  <c r="U9" i="27"/>
  <c r="L22" i="27"/>
  <c r="L10" i="27"/>
  <c r="J10" i="27"/>
  <c r="Q10" i="27"/>
  <c r="K23" i="27"/>
  <c r="P10" i="27"/>
  <c r="R10" i="27"/>
  <c r="U10" i="27"/>
  <c r="L23" i="27"/>
  <c r="L11" i="27"/>
  <c r="J11" i="27"/>
  <c r="Q11" i="27"/>
  <c r="K24" i="27"/>
  <c r="P11" i="27"/>
  <c r="R11" i="27"/>
  <c r="U11" i="27"/>
  <c r="L24" i="27"/>
  <c r="L12" i="27"/>
  <c r="J12" i="27"/>
  <c r="Q12" i="27"/>
  <c r="K25" i="27"/>
  <c r="P12" i="27"/>
  <c r="R12" i="27"/>
  <c r="U12" i="27"/>
  <c r="L25" i="27"/>
  <c r="M20" i="27"/>
  <c r="N20" i="27" a="1"/>
  <c r="N20" i="27"/>
  <c r="V20" i="27"/>
  <c r="BP44" i="27" a="1"/>
  <c r="BP44" i="27"/>
  <c r="BO44" i="27" a="1"/>
  <c r="BO44" i="27"/>
  <c r="BN44" i="27" a="1"/>
  <c r="BN44" i="27"/>
  <c r="BM44" i="27" a="1"/>
  <c r="BM44" i="27"/>
  <c r="BL44" i="27" a="1"/>
  <c r="BL44" i="27"/>
  <c r="BK44" i="27" a="1"/>
  <c r="BK44" i="27"/>
  <c r="BJ44" i="27" a="1"/>
  <c r="BJ44" i="27"/>
  <c r="BI44" i="27" a="1"/>
  <c r="BI44" i="27"/>
  <c r="U20" i="27"/>
  <c r="BH44" i="27" a="1"/>
  <c r="BH44" i="27"/>
  <c r="BG44" i="27" a="1"/>
  <c r="BG44" i="27"/>
  <c r="BF44" i="27" a="1"/>
  <c r="BF44" i="27"/>
  <c r="BE44" i="27" a="1"/>
  <c r="BE44" i="27"/>
  <c r="BD44" i="27" a="1"/>
  <c r="BD44" i="27"/>
  <c r="BC44" i="27" a="1"/>
  <c r="BC44" i="27"/>
  <c r="BB44" i="27" a="1"/>
  <c r="BB44" i="27"/>
  <c r="BA44" i="27" a="1"/>
  <c r="BA44" i="27"/>
  <c r="T20" i="27"/>
  <c r="AZ44" i="27" a="1"/>
  <c r="AZ44" i="27"/>
  <c r="AY44" i="27" a="1"/>
  <c r="AY44" i="27"/>
  <c r="AX44" i="27" a="1"/>
  <c r="AX44" i="27"/>
  <c r="AW44" i="27" a="1"/>
  <c r="AW44" i="27"/>
  <c r="AV44" i="27" a="1"/>
  <c r="AV44" i="27"/>
  <c r="AU44" i="27" a="1"/>
  <c r="AU44" i="27"/>
  <c r="AT44" i="27" a="1"/>
  <c r="AT44" i="27"/>
  <c r="AS44" i="27" a="1"/>
  <c r="AS44" i="27"/>
  <c r="S20" i="27"/>
  <c r="AR44" i="27" a="1"/>
  <c r="AR44" i="27"/>
  <c r="AQ44" i="27" a="1"/>
  <c r="AQ44" i="27"/>
  <c r="AP44" i="27" a="1"/>
  <c r="AP44" i="27"/>
  <c r="AO44" i="27" a="1"/>
  <c r="AO44" i="27"/>
  <c r="AN44" i="27" a="1"/>
  <c r="AN44" i="27"/>
  <c r="AM44" i="27" a="1"/>
  <c r="AM44" i="27"/>
  <c r="AL44" i="27" a="1"/>
  <c r="AL44" i="27"/>
  <c r="AK44" i="27" a="1"/>
  <c r="AK44" i="27"/>
  <c r="R20" i="27"/>
  <c r="AJ44" i="27" a="1"/>
  <c r="AJ44" i="27"/>
  <c r="AI44" i="27" a="1"/>
  <c r="AI44" i="27"/>
  <c r="AH44" i="27" a="1"/>
  <c r="AH44" i="27"/>
  <c r="AG44" i="27" a="1"/>
  <c r="AG44" i="27"/>
  <c r="AF44" i="27" a="1"/>
  <c r="AF44" i="27"/>
  <c r="AE44" i="27" a="1"/>
  <c r="AE44" i="27"/>
  <c r="AD44" i="27" a="1"/>
  <c r="AD44" i="27"/>
  <c r="AC44" i="27" a="1"/>
  <c r="AC44" i="27"/>
  <c r="Q20" i="27"/>
  <c r="AB44" i="27" a="1"/>
  <c r="AB44" i="27"/>
  <c r="AA44" i="27" a="1"/>
  <c r="AA44" i="27"/>
  <c r="Z44" i="27" a="1"/>
  <c r="Z44" i="27"/>
  <c r="Y44" i="27" a="1"/>
  <c r="Y44" i="27"/>
  <c r="X44" i="27" a="1"/>
  <c r="X44" i="27"/>
  <c r="W44" i="27" a="1"/>
  <c r="W44" i="27"/>
  <c r="V44" i="27" a="1"/>
  <c r="V44" i="27"/>
  <c r="U44" i="27" a="1"/>
  <c r="U44" i="27"/>
  <c r="P20" i="27"/>
  <c r="T44" i="27" a="1"/>
  <c r="T44" i="27"/>
  <c r="S44" i="27" a="1"/>
  <c r="S44" i="27"/>
  <c r="R44" i="27" a="1"/>
  <c r="R44" i="27"/>
  <c r="Q44" i="27" a="1"/>
  <c r="Q44" i="27"/>
  <c r="P44" i="27" a="1"/>
  <c r="P44" i="27"/>
  <c r="O44" i="27" a="1"/>
  <c r="O44" i="27"/>
  <c r="N44" i="27" a="1"/>
  <c r="N44" i="27"/>
  <c r="M44" i="27" a="1"/>
  <c r="M44" i="27"/>
  <c r="O20" i="27"/>
  <c r="L44" i="27" a="1"/>
  <c r="L44" i="27"/>
  <c r="K44" i="27" a="1"/>
  <c r="K44" i="27"/>
  <c r="J44" i="27" a="1"/>
  <c r="J44" i="27"/>
  <c r="I44" i="27" a="1"/>
  <c r="I44" i="27"/>
  <c r="H44" i="27" a="1"/>
  <c r="H44" i="27"/>
  <c r="G44" i="27" a="1"/>
  <c r="G44" i="27"/>
  <c r="F44" i="27" a="1"/>
  <c r="F44" i="27"/>
  <c r="E44" i="27" a="1"/>
  <c r="E44" i="27"/>
  <c r="BU42" i="27"/>
  <c r="BT43" i="27"/>
  <c r="BU41" i="27"/>
  <c r="BS43" i="27"/>
  <c r="BR43" i="27"/>
  <c r="M19" i="27"/>
  <c r="N19" i="27" a="1"/>
  <c r="N19" i="27"/>
  <c r="V19" i="27"/>
  <c r="BP43" i="27" a="1"/>
  <c r="BP43" i="27"/>
  <c r="BO43" i="27" a="1"/>
  <c r="BO43" i="27"/>
  <c r="BN43" i="27" a="1"/>
  <c r="BN43" i="27"/>
  <c r="BM43" i="27" a="1"/>
  <c r="BM43" i="27"/>
  <c r="BL43" i="27" a="1"/>
  <c r="BL43" i="27"/>
  <c r="BK43" i="27" a="1"/>
  <c r="BK43" i="27"/>
  <c r="BJ43" i="27" a="1"/>
  <c r="BJ43" i="27"/>
  <c r="BI43" i="27" a="1"/>
  <c r="BI43" i="27"/>
  <c r="U19" i="27"/>
  <c r="BH43" i="27" a="1"/>
  <c r="BH43" i="27"/>
  <c r="BG43" i="27" a="1"/>
  <c r="BG43" i="27"/>
  <c r="BF43" i="27" a="1"/>
  <c r="BF43" i="27"/>
  <c r="BE43" i="27" a="1"/>
  <c r="BE43" i="27"/>
  <c r="BD43" i="27" a="1"/>
  <c r="BD43" i="27"/>
  <c r="BC43" i="27" a="1"/>
  <c r="BC43" i="27"/>
  <c r="BB43" i="27" a="1"/>
  <c r="BB43" i="27"/>
  <c r="BA43" i="27" a="1"/>
  <c r="BA43" i="27"/>
  <c r="T19" i="27"/>
  <c r="AZ43" i="27" a="1"/>
  <c r="AZ43" i="27"/>
  <c r="AY43" i="27" a="1"/>
  <c r="AY43" i="27"/>
  <c r="AX43" i="27" a="1"/>
  <c r="AX43" i="27"/>
  <c r="AW43" i="27" a="1"/>
  <c r="AW43" i="27"/>
  <c r="AV43" i="27" a="1"/>
  <c r="AV43" i="27"/>
  <c r="AU43" i="27" a="1"/>
  <c r="AU43" i="27"/>
  <c r="AT43" i="27" a="1"/>
  <c r="AT43" i="27"/>
  <c r="AS43" i="27" a="1"/>
  <c r="AS43" i="27"/>
  <c r="S19" i="27"/>
  <c r="AR43" i="27" a="1"/>
  <c r="AR43" i="27"/>
  <c r="AQ43" i="27" a="1"/>
  <c r="AQ43" i="27"/>
  <c r="AP43" i="27" a="1"/>
  <c r="AP43" i="27"/>
  <c r="AO43" i="27" a="1"/>
  <c r="AO43" i="27"/>
  <c r="AN43" i="27" a="1"/>
  <c r="AN43" i="27"/>
  <c r="AM43" i="27" a="1"/>
  <c r="AM43" i="27"/>
  <c r="AL43" i="27" a="1"/>
  <c r="AL43" i="27"/>
  <c r="AK43" i="27" a="1"/>
  <c r="AK43" i="27"/>
  <c r="R19" i="27"/>
  <c r="AJ43" i="27" a="1"/>
  <c r="AJ43" i="27"/>
  <c r="AI43" i="27" a="1"/>
  <c r="AI43" i="27"/>
  <c r="AH43" i="27" a="1"/>
  <c r="AH43" i="27"/>
  <c r="AG43" i="27" a="1"/>
  <c r="AG43" i="27"/>
  <c r="AF43" i="27" a="1"/>
  <c r="AF43" i="27"/>
  <c r="AE43" i="27" a="1"/>
  <c r="AE43" i="27"/>
  <c r="AD43" i="27" a="1"/>
  <c r="AD43" i="27"/>
  <c r="AC43" i="27" a="1"/>
  <c r="AC43" i="27"/>
  <c r="Q19" i="27"/>
  <c r="AB43" i="27" a="1"/>
  <c r="AB43" i="27"/>
  <c r="AA43" i="27" a="1"/>
  <c r="AA43" i="27"/>
  <c r="Z43" i="27" a="1"/>
  <c r="Z43" i="27"/>
  <c r="Y43" i="27" a="1"/>
  <c r="Y43" i="27"/>
  <c r="X43" i="27" a="1"/>
  <c r="X43" i="27"/>
  <c r="W43" i="27" a="1"/>
  <c r="W43" i="27"/>
  <c r="V43" i="27" a="1"/>
  <c r="V43" i="27"/>
  <c r="U43" i="27" a="1"/>
  <c r="U43" i="27"/>
  <c r="P19" i="27"/>
  <c r="T43" i="27" a="1"/>
  <c r="T43" i="27"/>
  <c r="S43" i="27" a="1"/>
  <c r="S43" i="27"/>
  <c r="R43" i="27" a="1"/>
  <c r="R43" i="27"/>
  <c r="Q43" i="27" a="1"/>
  <c r="Q43" i="27"/>
  <c r="P43" i="27" a="1"/>
  <c r="P43" i="27"/>
  <c r="O43" i="27" a="1"/>
  <c r="O43" i="27"/>
  <c r="N43" i="27" a="1"/>
  <c r="N43" i="27"/>
  <c r="M43" i="27" a="1"/>
  <c r="M43" i="27"/>
  <c r="O19" i="27"/>
  <c r="L43" i="27" a="1"/>
  <c r="L43" i="27"/>
  <c r="K43" i="27" a="1"/>
  <c r="K43" i="27"/>
  <c r="J43" i="27" a="1"/>
  <c r="J43" i="27"/>
  <c r="I43" i="27" a="1"/>
  <c r="I43" i="27"/>
  <c r="H43" i="27" a="1"/>
  <c r="H43" i="27"/>
  <c r="G43" i="27" a="1"/>
  <c r="G43" i="27"/>
  <c r="F43" i="27" a="1"/>
  <c r="F43" i="27"/>
  <c r="E43" i="27" a="1"/>
  <c r="E43" i="27"/>
  <c r="BT41" i="27"/>
  <c r="BS42" i="27"/>
  <c r="BR42" i="27"/>
  <c r="M18" i="27"/>
  <c r="N18" i="27" a="1"/>
  <c r="N18" i="27"/>
  <c r="V18" i="27"/>
  <c r="BP42" i="27" a="1"/>
  <c r="BP42" i="27"/>
  <c r="BO42" i="27" a="1"/>
  <c r="BO42" i="27"/>
  <c r="BN42" i="27" a="1"/>
  <c r="BN42" i="27"/>
  <c r="BM42" i="27" a="1"/>
  <c r="BM42" i="27"/>
  <c r="BL42" i="27" a="1"/>
  <c r="BL42" i="27"/>
  <c r="BK42" i="27" a="1"/>
  <c r="BK42" i="27"/>
  <c r="BJ42" i="27" a="1"/>
  <c r="BJ42" i="27"/>
  <c r="BI42" i="27" a="1"/>
  <c r="BI42" i="27"/>
  <c r="U18" i="27"/>
  <c r="BH42" i="27" a="1"/>
  <c r="BH42" i="27"/>
  <c r="BG42" i="27" a="1"/>
  <c r="BG42" i="27"/>
  <c r="BF42" i="27" a="1"/>
  <c r="BF42" i="27"/>
  <c r="BE42" i="27" a="1"/>
  <c r="BE42" i="27"/>
  <c r="BD42" i="27" a="1"/>
  <c r="BD42" i="27"/>
  <c r="BC42" i="27" a="1"/>
  <c r="BC42" i="27"/>
  <c r="BB42" i="27" a="1"/>
  <c r="BB42" i="27"/>
  <c r="BA42" i="27" a="1"/>
  <c r="BA42" i="27"/>
  <c r="T18" i="27"/>
  <c r="AZ42" i="27" a="1"/>
  <c r="AZ42" i="27"/>
  <c r="AY42" i="27" a="1"/>
  <c r="AY42" i="27"/>
  <c r="AX42" i="27" a="1"/>
  <c r="AX42" i="27"/>
  <c r="AW42" i="27" a="1"/>
  <c r="AW42" i="27"/>
  <c r="AV42" i="27" a="1"/>
  <c r="AV42" i="27"/>
  <c r="AU42" i="27" a="1"/>
  <c r="AU42" i="27"/>
  <c r="AT42" i="27" a="1"/>
  <c r="AT42" i="27"/>
  <c r="AS42" i="27" a="1"/>
  <c r="AS42" i="27"/>
  <c r="S18" i="27"/>
  <c r="AR42" i="27" a="1"/>
  <c r="AR42" i="27"/>
  <c r="AQ42" i="27" a="1"/>
  <c r="AQ42" i="27"/>
  <c r="AP42" i="27" a="1"/>
  <c r="AP42" i="27"/>
  <c r="AO42" i="27" a="1"/>
  <c r="AO42" i="27"/>
  <c r="AN42" i="27" a="1"/>
  <c r="AN42" i="27"/>
  <c r="AM42" i="27" a="1"/>
  <c r="AM42" i="27"/>
  <c r="AL42" i="27" a="1"/>
  <c r="AL42" i="27"/>
  <c r="AK42" i="27" a="1"/>
  <c r="AK42" i="27"/>
  <c r="R18" i="27"/>
  <c r="AJ42" i="27" a="1"/>
  <c r="AJ42" i="27"/>
  <c r="AI42" i="27" a="1"/>
  <c r="AI42" i="27"/>
  <c r="AH42" i="27" a="1"/>
  <c r="AH42" i="27"/>
  <c r="AG42" i="27" a="1"/>
  <c r="AG42" i="27"/>
  <c r="AF42" i="27" a="1"/>
  <c r="AF42" i="27"/>
  <c r="AE42" i="27" a="1"/>
  <c r="AE42" i="27"/>
  <c r="AD42" i="27" a="1"/>
  <c r="AD42" i="27"/>
  <c r="AC42" i="27" a="1"/>
  <c r="AC42" i="27"/>
  <c r="Q18" i="27"/>
  <c r="AB42" i="27" a="1"/>
  <c r="AB42" i="27"/>
  <c r="AA42" i="27" a="1"/>
  <c r="AA42" i="27"/>
  <c r="Z42" i="27" a="1"/>
  <c r="Z42" i="27"/>
  <c r="Y42" i="27" a="1"/>
  <c r="Y42" i="27"/>
  <c r="X42" i="27" a="1"/>
  <c r="X42" i="27"/>
  <c r="W42" i="27" a="1"/>
  <c r="W42" i="27"/>
  <c r="V42" i="27" a="1"/>
  <c r="V42" i="27"/>
  <c r="U42" i="27" a="1"/>
  <c r="U42" i="27"/>
  <c r="P18" i="27"/>
  <c r="T42" i="27" a="1"/>
  <c r="T42" i="27"/>
  <c r="S42" i="27" a="1"/>
  <c r="S42" i="27"/>
  <c r="R42" i="27" a="1"/>
  <c r="R42" i="27"/>
  <c r="Q42" i="27" a="1"/>
  <c r="Q42" i="27"/>
  <c r="P42" i="27" a="1"/>
  <c r="P42" i="27"/>
  <c r="O42" i="27" a="1"/>
  <c r="O42" i="27"/>
  <c r="N42" i="27" a="1"/>
  <c r="N42" i="27"/>
  <c r="M42" i="27" a="1"/>
  <c r="M42" i="27"/>
  <c r="O18" i="27"/>
  <c r="L42" i="27" a="1"/>
  <c r="L42" i="27"/>
  <c r="K42" i="27" a="1"/>
  <c r="K42" i="27"/>
  <c r="J42" i="27" a="1"/>
  <c r="J42" i="27"/>
  <c r="I42" i="27" a="1"/>
  <c r="I42" i="27"/>
  <c r="H42" i="27" a="1"/>
  <c r="H42" i="27"/>
  <c r="G42" i="27" a="1"/>
  <c r="G42" i="27"/>
  <c r="F42" i="27" a="1"/>
  <c r="F42" i="27"/>
  <c r="E42" i="27" a="1"/>
  <c r="E42" i="27"/>
  <c r="BR41" i="27"/>
  <c r="M17" i="27"/>
  <c r="N17" i="27" a="1"/>
  <c r="N17" i="27"/>
  <c r="V17" i="27"/>
  <c r="BP41" i="27" a="1"/>
  <c r="BP41" i="27"/>
  <c r="BO41" i="27" a="1"/>
  <c r="BO41" i="27"/>
  <c r="BN41" i="27" a="1"/>
  <c r="BN41" i="27"/>
  <c r="BM41" i="27" a="1"/>
  <c r="BM41" i="27"/>
  <c r="BL41" i="27" a="1"/>
  <c r="BL41" i="27"/>
  <c r="BK41" i="27" a="1"/>
  <c r="BK41" i="27"/>
  <c r="BJ41" i="27" a="1"/>
  <c r="BJ41" i="27"/>
  <c r="BI41" i="27" a="1"/>
  <c r="BI41" i="27"/>
  <c r="U17" i="27"/>
  <c r="BH41" i="27" a="1"/>
  <c r="BH41" i="27"/>
  <c r="BG41" i="27" a="1"/>
  <c r="BG41" i="27"/>
  <c r="BF41" i="27" a="1"/>
  <c r="BF41" i="27"/>
  <c r="BE41" i="27" a="1"/>
  <c r="BE41" i="27"/>
  <c r="BD41" i="27" a="1"/>
  <c r="BD41" i="27"/>
  <c r="BC41" i="27" a="1"/>
  <c r="BC41" i="27"/>
  <c r="BB41" i="27" a="1"/>
  <c r="BB41" i="27"/>
  <c r="BA41" i="27" a="1"/>
  <c r="BA41" i="27"/>
  <c r="T17" i="27"/>
  <c r="AZ41" i="27" a="1"/>
  <c r="AZ41" i="27"/>
  <c r="AY41" i="27" a="1"/>
  <c r="AY41" i="27"/>
  <c r="AX41" i="27" a="1"/>
  <c r="AX41" i="27"/>
  <c r="AW41" i="27" a="1"/>
  <c r="AW41" i="27"/>
  <c r="AV41" i="27" a="1"/>
  <c r="AV41" i="27"/>
  <c r="AU41" i="27" a="1"/>
  <c r="AU41" i="27"/>
  <c r="AT41" i="27" a="1"/>
  <c r="AT41" i="27"/>
  <c r="AS41" i="27" a="1"/>
  <c r="AS41" i="27"/>
  <c r="S17" i="27"/>
  <c r="AR41" i="27" a="1"/>
  <c r="AR41" i="27"/>
  <c r="AQ41" i="27" a="1"/>
  <c r="AQ41" i="27"/>
  <c r="AP41" i="27" a="1"/>
  <c r="AP41" i="27"/>
  <c r="AO41" i="27" a="1"/>
  <c r="AO41" i="27"/>
  <c r="AN41" i="27" a="1"/>
  <c r="AN41" i="27"/>
  <c r="AM41" i="27" a="1"/>
  <c r="AM41" i="27"/>
  <c r="AL41" i="27" a="1"/>
  <c r="AL41" i="27"/>
  <c r="AK41" i="27" a="1"/>
  <c r="AK41" i="27"/>
  <c r="R17" i="27"/>
  <c r="AJ41" i="27" a="1"/>
  <c r="AJ41" i="27"/>
  <c r="AI41" i="27" a="1"/>
  <c r="AI41" i="27"/>
  <c r="AH41" i="27" a="1"/>
  <c r="AH41" i="27"/>
  <c r="AG41" i="27" a="1"/>
  <c r="AG41" i="27"/>
  <c r="AF41" i="27" a="1"/>
  <c r="AF41" i="27"/>
  <c r="AE41" i="27" a="1"/>
  <c r="AE41" i="27"/>
  <c r="AD41" i="27" a="1"/>
  <c r="AD41" i="27"/>
  <c r="AC41" i="27" a="1"/>
  <c r="AC41" i="27"/>
  <c r="Q17" i="27"/>
  <c r="AB41" i="27" a="1"/>
  <c r="AB41" i="27"/>
  <c r="AA41" i="27" a="1"/>
  <c r="AA41" i="27"/>
  <c r="Z41" i="27" a="1"/>
  <c r="Z41" i="27"/>
  <c r="Y41" i="27" a="1"/>
  <c r="Y41" i="27"/>
  <c r="X41" i="27" a="1"/>
  <c r="X41" i="27"/>
  <c r="W41" i="27" a="1"/>
  <c r="W41" i="27"/>
  <c r="V41" i="27" a="1"/>
  <c r="V41" i="27"/>
  <c r="U41" i="27" a="1"/>
  <c r="U41" i="27"/>
  <c r="P17" i="27"/>
  <c r="T41" i="27" a="1"/>
  <c r="T41" i="27"/>
  <c r="S41" i="27" a="1"/>
  <c r="S41" i="27"/>
  <c r="R41" i="27" a="1"/>
  <c r="R41" i="27"/>
  <c r="Q41" i="27" a="1"/>
  <c r="Q41" i="27"/>
  <c r="P41" i="27" a="1"/>
  <c r="P41" i="27"/>
  <c r="O41" i="27" a="1"/>
  <c r="O41" i="27"/>
  <c r="N41" i="27" a="1"/>
  <c r="N41" i="27"/>
  <c r="M41" i="27" a="1"/>
  <c r="M41" i="27"/>
  <c r="O17" i="27"/>
  <c r="L41" i="27" a="1"/>
  <c r="L41" i="27"/>
  <c r="K41" i="27" a="1"/>
  <c r="K41" i="27"/>
  <c r="J41" i="27" a="1"/>
  <c r="J41" i="27"/>
  <c r="I41" i="27" a="1"/>
  <c r="I41" i="27"/>
  <c r="H41" i="27" a="1"/>
  <c r="H41" i="27"/>
  <c r="G41" i="27" a="1"/>
  <c r="G41" i="27"/>
  <c r="F41" i="27" a="1"/>
  <c r="F41" i="27"/>
  <c r="E41" i="27" a="1"/>
  <c r="E41" i="27"/>
  <c r="CA40" i="27"/>
  <c r="BZ40" i="27"/>
  <c r="BY40" i="27"/>
  <c r="BX40" i="27"/>
  <c r="BW40" i="27"/>
  <c r="BV40" i="27"/>
  <c r="BU40" i="27"/>
  <c r="BT40" i="27"/>
  <c r="BS40"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BP35" i="27" a="1"/>
  <c r="BP35" i="27"/>
  <c r="BO35" i="27" a="1"/>
  <c r="BO35" i="27"/>
  <c r="BN35" i="27" a="1"/>
  <c r="BN35" i="27"/>
  <c r="BM35" i="27" a="1"/>
  <c r="BM35" i="27"/>
  <c r="BL35" i="27" a="1"/>
  <c r="BL35" i="27"/>
  <c r="BK35" i="27" a="1"/>
  <c r="BK35" i="27"/>
  <c r="BJ35" i="27" a="1"/>
  <c r="BJ35" i="27"/>
  <c r="BI35" i="27" a="1"/>
  <c r="BI35" i="27"/>
  <c r="BH35" i="27" a="1"/>
  <c r="BH35" i="27"/>
  <c r="BG35" i="27" a="1"/>
  <c r="BG35" i="27"/>
  <c r="BF35" i="27" a="1"/>
  <c r="BF35" i="27"/>
  <c r="BE35" i="27" a="1"/>
  <c r="BE35" i="27"/>
  <c r="BD35" i="27" a="1"/>
  <c r="BD35" i="27"/>
  <c r="BC35" i="27" a="1"/>
  <c r="BC35" i="27"/>
  <c r="BB35" i="27" a="1"/>
  <c r="BB35" i="27"/>
  <c r="BA35" i="27" a="1"/>
  <c r="BA35" i="27"/>
  <c r="AZ35" i="27" a="1"/>
  <c r="AZ35" i="27"/>
  <c r="AY35" i="27" a="1"/>
  <c r="AY35" i="27"/>
  <c r="AX35" i="27" a="1"/>
  <c r="AX35" i="27"/>
  <c r="AW35" i="27" a="1"/>
  <c r="AW35" i="27"/>
  <c r="AV35" i="27" a="1"/>
  <c r="AV35" i="27"/>
  <c r="AU35" i="27" a="1"/>
  <c r="AU35" i="27"/>
  <c r="AT35" i="27" a="1"/>
  <c r="AT35" i="27"/>
  <c r="AS35" i="27" a="1"/>
  <c r="AS35" i="27"/>
  <c r="AR35" i="27" a="1"/>
  <c r="AR35" i="27"/>
  <c r="AQ35" i="27" a="1"/>
  <c r="AQ35" i="27"/>
  <c r="AP35" i="27" a="1"/>
  <c r="AP35" i="27"/>
  <c r="AO35" i="27" a="1"/>
  <c r="AO35" i="27"/>
  <c r="AN35" i="27" a="1"/>
  <c r="AN35" i="27"/>
  <c r="AM35" i="27" a="1"/>
  <c r="AM35" i="27"/>
  <c r="AL35" i="27" a="1"/>
  <c r="AL35" i="27"/>
  <c r="AK35" i="27" a="1"/>
  <c r="AK35" i="27"/>
  <c r="AJ35" i="27" a="1"/>
  <c r="AJ35" i="27"/>
  <c r="AI35" i="27" a="1"/>
  <c r="AI35" i="27"/>
  <c r="AH35" i="27" a="1"/>
  <c r="AH35" i="27"/>
  <c r="AG35" i="27" a="1"/>
  <c r="AG35" i="27"/>
  <c r="AF35" i="27" a="1"/>
  <c r="AF35" i="27"/>
  <c r="AE35" i="27" a="1"/>
  <c r="AE35" i="27"/>
  <c r="AD35" i="27" a="1"/>
  <c r="AD35" i="27"/>
  <c r="AC35" i="27" a="1"/>
  <c r="AC35" i="27"/>
  <c r="AB35" i="27" a="1"/>
  <c r="AB35" i="27"/>
  <c r="AA35" i="27" a="1"/>
  <c r="AA35" i="27"/>
  <c r="Z35" i="27" a="1"/>
  <c r="Z35" i="27"/>
  <c r="Y35" i="27" a="1"/>
  <c r="Y35" i="27"/>
  <c r="X35" i="27" a="1"/>
  <c r="X35" i="27"/>
  <c r="W35" i="27" a="1"/>
  <c r="W35" i="27"/>
  <c r="V35" i="27" a="1"/>
  <c r="V35" i="27"/>
  <c r="U35" i="27" a="1"/>
  <c r="U35" i="27"/>
  <c r="T35" i="27" a="1"/>
  <c r="T35" i="27"/>
  <c r="S35" i="27" a="1"/>
  <c r="S35" i="27"/>
  <c r="R35" i="27" a="1"/>
  <c r="R35" i="27"/>
  <c r="Q35" i="27" a="1"/>
  <c r="Q35" i="27"/>
  <c r="P35" i="27" a="1"/>
  <c r="P35" i="27"/>
  <c r="O35" i="27" a="1"/>
  <c r="O35" i="27"/>
  <c r="N35" i="27" a="1"/>
  <c r="N35" i="27"/>
  <c r="M35" i="27" a="1"/>
  <c r="M35" i="27"/>
  <c r="L35" i="27" a="1"/>
  <c r="L35" i="27"/>
  <c r="K35" i="27" a="1"/>
  <c r="K35" i="27"/>
  <c r="J35" i="27" a="1"/>
  <c r="J35" i="27"/>
  <c r="I35" i="27" a="1"/>
  <c r="I35" i="27"/>
  <c r="H35" i="27" a="1"/>
  <c r="H35" i="27"/>
  <c r="G35" i="27" a="1"/>
  <c r="G35" i="27"/>
  <c r="F35" i="27" a="1"/>
  <c r="F35" i="27"/>
  <c r="E35" i="27" a="1"/>
  <c r="E35" i="27"/>
  <c r="C35" i="27"/>
  <c r="BP34" i="27" a="1"/>
  <c r="BP34" i="27"/>
  <c r="BO34" i="27" a="1"/>
  <c r="BO34" i="27"/>
  <c r="BN34" i="27" a="1"/>
  <c r="BN34" i="27"/>
  <c r="BM34" i="27" a="1"/>
  <c r="BM34" i="27"/>
  <c r="BL34" i="27" a="1"/>
  <c r="BL34" i="27"/>
  <c r="BK34" i="27" a="1"/>
  <c r="BK34" i="27"/>
  <c r="BJ34" i="27" a="1"/>
  <c r="BJ34" i="27"/>
  <c r="BI34" i="27" a="1"/>
  <c r="BI34" i="27"/>
  <c r="BH34" i="27" a="1"/>
  <c r="BH34" i="27"/>
  <c r="BG34" i="27" a="1"/>
  <c r="BG34" i="27"/>
  <c r="BF34" i="27" a="1"/>
  <c r="BF34" i="27"/>
  <c r="BE34" i="27" a="1"/>
  <c r="BE34" i="27"/>
  <c r="BD34" i="27" a="1"/>
  <c r="BD34" i="27"/>
  <c r="BC34" i="27" a="1"/>
  <c r="BC34" i="27"/>
  <c r="BB34" i="27" a="1"/>
  <c r="BB34" i="27"/>
  <c r="BA34" i="27" a="1"/>
  <c r="BA34" i="27"/>
  <c r="AZ34" i="27" a="1"/>
  <c r="AZ34" i="27"/>
  <c r="AY34" i="27" a="1"/>
  <c r="AY34" i="27"/>
  <c r="AX34" i="27" a="1"/>
  <c r="AX34" i="27"/>
  <c r="AW34" i="27" a="1"/>
  <c r="AW34" i="27"/>
  <c r="AV34" i="27" a="1"/>
  <c r="AV34" i="27"/>
  <c r="AU34" i="27" a="1"/>
  <c r="AU34" i="27"/>
  <c r="AT34" i="27" a="1"/>
  <c r="AT34" i="27"/>
  <c r="AS34" i="27" a="1"/>
  <c r="AS34" i="27"/>
  <c r="AR34" i="27" a="1"/>
  <c r="AR34" i="27"/>
  <c r="AQ34" i="27" a="1"/>
  <c r="AQ34" i="27"/>
  <c r="AP34" i="27" a="1"/>
  <c r="AP34" i="27"/>
  <c r="AO34" i="27" a="1"/>
  <c r="AO34" i="27"/>
  <c r="AN34" i="27" a="1"/>
  <c r="AN34" i="27"/>
  <c r="AM34" i="27" a="1"/>
  <c r="AM34" i="27"/>
  <c r="AL34" i="27" a="1"/>
  <c r="AL34" i="27"/>
  <c r="AK34" i="27" a="1"/>
  <c r="AK34" i="27"/>
  <c r="AJ34" i="27" a="1"/>
  <c r="AJ34" i="27"/>
  <c r="AI34" i="27" a="1"/>
  <c r="AI34" i="27"/>
  <c r="AH34" i="27" a="1"/>
  <c r="AH34" i="27"/>
  <c r="AG34" i="27" a="1"/>
  <c r="AG34" i="27"/>
  <c r="AF34" i="27" a="1"/>
  <c r="AF34" i="27"/>
  <c r="AE34" i="27" a="1"/>
  <c r="AE34" i="27"/>
  <c r="AD34" i="27" a="1"/>
  <c r="AD34" i="27"/>
  <c r="AC34" i="27" a="1"/>
  <c r="AC34" i="27"/>
  <c r="AB34" i="27" a="1"/>
  <c r="AB34" i="27"/>
  <c r="AA34" i="27" a="1"/>
  <c r="AA34" i="27"/>
  <c r="Z34" i="27" a="1"/>
  <c r="Z34" i="27"/>
  <c r="Y34" i="27" a="1"/>
  <c r="Y34" i="27"/>
  <c r="X34" i="27" a="1"/>
  <c r="X34" i="27"/>
  <c r="W34" i="27" a="1"/>
  <c r="W34" i="27"/>
  <c r="V34" i="27" a="1"/>
  <c r="V34" i="27"/>
  <c r="U34" i="27" a="1"/>
  <c r="U34" i="27"/>
  <c r="T34" i="27" a="1"/>
  <c r="T34" i="27"/>
  <c r="S34" i="27" a="1"/>
  <c r="S34" i="27"/>
  <c r="R34" i="27" a="1"/>
  <c r="R34" i="27"/>
  <c r="Q34" i="27" a="1"/>
  <c r="Q34" i="27"/>
  <c r="P34" i="27" a="1"/>
  <c r="P34" i="27"/>
  <c r="O34" i="27" a="1"/>
  <c r="O34" i="27"/>
  <c r="N34" i="27" a="1"/>
  <c r="N34" i="27"/>
  <c r="M34" i="27" a="1"/>
  <c r="M34" i="27"/>
  <c r="L34" i="27" a="1"/>
  <c r="L34" i="27"/>
  <c r="K34" i="27" a="1"/>
  <c r="K34" i="27"/>
  <c r="J34" i="27" a="1"/>
  <c r="J34" i="27"/>
  <c r="I34" i="27" a="1"/>
  <c r="I34" i="27"/>
  <c r="H34" i="27" a="1"/>
  <c r="H34" i="27"/>
  <c r="G34" i="27" a="1"/>
  <c r="G34" i="27"/>
  <c r="F34" i="27" a="1"/>
  <c r="F34" i="27"/>
  <c r="E34" i="27" a="1"/>
  <c r="E34" i="27"/>
  <c r="C34" i="27"/>
  <c r="BP33" i="27" a="1"/>
  <c r="BP33" i="27"/>
  <c r="BO33" i="27" a="1"/>
  <c r="BO33" i="27"/>
  <c r="BN33" i="27" a="1"/>
  <c r="BN33" i="27"/>
  <c r="BM33" i="27" a="1"/>
  <c r="BM33" i="27"/>
  <c r="BL33" i="27" a="1"/>
  <c r="BL33" i="27"/>
  <c r="BK33" i="27" a="1"/>
  <c r="BK33" i="27"/>
  <c r="BJ33" i="27" a="1"/>
  <c r="BJ33" i="27"/>
  <c r="BI33" i="27" a="1"/>
  <c r="BI33" i="27"/>
  <c r="BH33" i="27" a="1"/>
  <c r="BH33" i="27"/>
  <c r="BG33" i="27" a="1"/>
  <c r="BG33" i="27"/>
  <c r="BF33" i="27" a="1"/>
  <c r="BF33" i="27"/>
  <c r="BE33" i="27" a="1"/>
  <c r="BE33" i="27"/>
  <c r="BD33" i="27" a="1"/>
  <c r="BD33" i="27"/>
  <c r="BC33" i="27" a="1"/>
  <c r="BC33" i="27"/>
  <c r="BB33" i="27" a="1"/>
  <c r="BB33" i="27"/>
  <c r="BA33" i="27" a="1"/>
  <c r="BA33" i="27"/>
  <c r="AZ33" i="27" a="1"/>
  <c r="AZ33" i="27"/>
  <c r="AY33" i="27" a="1"/>
  <c r="AY33" i="27"/>
  <c r="AX33" i="27" a="1"/>
  <c r="AX33" i="27"/>
  <c r="AW33" i="27" a="1"/>
  <c r="AW33" i="27"/>
  <c r="AV33" i="27" a="1"/>
  <c r="AV33" i="27"/>
  <c r="AU33" i="27" a="1"/>
  <c r="AU33" i="27"/>
  <c r="AT33" i="27" a="1"/>
  <c r="AT33" i="27"/>
  <c r="AS33" i="27" a="1"/>
  <c r="AS33" i="27"/>
  <c r="AR33" i="27" a="1"/>
  <c r="AR33" i="27"/>
  <c r="AQ33" i="27" a="1"/>
  <c r="AQ33" i="27"/>
  <c r="AP33" i="27" a="1"/>
  <c r="AP33" i="27"/>
  <c r="AO33" i="27" a="1"/>
  <c r="AO33" i="27"/>
  <c r="AN33" i="27" a="1"/>
  <c r="AN33" i="27"/>
  <c r="AM33" i="27" a="1"/>
  <c r="AM33" i="27"/>
  <c r="AL33" i="27" a="1"/>
  <c r="AL33" i="27"/>
  <c r="AK33" i="27" a="1"/>
  <c r="AK33" i="27"/>
  <c r="AJ33" i="27" a="1"/>
  <c r="AJ33" i="27"/>
  <c r="AI33" i="27" a="1"/>
  <c r="AI33" i="27"/>
  <c r="AH33" i="27" a="1"/>
  <c r="AH33" i="27"/>
  <c r="AG33" i="27" a="1"/>
  <c r="AG33" i="27"/>
  <c r="AF33" i="27" a="1"/>
  <c r="AF33" i="27"/>
  <c r="AE33" i="27" a="1"/>
  <c r="AE33" i="27"/>
  <c r="AD33" i="27" a="1"/>
  <c r="AD33" i="27"/>
  <c r="AC33" i="27" a="1"/>
  <c r="AC33" i="27"/>
  <c r="AB33" i="27" a="1"/>
  <c r="AB33" i="27"/>
  <c r="AA33" i="27" a="1"/>
  <c r="AA33" i="27"/>
  <c r="Z33" i="27" a="1"/>
  <c r="Z33" i="27"/>
  <c r="Y33" i="27" a="1"/>
  <c r="Y33" i="27"/>
  <c r="X33" i="27" a="1"/>
  <c r="X33" i="27"/>
  <c r="W33" i="27" a="1"/>
  <c r="W33" i="27"/>
  <c r="V33" i="27" a="1"/>
  <c r="V33" i="27"/>
  <c r="U33" i="27" a="1"/>
  <c r="U33" i="27"/>
  <c r="T33" i="27" a="1"/>
  <c r="T33" i="27"/>
  <c r="S33" i="27" a="1"/>
  <c r="S33" i="27"/>
  <c r="R33" i="27" a="1"/>
  <c r="R33" i="27"/>
  <c r="Q33" i="27" a="1"/>
  <c r="Q33" i="27"/>
  <c r="P33" i="27" a="1"/>
  <c r="P33" i="27"/>
  <c r="O33" i="27" a="1"/>
  <c r="O33" i="27"/>
  <c r="N33" i="27" a="1"/>
  <c r="N33" i="27"/>
  <c r="M33" i="27" a="1"/>
  <c r="M33" i="27"/>
  <c r="L33" i="27" a="1"/>
  <c r="L33" i="27"/>
  <c r="K33" i="27" a="1"/>
  <c r="K33" i="27"/>
  <c r="J33" i="27" a="1"/>
  <c r="J33" i="27"/>
  <c r="I33" i="27" a="1"/>
  <c r="I33" i="27"/>
  <c r="H33" i="27" a="1"/>
  <c r="H33" i="27"/>
  <c r="G33" i="27" a="1"/>
  <c r="G33" i="27"/>
  <c r="F33" i="27" a="1"/>
  <c r="F33" i="27"/>
  <c r="E33" i="27" a="1"/>
  <c r="E33" i="27"/>
  <c r="C33" i="27"/>
  <c r="BP32" i="27" a="1"/>
  <c r="BP32" i="27"/>
  <c r="BO32" i="27" a="1"/>
  <c r="BO32" i="27"/>
  <c r="BN32" i="27" a="1"/>
  <c r="BN32" i="27"/>
  <c r="BM32" i="27" a="1"/>
  <c r="BM32" i="27"/>
  <c r="BL32" i="27" a="1"/>
  <c r="BL32" i="27"/>
  <c r="BK32" i="27" a="1"/>
  <c r="BK32" i="27"/>
  <c r="BJ32" i="27" a="1"/>
  <c r="BJ32" i="27"/>
  <c r="BI32" i="27" a="1"/>
  <c r="BI32" i="27"/>
  <c r="BH32" i="27" a="1"/>
  <c r="BH32" i="27"/>
  <c r="BG32" i="27" a="1"/>
  <c r="BG32" i="27"/>
  <c r="BF32" i="27" a="1"/>
  <c r="BF32" i="27"/>
  <c r="BE32" i="27" a="1"/>
  <c r="BE32" i="27"/>
  <c r="BD32" i="27" a="1"/>
  <c r="BD32" i="27"/>
  <c r="BC32" i="27" a="1"/>
  <c r="BC32" i="27"/>
  <c r="BB32" i="27" a="1"/>
  <c r="BB32" i="27"/>
  <c r="BA32" i="27" a="1"/>
  <c r="BA32" i="27"/>
  <c r="AZ32" i="27" a="1"/>
  <c r="AZ32" i="27"/>
  <c r="AY32" i="27" a="1"/>
  <c r="AY32" i="27"/>
  <c r="AX32" i="27" a="1"/>
  <c r="AX32" i="27"/>
  <c r="AW32" i="27" a="1"/>
  <c r="AW32" i="27"/>
  <c r="AV32" i="27" a="1"/>
  <c r="AV32" i="27"/>
  <c r="AU32" i="27" a="1"/>
  <c r="AU32" i="27"/>
  <c r="AT32" i="27" a="1"/>
  <c r="AT32" i="27"/>
  <c r="AS32" i="27" a="1"/>
  <c r="AS32" i="27"/>
  <c r="AR32" i="27" a="1"/>
  <c r="AR32" i="27"/>
  <c r="AQ32" i="27" a="1"/>
  <c r="AQ32" i="27"/>
  <c r="AP32" i="27" a="1"/>
  <c r="AP32" i="27"/>
  <c r="AO32" i="27" a="1"/>
  <c r="AO32" i="27"/>
  <c r="AN32" i="27" a="1"/>
  <c r="AN32" i="27"/>
  <c r="AM32" i="27" a="1"/>
  <c r="AM32" i="27"/>
  <c r="AL32" i="27" a="1"/>
  <c r="AL32" i="27"/>
  <c r="AK32" i="27" a="1"/>
  <c r="AK32" i="27"/>
  <c r="AJ32" i="27" a="1"/>
  <c r="AJ32" i="27"/>
  <c r="AI32" i="27" a="1"/>
  <c r="AI32" i="27"/>
  <c r="AH32" i="27" a="1"/>
  <c r="AH32" i="27"/>
  <c r="AG32" i="27" a="1"/>
  <c r="AG32" i="27"/>
  <c r="AF32" i="27" a="1"/>
  <c r="AF32" i="27"/>
  <c r="AE32" i="27" a="1"/>
  <c r="AE32" i="27"/>
  <c r="AD32" i="27" a="1"/>
  <c r="AD32" i="27"/>
  <c r="AC32" i="27" a="1"/>
  <c r="AC32" i="27"/>
  <c r="AB32" i="27" a="1"/>
  <c r="AB32" i="27"/>
  <c r="AA32" i="27" a="1"/>
  <c r="AA32" i="27"/>
  <c r="Z32" i="27" a="1"/>
  <c r="Z32" i="27"/>
  <c r="Y32" i="27" a="1"/>
  <c r="Y32" i="27"/>
  <c r="X32" i="27" a="1"/>
  <c r="X32" i="27"/>
  <c r="W32" i="27" a="1"/>
  <c r="W32" i="27"/>
  <c r="V32" i="27" a="1"/>
  <c r="V32" i="27"/>
  <c r="U32" i="27" a="1"/>
  <c r="U32" i="27"/>
  <c r="T32" i="27" a="1"/>
  <c r="T32" i="27"/>
  <c r="S32" i="27" a="1"/>
  <c r="S32" i="27"/>
  <c r="R32" i="27" a="1"/>
  <c r="R32" i="27"/>
  <c r="Q32" i="27" a="1"/>
  <c r="Q32" i="27"/>
  <c r="P32" i="27" a="1"/>
  <c r="P32" i="27"/>
  <c r="O32" i="27" a="1"/>
  <c r="O32" i="27"/>
  <c r="N32" i="27" a="1"/>
  <c r="N32" i="27"/>
  <c r="M32" i="27" a="1"/>
  <c r="M32" i="27"/>
  <c r="L32" i="27" a="1"/>
  <c r="L32" i="27"/>
  <c r="K32" i="27" a="1"/>
  <c r="K32" i="27"/>
  <c r="J32" i="27" a="1"/>
  <c r="J32" i="27"/>
  <c r="I32" i="27" a="1"/>
  <c r="I32" i="27"/>
  <c r="H32" i="27" a="1"/>
  <c r="H32" i="27"/>
  <c r="G32" i="27" a="1"/>
  <c r="G32" i="27"/>
  <c r="F32" i="27" a="1"/>
  <c r="F32" i="27"/>
  <c r="E32" i="27" a="1"/>
  <c r="E32" i="27"/>
  <c r="C32" i="27"/>
  <c r="BP31" i="27" a="1"/>
  <c r="BP31" i="27"/>
  <c r="BO31" i="27" a="1"/>
  <c r="BO31" i="27"/>
  <c r="BN31" i="27" a="1"/>
  <c r="BN31" i="27"/>
  <c r="BM31" i="27" a="1"/>
  <c r="BM31" i="27"/>
  <c r="BL31" i="27" a="1"/>
  <c r="BL31" i="27"/>
  <c r="BK31" i="27" a="1"/>
  <c r="BK31" i="27"/>
  <c r="BJ31" i="27" a="1"/>
  <c r="BJ31" i="27"/>
  <c r="BI31" i="27" a="1"/>
  <c r="BI31" i="27"/>
  <c r="BH31" i="27" a="1"/>
  <c r="BH31" i="27"/>
  <c r="BG31" i="27" a="1"/>
  <c r="BG31" i="27"/>
  <c r="BF31" i="27" a="1"/>
  <c r="BF31" i="27"/>
  <c r="BE31" i="27" a="1"/>
  <c r="BE31" i="27"/>
  <c r="BD31" i="27" a="1"/>
  <c r="BD31" i="27"/>
  <c r="BC31" i="27" a="1"/>
  <c r="BC31" i="27"/>
  <c r="BB31" i="27" a="1"/>
  <c r="BB31" i="27"/>
  <c r="BA31" i="27" a="1"/>
  <c r="BA31" i="27"/>
  <c r="AZ31" i="27" a="1"/>
  <c r="AZ31" i="27"/>
  <c r="AY31" i="27" a="1"/>
  <c r="AY31" i="27"/>
  <c r="AX31" i="27" a="1"/>
  <c r="AX31" i="27"/>
  <c r="AW31" i="27" a="1"/>
  <c r="AW31" i="27"/>
  <c r="AV31" i="27" a="1"/>
  <c r="AV31" i="27"/>
  <c r="AU31" i="27" a="1"/>
  <c r="AU31" i="27"/>
  <c r="AT31" i="27" a="1"/>
  <c r="AT31" i="27"/>
  <c r="AS31" i="27" a="1"/>
  <c r="AS31" i="27"/>
  <c r="AR31" i="27" a="1"/>
  <c r="AR31" i="27"/>
  <c r="AQ31" i="27" a="1"/>
  <c r="AQ31" i="27"/>
  <c r="AP31" i="27" a="1"/>
  <c r="AP31" i="27"/>
  <c r="AO31" i="27" a="1"/>
  <c r="AO31" i="27"/>
  <c r="AN31" i="27" a="1"/>
  <c r="AN31" i="27"/>
  <c r="AM31" i="27" a="1"/>
  <c r="AM31" i="27"/>
  <c r="AL31" i="27" a="1"/>
  <c r="AL31" i="27"/>
  <c r="AK31" i="27" a="1"/>
  <c r="AK31" i="27"/>
  <c r="AJ31" i="27" a="1"/>
  <c r="AJ31" i="27"/>
  <c r="AI31" i="27" a="1"/>
  <c r="AI31" i="27"/>
  <c r="AH31" i="27" a="1"/>
  <c r="AH31" i="27"/>
  <c r="AG31" i="27" a="1"/>
  <c r="AG31" i="27"/>
  <c r="AF31" i="27" a="1"/>
  <c r="AF31" i="27"/>
  <c r="AE31" i="27" a="1"/>
  <c r="AE31" i="27"/>
  <c r="AD31" i="27" a="1"/>
  <c r="AD31" i="27"/>
  <c r="AC31" i="27" a="1"/>
  <c r="AC31" i="27"/>
  <c r="AB31" i="27" a="1"/>
  <c r="AB31" i="27"/>
  <c r="AA31" i="27" a="1"/>
  <c r="AA31" i="27"/>
  <c r="Z31" i="27" a="1"/>
  <c r="Z31" i="27"/>
  <c r="Y31" i="27" a="1"/>
  <c r="Y31" i="27"/>
  <c r="X31" i="27" a="1"/>
  <c r="X31" i="27"/>
  <c r="W31" i="27" a="1"/>
  <c r="W31" i="27"/>
  <c r="V31" i="27" a="1"/>
  <c r="V31" i="27"/>
  <c r="U31" i="27" a="1"/>
  <c r="U31" i="27"/>
  <c r="T31" i="27" a="1"/>
  <c r="T31" i="27"/>
  <c r="S31" i="27" a="1"/>
  <c r="S31" i="27"/>
  <c r="R31" i="27" a="1"/>
  <c r="R31" i="27"/>
  <c r="Q31" i="27" a="1"/>
  <c r="Q31" i="27"/>
  <c r="P31" i="27" a="1"/>
  <c r="P31" i="27"/>
  <c r="O31" i="27" a="1"/>
  <c r="O31" i="27"/>
  <c r="N31" i="27" a="1"/>
  <c r="N31" i="27"/>
  <c r="M31" i="27" a="1"/>
  <c r="M31" i="27"/>
  <c r="L31" i="27" a="1"/>
  <c r="L31" i="27"/>
  <c r="K31" i="27" a="1"/>
  <c r="K31" i="27"/>
  <c r="J31" i="27" a="1"/>
  <c r="J31" i="27"/>
  <c r="I31" i="27" a="1"/>
  <c r="I31" i="27"/>
  <c r="H31" i="27" a="1"/>
  <c r="H31" i="27"/>
  <c r="G31" i="27" a="1"/>
  <c r="G31" i="27"/>
  <c r="F31" i="27" a="1"/>
  <c r="F31" i="27"/>
  <c r="E31" i="27" a="1"/>
  <c r="E31" i="27"/>
  <c r="C31" i="27"/>
  <c r="BP30" i="27" a="1"/>
  <c r="BP30" i="27"/>
  <c r="BO30" i="27" a="1"/>
  <c r="BO30" i="27"/>
  <c r="BN30" i="27" a="1"/>
  <c r="BN30" i="27"/>
  <c r="BM30" i="27" a="1"/>
  <c r="BM30" i="27"/>
  <c r="BL30" i="27" a="1"/>
  <c r="BL30" i="27"/>
  <c r="BK30" i="27" a="1"/>
  <c r="BK30" i="27"/>
  <c r="BJ30" i="27" a="1"/>
  <c r="BJ30" i="27"/>
  <c r="BI30" i="27" a="1"/>
  <c r="BI30" i="27"/>
  <c r="BH30" i="27" a="1"/>
  <c r="BH30" i="27"/>
  <c r="BG30" i="27" a="1"/>
  <c r="BG30" i="27"/>
  <c r="BF30" i="27" a="1"/>
  <c r="BF30" i="27"/>
  <c r="BE30" i="27" a="1"/>
  <c r="BE30" i="27"/>
  <c r="BD30" i="27" a="1"/>
  <c r="BD30" i="27"/>
  <c r="BC30" i="27" a="1"/>
  <c r="BC30" i="27"/>
  <c r="BB30" i="27" a="1"/>
  <c r="BB30" i="27"/>
  <c r="BA30" i="27" a="1"/>
  <c r="BA30" i="27"/>
  <c r="AZ30" i="27" a="1"/>
  <c r="AZ30" i="27"/>
  <c r="AY30" i="27" a="1"/>
  <c r="AY30" i="27"/>
  <c r="AX30" i="27" a="1"/>
  <c r="AX30" i="27"/>
  <c r="AW30" i="27" a="1"/>
  <c r="AW30" i="27"/>
  <c r="AV30" i="27" a="1"/>
  <c r="AV30" i="27"/>
  <c r="AU30" i="27" a="1"/>
  <c r="AU30" i="27"/>
  <c r="AT30" i="27" a="1"/>
  <c r="AT30" i="27"/>
  <c r="AS30" i="27" a="1"/>
  <c r="AS30" i="27"/>
  <c r="AR30" i="27" a="1"/>
  <c r="AR30" i="27"/>
  <c r="AQ30" i="27" a="1"/>
  <c r="AQ30" i="27"/>
  <c r="AP30" i="27" a="1"/>
  <c r="AP30" i="27"/>
  <c r="AO30" i="27" a="1"/>
  <c r="AO30" i="27"/>
  <c r="AN30" i="27" a="1"/>
  <c r="AN30" i="27"/>
  <c r="AM30" i="27" a="1"/>
  <c r="AM30" i="27"/>
  <c r="AL30" i="27" a="1"/>
  <c r="AL30" i="27"/>
  <c r="AK30" i="27" a="1"/>
  <c r="AK30" i="27"/>
  <c r="AJ30" i="27" a="1"/>
  <c r="AJ30" i="27"/>
  <c r="AI30" i="27" a="1"/>
  <c r="AI30" i="27"/>
  <c r="AH30" i="27" a="1"/>
  <c r="AH30" i="27"/>
  <c r="AG30" i="27" a="1"/>
  <c r="AG30" i="27"/>
  <c r="AF30" i="27" a="1"/>
  <c r="AF30" i="27"/>
  <c r="AE30" i="27" a="1"/>
  <c r="AE30" i="27"/>
  <c r="AD30" i="27" a="1"/>
  <c r="AD30" i="27"/>
  <c r="AC30" i="27" a="1"/>
  <c r="AC30" i="27"/>
  <c r="AB30" i="27" a="1"/>
  <c r="AB30" i="27"/>
  <c r="AA30" i="27" a="1"/>
  <c r="AA30" i="27"/>
  <c r="Z30" i="27" a="1"/>
  <c r="Z30" i="27"/>
  <c r="Y30" i="27" a="1"/>
  <c r="Y30" i="27"/>
  <c r="X30" i="27" a="1"/>
  <c r="X30" i="27"/>
  <c r="W30" i="27" a="1"/>
  <c r="W30" i="27"/>
  <c r="V30" i="27" a="1"/>
  <c r="V30" i="27"/>
  <c r="U30" i="27" a="1"/>
  <c r="U30" i="27"/>
  <c r="T30" i="27" a="1"/>
  <c r="T30" i="27"/>
  <c r="S30" i="27" a="1"/>
  <c r="S30" i="27"/>
  <c r="R30" i="27" a="1"/>
  <c r="R30" i="27"/>
  <c r="Q30" i="27" a="1"/>
  <c r="Q30" i="27"/>
  <c r="P30" i="27" a="1"/>
  <c r="P30" i="27"/>
  <c r="O30" i="27" a="1"/>
  <c r="O30" i="27"/>
  <c r="N30" i="27" a="1"/>
  <c r="N30" i="27"/>
  <c r="M30" i="27" a="1"/>
  <c r="M30" i="27"/>
  <c r="L30" i="27" a="1"/>
  <c r="L30" i="27"/>
  <c r="K30" i="27" a="1"/>
  <c r="K30" i="27"/>
  <c r="J30" i="27" a="1"/>
  <c r="J30" i="27"/>
  <c r="I30" i="27" a="1"/>
  <c r="I30" i="27"/>
  <c r="H30" i="27" a="1"/>
  <c r="H30" i="27"/>
  <c r="G30" i="27" a="1"/>
  <c r="G30" i="27"/>
  <c r="F30" i="27" a="1"/>
  <c r="F30" i="27"/>
  <c r="E30" i="27" a="1"/>
  <c r="E30" i="27"/>
  <c r="C30" i="27"/>
  <c r="AD25" i="27"/>
  <c r="AA17" i="27"/>
  <c r="AB17" i="27"/>
  <c r="W17" i="27"/>
  <c r="AA18" i="27"/>
  <c r="AB18" i="27"/>
  <c r="W18" i="27"/>
  <c r="AA19" i="27"/>
  <c r="AB19" i="27"/>
  <c r="W19" i="27"/>
  <c r="AA20" i="27"/>
  <c r="AB20" i="27"/>
  <c r="W20" i="27"/>
  <c r="Z25" i="27"/>
  <c r="X25" i="27"/>
  <c r="N25" i="27" a="1"/>
  <c r="N25" i="27"/>
  <c r="M25" i="27"/>
  <c r="AD24" i="27"/>
  <c r="Z24" i="27"/>
  <c r="X24" i="27"/>
  <c r="N24" i="27" a="1"/>
  <c r="N24" i="27"/>
  <c r="M24" i="27"/>
  <c r="AD23" i="27"/>
  <c r="Z23" i="27"/>
  <c r="X23" i="27"/>
  <c r="N23" i="27" a="1"/>
  <c r="N23" i="27"/>
  <c r="M23" i="27"/>
  <c r="AD22" i="27"/>
  <c r="Z22" i="27"/>
  <c r="X22" i="27"/>
  <c r="N22" i="27" a="1"/>
  <c r="N22" i="27"/>
  <c r="M22" i="27"/>
  <c r="AD21" i="27"/>
  <c r="Z21" i="27"/>
  <c r="X21" i="27"/>
  <c r="N21" i="27" a="1"/>
  <c r="N21" i="27"/>
  <c r="M21" i="27"/>
  <c r="Z20" i="27"/>
  <c r="X20" i="27"/>
  <c r="J20" i="27"/>
  <c r="I20" i="27"/>
  <c r="H20" i="27"/>
  <c r="K7" i="27"/>
  <c r="N7" i="27"/>
  <c r="G20" i="27"/>
  <c r="F20" i="27"/>
  <c r="E20" i="27"/>
  <c r="D20" i="27"/>
  <c r="Z19" i="27"/>
  <c r="X19" i="27"/>
  <c r="J19" i="27"/>
  <c r="I19" i="27"/>
  <c r="H19" i="27"/>
  <c r="K6" i="27"/>
  <c r="N6" i="27"/>
  <c r="G19" i="27"/>
  <c r="F19" i="27"/>
  <c r="E19" i="27"/>
  <c r="D19" i="27"/>
  <c r="Z18" i="27"/>
  <c r="X18" i="27"/>
  <c r="J18" i="27"/>
  <c r="I18" i="27"/>
  <c r="H18" i="27"/>
  <c r="K5" i="27"/>
  <c r="N5" i="27"/>
  <c r="G18" i="27"/>
  <c r="F18" i="27"/>
  <c r="E18" i="27"/>
  <c r="D18" i="27"/>
  <c r="Z17" i="27"/>
  <c r="X17" i="27"/>
  <c r="J17" i="27"/>
  <c r="I17" i="27"/>
  <c r="H17" i="27"/>
  <c r="F17" i="27"/>
  <c r="E17" i="27"/>
  <c r="K8" i="27"/>
  <c r="K9" i="27"/>
  <c r="K10" i="27"/>
  <c r="K11" i="27"/>
  <c r="K12" i="27"/>
  <c r="F13" i="27"/>
  <c r="B13" i="27"/>
  <c r="S12" i="27"/>
  <c r="N12" i="27"/>
  <c r="E12" i="27"/>
  <c r="D12" i="27"/>
  <c r="E4" i="27"/>
  <c r="D4" i="27"/>
  <c r="E5" i="27"/>
  <c r="D5" i="27"/>
  <c r="E6" i="27"/>
  <c r="D6" i="27"/>
  <c r="E7" i="27"/>
  <c r="D7" i="27"/>
  <c r="E8" i="27"/>
  <c r="D8" i="27"/>
  <c r="E9" i="27"/>
  <c r="D9" i="27"/>
  <c r="E10" i="27"/>
  <c r="D10" i="27"/>
  <c r="E11" i="27"/>
  <c r="D11" i="27"/>
  <c r="C12" i="27"/>
  <c r="S11" i="27"/>
  <c r="N11" i="27"/>
  <c r="C11" i="27"/>
  <c r="S10" i="27"/>
  <c r="N10" i="27"/>
  <c r="C10" i="27"/>
  <c r="S9" i="27"/>
  <c r="N9" i="27"/>
  <c r="C9" i="27"/>
  <c r="S8" i="27"/>
  <c r="N8" i="27"/>
  <c r="C8" i="27"/>
  <c r="S7" i="27"/>
  <c r="C7" i="27"/>
  <c r="S6" i="27"/>
  <c r="C6" i="27"/>
  <c r="S5" i="27"/>
  <c r="C5" i="27"/>
  <c r="S4" i="27"/>
  <c r="C4" i="27"/>
  <c r="F12" i="28"/>
  <c r="BR60" i="28"/>
  <c r="F11" i="28"/>
  <c r="BZ51" i="28"/>
  <c r="BZ60" i="28"/>
  <c r="F10" i="28"/>
  <c r="BY51" i="28"/>
  <c r="BY60" i="28"/>
  <c r="F9" i="28"/>
  <c r="BX51" i="28"/>
  <c r="BX60" i="28"/>
  <c r="F8" i="28"/>
  <c r="BW51" i="28"/>
  <c r="BW60" i="28"/>
  <c r="BV51" i="28"/>
  <c r="BV60" i="28"/>
  <c r="BU51" i="28"/>
  <c r="BU60" i="28"/>
  <c r="BT51" i="28"/>
  <c r="BT60" i="28"/>
  <c r="BS51" i="28"/>
  <c r="BS60" i="28"/>
  <c r="BR59" i="28"/>
  <c r="CA51" i="28"/>
  <c r="CA59" i="28"/>
  <c r="BY59" i="28"/>
  <c r="BX59" i="28"/>
  <c r="BW59" i="28"/>
  <c r="BV59" i="28"/>
  <c r="BU59" i="28"/>
  <c r="BT59" i="28"/>
  <c r="BS59" i="28"/>
  <c r="BR58" i="28"/>
  <c r="CA58" i="28"/>
  <c r="BZ58" i="28"/>
  <c r="BX58" i="28"/>
  <c r="BW58" i="28"/>
  <c r="BV58" i="28"/>
  <c r="BU58" i="28"/>
  <c r="BT58" i="28"/>
  <c r="BS58" i="28"/>
  <c r="BR57" i="28"/>
  <c r="CA57" i="28"/>
  <c r="BZ57" i="28"/>
  <c r="BY57" i="28"/>
  <c r="BW57" i="28"/>
  <c r="BV57" i="28"/>
  <c r="BU57" i="28"/>
  <c r="BT57" i="28"/>
  <c r="BS57" i="28"/>
  <c r="BR56" i="28"/>
  <c r="CA56" i="28"/>
  <c r="BZ56" i="28"/>
  <c r="BY56" i="28"/>
  <c r="BX56" i="28"/>
  <c r="BV56" i="28"/>
  <c r="BU56" i="28"/>
  <c r="BT56" i="28"/>
  <c r="BS56" i="28"/>
  <c r="BR55" i="28"/>
  <c r="CA55" i="28"/>
  <c r="BZ55" i="28"/>
  <c r="BY55" i="28"/>
  <c r="BX55" i="28"/>
  <c r="BW55" i="28"/>
  <c r="BU55" i="28"/>
  <c r="BT55" i="28"/>
  <c r="BS55" i="28"/>
  <c r="BR54" i="28"/>
  <c r="CA54" i="28"/>
  <c r="BZ54" i="28"/>
  <c r="BY54" i="28"/>
  <c r="BX54" i="28"/>
  <c r="BW54" i="28"/>
  <c r="BV54" i="28"/>
  <c r="BT54" i="28"/>
  <c r="BS54" i="28"/>
  <c r="BR53" i="28"/>
  <c r="CA53" i="28"/>
  <c r="BZ53" i="28"/>
  <c r="BY53" i="28"/>
  <c r="BX53" i="28"/>
  <c r="BW53" i="28"/>
  <c r="BV53" i="28"/>
  <c r="BU53" i="28"/>
  <c r="BS53" i="28"/>
  <c r="BR52" i="28"/>
  <c r="CA52" i="28"/>
  <c r="BZ52" i="28"/>
  <c r="BY52" i="28"/>
  <c r="BX52" i="28"/>
  <c r="BW52" i="28"/>
  <c r="BV52" i="28"/>
  <c r="BU52" i="28"/>
  <c r="BT52" i="28"/>
  <c r="CA48" i="28"/>
  <c r="BZ49" i="28"/>
  <c r="CA47" i="28"/>
  <c r="BY49" i="28"/>
  <c r="CA46" i="28"/>
  <c r="BX49" i="28"/>
  <c r="CA45" i="28"/>
  <c r="BW49" i="28"/>
  <c r="CA44" i="28"/>
  <c r="BV49" i="28"/>
  <c r="CA43" i="28"/>
  <c r="BU49" i="28"/>
  <c r="CA42" i="28"/>
  <c r="BT49" i="28"/>
  <c r="CA41" i="28"/>
  <c r="BS49" i="28"/>
  <c r="BR49" i="28"/>
  <c r="C25" i="28"/>
  <c r="BZ47" i="28"/>
  <c r="BY48" i="28"/>
  <c r="BZ46" i="28"/>
  <c r="BX48" i="28"/>
  <c r="BZ45" i="28"/>
  <c r="BW48" i="28"/>
  <c r="BZ44" i="28"/>
  <c r="BV48" i="28"/>
  <c r="BZ43" i="28"/>
  <c r="BU48" i="28"/>
  <c r="BZ42" i="28"/>
  <c r="BT48" i="28"/>
  <c r="BZ41" i="28"/>
  <c r="BS48" i="28"/>
  <c r="BR48" i="28"/>
  <c r="C24" i="28"/>
  <c r="BY46" i="28"/>
  <c r="BX47" i="28"/>
  <c r="BY45" i="28"/>
  <c r="BW47" i="28"/>
  <c r="BY44" i="28"/>
  <c r="BV47" i="28"/>
  <c r="BY43" i="28"/>
  <c r="BU47" i="28"/>
  <c r="BY42" i="28"/>
  <c r="BT47" i="28"/>
  <c r="BY41" i="28"/>
  <c r="BS47" i="28"/>
  <c r="BR47" i="28"/>
  <c r="C23" i="28"/>
  <c r="BX45" i="28"/>
  <c r="BW46" i="28"/>
  <c r="BX44" i="28"/>
  <c r="BV46" i="28"/>
  <c r="BX43" i="28"/>
  <c r="BU46" i="28"/>
  <c r="BX42" i="28"/>
  <c r="BT46" i="28"/>
  <c r="BX41" i="28"/>
  <c r="BS46" i="28"/>
  <c r="BR46" i="28"/>
  <c r="C22" i="28"/>
  <c r="BW44" i="28"/>
  <c r="BV45" i="28"/>
  <c r="BW43" i="28"/>
  <c r="BU45" i="28"/>
  <c r="BW42" i="28"/>
  <c r="BT45" i="28"/>
  <c r="BW41" i="28"/>
  <c r="BS45" i="28"/>
  <c r="BR45" i="28"/>
  <c r="C21" i="28"/>
  <c r="BV43" i="28"/>
  <c r="BU44" i="28"/>
  <c r="BV42" i="28"/>
  <c r="BT44" i="28"/>
  <c r="BV41" i="28"/>
  <c r="BS44" i="28"/>
  <c r="BR44" i="28"/>
  <c r="L7" i="28"/>
  <c r="M7" i="28"/>
  <c r="J7" i="28"/>
  <c r="Q7" i="28"/>
  <c r="K20" i="28"/>
  <c r="P7" i="28"/>
  <c r="R7" i="28"/>
  <c r="G7" i="28"/>
  <c r="H7" i="28"/>
  <c r="I7" i="28"/>
  <c r="T7" i="28"/>
  <c r="G4" i="28"/>
  <c r="H4" i="28"/>
  <c r="I4" i="28"/>
  <c r="T4" i="28"/>
  <c r="G5" i="28"/>
  <c r="H5" i="28"/>
  <c r="I5" i="28"/>
  <c r="T5" i="28"/>
  <c r="G6" i="28"/>
  <c r="H6" i="28"/>
  <c r="I6" i="28"/>
  <c r="T6" i="28"/>
  <c r="G8" i="28"/>
  <c r="H8" i="28"/>
  <c r="I8" i="28"/>
  <c r="T8" i="28"/>
  <c r="G9" i="28"/>
  <c r="H9" i="28"/>
  <c r="I9" i="28"/>
  <c r="T9" i="28"/>
  <c r="G10" i="28"/>
  <c r="H10" i="28"/>
  <c r="I10" i="28"/>
  <c r="T10" i="28"/>
  <c r="G11" i="28"/>
  <c r="H11" i="28"/>
  <c r="I11" i="28"/>
  <c r="T11" i="28"/>
  <c r="G12" i="28"/>
  <c r="H12" i="28"/>
  <c r="I12" i="28"/>
  <c r="T12" i="28"/>
  <c r="U7" i="28"/>
  <c r="L20" i="28"/>
  <c r="L4" i="28"/>
  <c r="M4" i="28"/>
  <c r="J4" i="28"/>
  <c r="Q4" i="28"/>
  <c r="K17" i="28"/>
  <c r="P4" i="28"/>
  <c r="R4" i="28"/>
  <c r="U4" i="28"/>
  <c r="L17" i="28"/>
  <c r="L5" i="28"/>
  <c r="M5" i="28"/>
  <c r="J5" i="28"/>
  <c r="Q5" i="28"/>
  <c r="K18" i="28"/>
  <c r="P5" i="28"/>
  <c r="R5" i="28"/>
  <c r="U5" i="28"/>
  <c r="L18" i="28"/>
  <c r="L6" i="28"/>
  <c r="M6" i="28"/>
  <c r="J6" i="28"/>
  <c r="Q6" i="28"/>
  <c r="K19" i="28"/>
  <c r="P6" i="28"/>
  <c r="R6" i="28"/>
  <c r="U6" i="28"/>
  <c r="L19" i="28"/>
  <c r="L8" i="28"/>
  <c r="J8" i="28"/>
  <c r="Q8" i="28"/>
  <c r="K21" i="28"/>
  <c r="P8" i="28"/>
  <c r="R8" i="28"/>
  <c r="U8" i="28"/>
  <c r="L21" i="28"/>
  <c r="L9" i="28"/>
  <c r="J9" i="28"/>
  <c r="Q9" i="28"/>
  <c r="K22" i="28"/>
  <c r="P9" i="28"/>
  <c r="R9" i="28"/>
  <c r="U9" i="28"/>
  <c r="L22" i="28"/>
  <c r="L10" i="28"/>
  <c r="J10" i="28"/>
  <c r="Q10" i="28"/>
  <c r="K23" i="28"/>
  <c r="P10" i="28"/>
  <c r="R10" i="28"/>
  <c r="U10" i="28"/>
  <c r="L23" i="28"/>
  <c r="L11" i="28"/>
  <c r="J11" i="28"/>
  <c r="Q11" i="28"/>
  <c r="K24" i="28"/>
  <c r="P11" i="28"/>
  <c r="R11" i="28"/>
  <c r="U11" i="28"/>
  <c r="L24" i="28"/>
  <c r="L12" i="28"/>
  <c r="J12" i="28"/>
  <c r="Q12" i="28"/>
  <c r="K25" i="28"/>
  <c r="P12" i="28"/>
  <c r="R12" i="28"/>
  <c r="U12" i="28"/>
  <c r="L25" i="28"/>
  <c r="M20" i="28"/>
  <c r="N20" i="28" a="1"/>
  <c r="N20" i="28"/>
  <c r="V20" i="28"/>
  <c r="BP44" i="28" a="1"/>
  <c r="BP44" i="28"/>
  <c r="BO44" i="28" a="1"/>
  <c r="BO44" i="28"/>
  <c r="BN44" i="28" a="1"/>
  <c r="BN44" i="28"/>
  <c r="BM44" i="28" a="1"/>
  <c r="BM44" i="28"/>
  <c r="BL44" i="28" a="1"/>
  <c r="BL44" i="28"/>
  <c r="BK44" i="28" a="1"/>
  <c r="BK44" i="28"/>
  <c r="BJ44" i="28" a="1"/>
  <c r="BJ44" i="28"/>
  <c r="BI44" i="28" a="1"/>
  <c r="BI44" i="28"/>
  <c r="U20" i="28"/>
  <c r="BH44" i="28" a="1"/>
  <c r="BH44" i="28"/>
  <c r="BG44" i="28" a="1"/>
  <c r="BG44" i="28"/>
  <c r="BF44" i="28" a="1"/>
  <c r="BF44" i="28"/>
  <c r="BE44" i="28" a="1"/>
  <c r="BE44" i="28"/>
  <c r="BD44" i="28" a="1"/>
  <c r="BD44" i="28"/>
  <c r="BC44" i="28" a="1"/>
  <c r="BC44" i="28"/>
  <c r="BB44" i="28" a="1"/>
  <c r="BB44" i="28"/>
  <c r="BA44" i="28" a="1"/>
  <c r="BA44" i="28"/>
  <c r="T20" i="28"/>
  <c r="AZ44" i="28" a="1"/>
  <c r="AZ44" i="28"/>
  <c r="AY44" i="28" a="1"/>
  <c r="AY44" i="28"/>
  <c r="AX44" i="28" a="1"/>
  <c r="AX44" i="28"/>
  <c r="AW44" i="28" a="1"/>
  <c r="AW44" i="28"/>
  <c r="AV44" i="28" a="1"/>
  <c r="AV44" i="28"/>
  <c r="AU44" i="28" a="1"/>
  <c r="AU44" i="28"/>
  <c r="AT44" i="28" a="1"/>
  <c r="AT44" i="28"/>
  <c r="AS44" i="28" a="1"/>
  <c r="AS44" i="28"/>
  <c r="S20" i="28"/>
  <c r="AR44" i="28" a="1"/>
  <c r="AR44" i="28"/>
  <c r="AQ44" i="28" a="1"/>
  <c r="AQ44" i="28"/>
  <c r="AP44" i="28" a="1"/>
  <c r="AP44" i="28"/>
  <c r="AO44" i="28" a="1"/>
  <c r="AO44" i="28"/>
  <c r="AN44" i="28" a="1"/>
  <c r="AN44" i="28"/>
  <c r="AM44" i="28" a="1"/>
  <c r="AM44" i="28"/>
  <c r="AL44" i="28" a="1"/>
  <c r="AL44" i="28"/>
  <c r="AK44" i="28" a="1"/>
  <c r="AK44" i="28"/>
  <c r="R20" i="28"/>
  <c r="AJ44" i="28" a="1"/>
  <c r="AJ44" i="28"/>
  <c r="AI44" i="28" a="1"/>
  <c r="AI44" i="28"/>
  <c r="AH44" i="28" a="1"/>
  <c r="AH44" i="28"/>
  <c r="AG44" i="28" a="1"/>
  <c r="AG44" i="28"/>
  <c r="AF44" i="28" a="1"/>
  <c r="AF44" i="28"/>
  <c r="AE44" i="28" a="1"/>
  <c r="AE44" i="28"/>
  <c r="AD44" i="28" a="1"/>
  <c r="AD44" i="28"/>
  <c r="AC44" i="28" a="1"/>
  <c r="AC44" i="28"/>
  <c r="Q20" i="28"/>
  <c r="AB44" i="28" a="1"/>
  <c r="AB44" i="28"/>
  <c r="AA44" i="28" a="1"/>
  <c r="AA44" i="28"/>
  <c r="Z44" i="28" a="1"/>
  <c r="Z44" i="28"/>
  <c r="Y44" i="28" a="1"/>
  <c r="Y44" i="28"/>
  <c r="X44" i="28" a="1"/>
  <c r="X44" i="28"/>
  <c r="W44" i="28" a="1"/>
  <c r="W44" i="28"/>
  <c r="V44" i="28" a="1"/>
  <c r="V44" i="28"/>
  <c r="U44" i="28" a="1"/>
  <c r="U44" i="28"/>
  <c r="P20" i="28"/>
  <c r="T44" i="28" a="1"/>
  <c r="T44" i="28"/>
  <c r="S44" i="28" a="1"/>
  <c r="S44" i="28"/>
  <c r="R44" i="28" a="1"/>
  <c r="R44" i="28"/>
  <c r="Q44" i="28" a="1"/>
  <c r="Q44" i="28"/>
  <c r="P44" i="28" a="1"/>
  <c r="P44" i="28"/>
  <c r="O44" i="28" a="1"/>
  <c r="O44" i="28"/>
  <c r="N44" i="28" a="1"/>
  <c r="N44" i="28"/>
  <c r="M44" i="28" a="1"/>
  <c r="M44" i="28"/>
  <c r="O20" i="28"/>
  <c r="L44" i="28" a="1"/>
  <c r="L44" i="28"/>
  <c r="K44" i="28" a="1"/>
  <c r="K44" i="28"/>
  <c r="J44" i="28" a="1"/>
  <c r="J44" i="28"/>
  <c r="I44" i="28" a="1"/>
  <c r="I44" i="28"/>
  <c r="H44" i="28" a="1"/>
  <c r="H44" i="28"/>
  <c r="G44" i="28" a="1"/>
  <c r="G44" i="28"/>
  <c r="F44" i="28" a="1"/>
  <c r="F44" i="28"/>
  <c r="E44" i="28" a="1"/>
  <c r="E44" i="28"/>
  <c r="BU42" i="28"/>
  <c r="BT43" i="28"/>
  <c r="BU41" i="28"/>
  <c r="BS43" i="28"/>
  <c r="BR43" i="28"/>
  <c r="M19" i="28"/>
  <c r="N19" i="28" a="1"/>
  <c r="N19" i="28"/>
  <c r="V19" i="28"/>
  <c r="BP43" i="28" a="1"/>
  <c r="BP43" i="28"/>
  <c r="BO43" i="28" a="1"/>
  <c r="BO43" i="28"/>
  <c r="BN43" i="28" a="1"/>
  <c r="BN43" i="28"/>
  <c r="BM43" i="28" a="1"/>
  <c r="BM43" i="28"/>
  <c r="BL43" i="28" a="1"/>
  <c r="BL43" i="28"/>
  <c r="BK43" i="28" a="1"/>
  <c r="BK43" i="28"/>
  <c r="BJ43" i="28" a="1"/>
  <c r="BJ43" i="28"/>
  <c r="BI43" i="28" a="1"/>
  <c r="BI43" i="28"/>
  <c r="U19" i="28"/>
  <c r="BH43" i="28" a="1"/>
  <c r="BH43" i="28"/>
  <c r="BG43" i="28" a="1"/>
  <c r="BG43" i="28"/>
  <c r="BF43" i="28" a="1"/>
  <c r="BF43" i="28"/>
  <c r="BE43" i="28" a="1"/>
  <c r="BE43" i="28"/>
  <c r="BD43" i="28" a="1"/>
  <c r="BD43" i="28"/>
  <c r="BC43" i="28" a="1"/>
  <c r="BC43" i="28"/>
  <c r="BB43" i="28" a="1"/>
  <c r="BB43" i="28"/>
  <c r="BA43" i="28" a="1"/>
  <c r="BA43" i="28"/>
  <c r="T19" i="28"/>
  <c r="AZ43" i="28" a="1"/>
  <c r="AZ43" i="28"/>
  <c r="AY43" i="28" a="1"/>
  <c r="AY43" i="28"/>
  <c r="AX43" i="28" a="1"/>
  <c r="AX43" i="28"/>
  <c r="AW43" i="28" a="1"/>
  <c r="AW43" i="28"/>
  <c r="AV43" i="28" a="1"/>
  <c r="AV43" i="28"/>
  <c r="AU43" i="28" a="1"/>
  <c r="AU43" i="28"/>
  <c r="AT43" i="28" a="1"/>
  <c r="AT43" i="28"/>
  <c r="AS43" i="28" a="1"/>
  <c r="AS43" i="28"/>
  <c r="S19" i="28"/>
  <c r="AR43" i="28" a="1"/>
  <c r="AR43" i="28"/>
  <c r="AQ43" i="28" a="1"/>
  <c r="AQ43" i="28"/>
  <c r="AP43" i="28" a="1"/>
  <c r="AP43" i="28"/>
  <c r="AO43" i="28" a="1"/>
  <c r="AO43" i="28"/>
  <c r="AN43" i="28" a="1"/>
  <c r="AN43" i="28"/>
  <c r="AM43" i="28" a="1"/>
  <c r="AM43" i="28"/>
  <c r="AL43" i="28" a="1"/>
  <c r="AL43" i="28"/>
  <c r="AK43" i="28" a="1"/>
  <c r="AK43" i="28"/>
  <c r="R19" i="28"/>
  <c r="AJ43" i="28" a="1"/>
  <c r="AJ43" i="28"/>
  <c r="AI43" i="28" a="1"/>
  <c r="AI43" i="28"/>
  <c r="AH43" i="28" a="1"/>
  <c r="AH43" i="28"/>
  <c r="AG43" i="28" a="1"/>
  <c r="AG43" i="28"/>
  <c r="AF43" i="28" a="1"/>
  <c r="AF43" i="28"/>
  <c r="AE43" i="28" a="1"/>
  <c r="AE43" i="28"/>
  <c r="AD43" i="28" a="1"/>
  <c r="AD43" i="28"/>
  <c r="AC43" i="28" a="1"/>
  <c r="AC43" i="28"/>
  <c r="Q19" i="28"/>
  <c r="AB43" i="28" a="1"/>
  <c r="AB43" i="28"/>
  <c r="AA43" i="28" a="1"/>
  <c r="AA43" i="28"/>
  <c r="Z43" i="28" a="1"/>
  <c r="Z43" i="28"/>
  <c r="Y43" i="28" a="1"/>
  <c r="Y43" i="28"/>
  <c r="X43" i="28" a="1"/>
  <c r="X43" i="28"/>
  <c r="W43" i="28" a="1"/>
  <c r="W43" i="28"/>
  <c r="V43" i="28" a="1"/>
  <c r="V43" i="28"/>
  <c r="U43" i="28" a="1"/>
  <c r="U43" i="28"/>
  <c r="P19" i="28"/>
  <c r="T43" i="28" a="1"/>
  <c r="T43" i="28"/>
  <c r="S43" i="28" a="1"/>
  <c r="S43" i="28"/>
  <c r="R43" i="28" a="1"/>
  <c r="R43" i="28"/>
  <c r="Q43" i="28" a="1"/>
  <c r="Q43" i="28"/>
  <c r="P43" i="28" a="1"/>
  <c r="P43" i="28"/>
  <c r="O43" i="28" a="1"/>
  <c r="O43" i="28"/>
  <c r="N43" i="28" a="1"/>
  <c r="N43" i="28"/>
  <c r="M43" i="28" a="1"/>
  <c r="M43" i="28"/>
  <c r="O19" i="28"/>
  <c r="L43" i="28" a="1"/>
  <c r="L43" i="28"/>
  <c r="K43" i="28" a="1"/>
  <c r="K43" i="28"/>
  <c r="J43" i="28" a="1"/>
  <c r="J43" i="28"/>
  <c r="I43" i="28" a="1"/>
  <c r="I43" i="28"/>
  <c r="H43" i="28" a="1"/>
  <c r="H43" i="28"/>
  <c r="G43" i="28" a="1"/>
  <c r="G43" i="28"/>
  <c r="F43" i="28" a="1"/>
  <c r="F43" i="28"/>
  <c r="E43" i="28" a="1"/>
  <c r="E43" i="28"/>
  <c r="BT41" i="28"/>
  <c r="BS42" i="28"/>
  <c r="BR42" i="28"/>
  <c r="M18" i="28"/>
  <c r="N18" i="28" a="1"/>
  <c r="N18" i="28"/>
  <c r="V18" i="28"/>
  <c r="BP42" i="28" a="1"/>
  <c r="BP42" i="28"/>
  <c r="BO42" i="28" a="1"/>
  <c r="BO42" i="28"/>
  <c r="BN42" i="28" a="1"/>
  <c r="BN42" i="28"/>
  <c r="BM42" i="28" a="1"/>
  <c r="BM42" i="28"/>
  <c r="BL42" i="28" a="1"/>
  <c r="BL42" i="28"/>
  <c r="BK42" i="28" a="1"/>
  <c r="BK42" i="28"/>
  <c r="BJ42" i="28" a="1"/>
  <c r="BJ42" i="28"/>
  <c r="BI42" i="28" a="1"/>
  <c r="BI42" i="28"/>
  <c r="U18" i="28"/>
  <c r="BH42" i="28" a="1"/>
  <c r="BH42" i="28"/>
  <c r="BG42" i="28" a="1"/>
  <c r="BG42" i="28"/>
  <c r="BF42" i="28" a="1"/>
  <c r="BF42" i="28"/>
  <c r="BE42" i="28" a="1"/>
  <c r="BE42" i="28"/>
  <c r="BD42" i="28" a="1"/>
  <c r="BD42" i="28"/>
  <c r="BC42" i="28" a="1"/>
  <c r="BC42" i="28"/>
  <c r="BB42" i="28" a="1"/>
  <c r="BB42" i="28"/>
  <c r="BA42" i="28" a="1"/>
  <c r="BA42" i="28"/>
  <c r="T18" i="28"/>
  <c r="AZ42" i="28" a="1"/>
  <c r="AZ42" i="28"/>
  <c r="AY42" i="28" a="1"/>
  <c r="AY42" i="28"/>
  <c r="AX42" i="28" a="1"/>
  <c r="AX42" i="28"/>
  <c r="AW42" i="28" a="1"/>
  <c r="AW42" i="28"/>
  <c r="AV42" i="28" a="1"/>
  <c r="AV42" i="28"/>
  <c r="AU42" i="28" a="1"/>
  <c r="AU42" i="28"/>
  <c r="AT42" i="28" a="1"/>
  <c r="AT42" i="28"/>
  <c r="AS42" i="28" a="1"/>
  <c r="AS42" i="28"/>
  <c r="S18" i="28"/>
  <c r="AR42" i="28" a="1"/>
  <c r="AR42" i="28"/>
  <c r="AQ42" i="28" a="1"/>
  <c r="AQ42" i="28"/>
  <c r="AP42" i="28" a="1"/>
  <c r="AP42" i="28"/>
  <c r="AO42" i="28" a="1"/>
  <c r="AO42" i="28"/>
  <c r="AN42" i="28" a="1"/>
  <c r="AN42" i="28"/>
  <c r="AM42" i="28" a="1"/>
  <c r="AM42" i="28"/>
  <c r="AL42" i="28" a="1"/>
  <c r="AL42" i="28"/>
  <c r="AK42" i="28" a="1"/>
  <c r="AK42" i="28"/>
  <c r="R18" i="28"/>
  <c r="AJ42" i="28" a="1"/>
  <c r="AJ42" i="28"/>
  <c r="AI42" i="28" a="1"/>
  <c r="AI42" i="28"/>
  <c r="AH42" i="28" a="1"/>
  <c r="AH42" i="28"/>
  <c r="AG42" i="28" a="1"/>
  <c r="AG42" i="28"/>
  <c r="AF42" i="28" a="1"/>
  <c r="AF42" i="28"/>
  <c r="AE42" i="28" a="1"/>
  <c r="AE42" i="28"/>
  <c r="AD42" i="28" a="1"/>
  <c r="AD42" i="28"/>
  <c r="AC42" i="28" a="1"/>
  <c r="AC42" i="28"/>
  <c r="Q18" i="28"/>
  <c r="AB42" i="28" a="1"/>
  <c r="AB42" i="28"/>
  <c r="AA42" i="28" a="1"/>
  <c r="AA42" i="28"/>
  <c r="Z42" i="28" a="1"/>
  <c r="Z42" i="28"/>
  <c r="Y42" i="28" a="1"/>
  <c r="Y42" i="28"/>
  <c r="X42" i="28" a="1"/>
  <c r="X42" i="28"/>
  <c r="W42" i="28" a="1"/>
  <c r="W42" i="28"/>
  <c r="V42" i="28" a="1"/>
  <c r="V42" i="28"/>
  <c r="U42" i="28" a="1"/>
  <c r="U42" i="28"/>
  <c r="P18" i="28"/>
  <c r="T42" i="28" a="1"/>
  <c r="T42" i="28"/>
  <c r="S42" i="28" a="1"/>
  <c r="S42" i="28"/>
  <c r="R42" i="28" a="1"/>
  <c r="R42" i="28"/>
  <c r="Q42" i="28" a="1"/>
  <c r="Q42" i="28"/>
  <c r="P42" i="28" a="1"/>
  <c r="P42" i="28"/>
  <c r="O42" i="28" a="1"/>
  <c r="O42" i="28"/>
  <c r="N42" i="28" a="1"/>
  <c r="N42" i="28"/>
  <c r="M42" i="28" a="1"/>
  <c r="M42" i="28"/>
  <c r="O18" i="28"/>
  <c r="L42" i="28" a="1"/>
  <c r="L42" i="28"/>
  <c r="K42" i="28" a="1"/>
  <c r="K42" i="28"/>
  <c r="J42" i="28" a="1"/>
  <c r="J42" i="28"/>
  <c r="I42" i="28" a="1"/>
  <c r="I42" i="28"/>
  <c r="H42" i="28" a="1"/>
  <c r="H42" i="28"/>
  <c r="G42" i="28" a="1"/>
  <c r="G42" i="28"/>
  <c r="F42" i="28" a="1"/>
  <c r="F42" i="28"/>
  <c r="E42" i="28" a="1"/>
  <c r="E42" i="28"/>
  <c r="BR41" i="28"/>
  <c r="M17" i="28"/>
  <c r="N17" i="28" a="1"/>
  <c r="N17" i="28"/>
  <c r="V17" i="28"/>
  <c r="BP41" i="28" a="1"/>
  <c r="BP41" i="28"/>
  <c r="BO41" i="28" a="1"/>
  <c r="BO41" i="28"/>
  <c r="BN41" i="28" a="1"/>
  <c r="BN41" i="28"/>
  <c r="BM41" i="28" a="1"/>
  <c r="BM41" i="28"/>
  <c r="BL41" i="28" a="1"/>
  <c r="BL41" i="28"/>
  <c r="BK41" i="28" a="1"/>
  <c r="BK41" i="28"/>
  <c r="BJ41" i="28" a="1"/>
  <c r="BJ41" i="28"/>
  <c r="BI41" i="28" a="1"/>
  <c r="BI41" i="28"/>
  <c r="U17" i="28"/>
  <c r="BH41" i="28" a="1"/>
  <c r="BH41" i="28"/>
  <c r="BG41" i="28" a="1"/>
  <c r="BG41" i="28"/>
  <c r="BF41" i="28" a="1"/>
  <c r="BF41" i="28"/>
  <c r="BE41" i="28" a="1"/>
  <c r="BE41" i="28"/>
  <c r="BD41" i="28" a="1"/>
  <c r="BD41" i="28"/>
  <c r="BC41" i="28" a="1"/>
  <c r="BC41" i="28"/>
  <c r="BB41" i="28" a="1"/>
  <c r="BB41" i="28"/>
  <c r="BA41" i="28" a="1"/>
  <c r="BA41" i="28"/>
  <c r="T17" i="28"/>
  <c r="AZ41" i="28" a="1"/>
  <c r="AZ41" i="28"/>
  <c r="AY41" i="28" a="1"/>
  <c r="AY41" i="28"/>
  <c r="AX41" i="28" a="1"/>
  <c r="AX41" i="28"/>
  <c r="AW41" i="28" a="1"/>
  <c r="AW41" i="28"/>
  <c r="AV41" i="28" a="1"/>
  <c r="AV41" i="28"/>
  <c r="AU41" i="28" a="1"/>
  <c r="AU41" i="28"/>
  <c r="AT41" i="28" a="1"/>
  <c r="AT41" i="28"/>
  <c r="AS41" i="28" a="1"/>
  <c r="AS41" i="28"/>
  <c r="S17" i="28"/>
  <c r="AR41" i="28" a="1"/>
  <c r="AR41" i="28"/>
  <c r="AQ41" i="28" a="1"/>
  <c r="AQ41" i="28"/>
  <c r="AP41" i="28" a="1"/>
  <c r="AP41" i="28"/>
  <c r="AO41" i="28" a="1"/>
  <c r="AO41" i="28"/>
  <c r="AN41" i="28" a="1"/>
  <c r="AN41" i="28"/>
  <c r="AM41" i="28" a="1"/>
  <c r="AM41" i="28"/>
  <c r="AL41" i="28" a="1"/>
  <c r="AL41" i="28"/>
  <c r="AK41" i="28" a="1"/>
  <c r="AK41" i="28"/>
  <c r="R17" i="28"/>
  <c r="AJ41" i="28" a="1"/>
  <c r="AJ41" i="28"/>
  <c r="AI41" i="28" a="1"/>
  <c r="AI41" i="28"/>
  <c r="AH41" i="28" a="1"/>
  <c r="AH41" i="28"/>
  <c r="AG41" i="28" a="1"/>
  <c r="AG41" i="28"/>
  <c r="AF41" i="28" a="1"/>
  <c r="AF41" i="28"/>
  <c r="AE41" i="28" a="1"/>
  <c r="AE41" i="28"/>
  <c r="AD41" i="28" a="1"/>
  <c r="AD41" i="28"/>
  <c r="AC41" i="28" a="1"/>
  <c r="AC41" i="28"/>
  <c r="Q17" i="28"/>
  <c r="AB41" i="28" a="1"/>
  <c r="AB41" i="28"/>
  <c r="AA41" i="28" a="1"/>
  <c r="AA41" i="28"/>
  <c r="Z41" i="28" a="1"/>
  <c r="Z41" i="28"/>
  <c r="Y41" i="28" a="1"/>
  <c r="Y41" i="28"/>
  <c r="X41" i="28" a="1"/>
  <c r="X41" i="28"/>
  <c r="W41" i="28" a="1"/>
  <c r="W41" i="28"/>
  <c r="V41" i="28" a="1"/>
  <c r="V41" i="28"/>
  <c r="U41" i="28" a="1"/>
  <c r="U41" i="28"/>
  <c r="P17" i="28"/>
  <c r="T41" i="28" a="1"/>
  <c r="T41" i="28"/>
  <c r="S41" i="28" a="1"/>
  <c r="S41" i="28"/>
  <c r="R41" i="28" a="1"/>
  <c r="R41" i="28"/>
  <c r="Q41" i="28" a="1"/>
  <c r="Q41" i="28"/>
  <c r="P41" i="28" a="1"/>
  <c r="P41" i="28"/>
  <c r="O41" i="28" a="1"/>
  <c r="O41" i="28"/>
  <c r="N41" i="28" a="1"/>
  <c r="N41" i="28"/>
  <c r="M41" i="28" a="1"/>
  <c r="M41" i="28"/>
  <c r="O17" i="28"/>
  <c r="L41" i="28" a="1"/>
  <c r="L41" i="28"/>
  <c r="K41" i="28" a="1"/>
  <c r="K41" i="28"/>
  <c r="J41" i="28" a="1"/>
  <c r="J41" i="28"/>
  <c r="I41" i="28" a="1"/>
  <c r="I41" i="28"/>
  <c r="H41" i="28" a="1"/>
  <c r="H41" i="28"/>
  <c r="G41" i="28" a="1"/>
  <c r="G41" i="28"/>
  <c r="F41" i="28" a="1"/>
  <c r="F41" i="28"/>
  <c r="E41" i="28" a="1"/>
  <c r="E41" i="28"/>
  <c r="CA40" i="28"/>
  <c r="BZ40" i="28"/>
  <c r="BY40" i="28"/>
  <c r="BX40" i="28"/>
  <c r="BW40" i="28"/>
  <c r="BV40" i="28"/>
  <c r="BU40" i="28"/>
  <c r="BT40" i="28"/>
  <c r="BS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BP35" i="28" a="1"/>
  <c r="BP35" i="28"/>
  <c r="BO35" i="28" a="1"/>
  <c r="BO35" i="28"/>
  <c r="BN35" i="28" a="1"/>
  <c r="BN35" i="28"/>
  <c r="BM35" i="28" a="1"/>
  <c r="BM35" i="28"/>
  <c r="BL35" i="28" a="1"/>
  <c r="BL35" i="28"/>
  <c r="BK35" i="28" a="1"/>
  <c r="BK35" i="28"/>
  <c r="BJ35" i="28" a="1"/>
  <c r="BJ35" i="28"/>
  <c r="BI35" i="28" a="1"/>
  <c r="BI35" i="28"/>
  <c r="BH35" i="28" a="1"/>
  <c r="BH35" i="28"/>
  <c r="BG35" i="28" a="1"/>
  <c r="BG35" i="28"/>
  <c r="BF35" i="28" a="1"/>
  <c r="BF35" i="28"/>
  <c r="BE35" i="28" a="1"/>
  <c r="BE35" i="28"/>
  <c r="BD35" i="28" a="1"/>
  <c r="BD35" i="28"/>
  <c r="BC35" i="28" a="1"/>
  <c r="BC35" i="28"/>
  <c r="BB35" i="28" a="1"/>
  <c r="BB35" i="28"/>
  <c r="BA35" i="28" a="1"/>
  <c r="BA35" i="28"/>
  <c r="AZ35" i="28" a="1"/>
  <c r="AZ35" i="28"/>
  <c r="AY35" i="28" a="1"/>
  <c r="AY35" i="28"/>
  <c r="AX35" i="28" a="1"/>
  <c r="AX35" i="28"/>
  <c r="AW35" i="28" a="1"/>
  <c r="AW35" i="28"/>
  <c r="AV35" i="28" a="1"/>
  <c r="AV35" i="28"/>
  <c r="AU35" i="28" a="1"/>
  <c r="AU35" i="28"/>
  <c r="AT35" i="28" a="1"/>
  <c r="AT35" i="28"/>
  <c r="AS35" i="28" a="1"/>
  <c r="AS35" i="28"/>
  <c r="AR35" i="28" a="1"/>
  <c r="AR35" i="28"/>
  <c r="AQ35" i="28" a="1"/>
  <c r="AQ35" i="28"/>
  <c r="AP35" i="28" a="1"/>
  <c r="AP35" i="28"/>
  <c r="AO35" i="28" a="1"/>
  <c r="AO35" i="28"/>
  <c r="AN35" i="28" a="1"/>
  <c r="AN35" i="28"/>
  <c r="AM35" i="28" a="1"/>
  <c r="AM35" i="28"/>
  <c r="AL35" i="28" a="1"/>
  <c r="AL35" i="28"/>
  <c r="AK35" i="28" a="1"/>
  <c r="AK35" i="28"/>
  <c r="AJ35" i="28" a="1"/>
  <c r="AJ35" i="28"/>
  <c r="AI35" i="28" a="1"/>
  <c r="AI35" i="28"/>
  <c r="AH35" i="28" a="1"/>
  <c r="AH35" i="28"/>
  <c r="AG35" i="28" a="1"/>
  <c r="AG35" i="28"/>
  <c r="AF35" i="28" a="1"/>
  <c r="AF35" i="28"/>
  <c r="AE35" i="28" a="1"/>
  <c r="AE35" i="28"/>
  <c r="AD35" i="28" a="1"/>
  <c r="AD35" i="28"/>
  <c r="AC35" i="28" a="1"/>
  <c r="AC35" i="28"/>
  <c r="AB35" i="28" a="1"/>
  <c r="AB35" i="28"/>
  <c r="AA35" i="28" a="1"/>
  <c r="AA35" i="28"/>
  <c r="Z35" i="28" a="1"/>
  <c r="Z35" i="28"/>
  <c r="Y35" i="28" a="1"/>
  <c r="Y35" i="28"/>
  <c r="X35" i="28" a="1"/>
  <c r="X35" i="28"/>
  <c r="W35" i="28" a="1"/>
  <c r="W35" i="28"/>
  <c r="V35" i="28" a="1"/>
  <c r="V35" i="28"/>
  <c r="U35" i="28" a="1"/>
  <c r="U35" i="28"/>
  <c r="T35" i="28" a="1"/>
  <c r="T35" i="28"/>
  <c r="S35" i="28" a="1"/>
  <c r="S35" i="28"/>
  <c r="R35" i="28" a="1"/>
  <c r="R35" i="28"/>
  <c r="Q35" i="28" a="1"/>
  <c r="Q35" i="28"/>
  <c r="P35" i="28" a="1"/>
  <c r="P35" i="28"/>
  <c r="O35" i="28" a="1"/>
  <c r="O35" i="28"/>
  <c r="N35" i="28" a="1"/>
  <c r="N35" i="28"/>
  <c r="M35" i="28" a="1"/>
  <c r="M35" i="28"/>
  <c r="L35" i="28" a="1"/>
  <c r="L35" i="28"/>
  <c r="K35" i="28" a="1"/>
  <c r="K35" i="28"/>
  <c r="J35" i="28" a="1"/>
  <c r="J35" i="28"/>
  <c r="I35" i="28" a="1"/>
  <c r="I35" i="28"/>
  <c r="H35" i="28" a="1"/>
  <c r="H35" i="28"/>
  <c r="G35" i="28" a="1"/>
  <c r="G35" i="28"/>
  <c r="F35" i="28" a="1"/>
  <c r="F35" i="28"/>
  <c r="E35" i="28" a="1"/>
  <c r="E35" i="28"/>
  <c r="C35" i="28"/>
  <c r="BP34" i="28" a="1"/>
  <c r="BP34" i="28"/>
  <c r="BO34" i="28" a="1"/>
  <c r="BO34" i="28"/>
  <c r="BN34" i="28" a="1"/>
  <c r="BN34" i="28"/>
  <c r="BM34" i="28" a="1"/>
  <c r="BM34" i="28"/>
  <c r="BL34" i="28" a="1"/>
  <c r="BL34" i="28"/>
  <c r="BK34" i="28" a="1"/>
  <c r="BK34" i="28"/>
  <c r="BJ34" i="28" a="1"/>
  <c r="BJ34" i="28"/>
  <c r="BI34" i="28" a="1"/>
  <c r="BI34" i="28"/>
  <c r="BH34" i="28" a="1"/>
  <c r="BH34" i="28"/>
  <c r="BG34" i="28" a="1"/>
  <c r="BG34" i="28"/>
  <c r="BF34" i="28" a="1"/>
  <c r="BF34" i="28"/>
  <c r="BE34" i="28" a="1"/>
  <c r="BE34" i="28"/>
  <c r="BD34" i="28" a="1"/>
  <c r="BD34" i="28"/>
  <c r="BC34" i="28" a="1"/>
  <c r="BC34" i="28"/>
  <c r="BB34" i="28" a="1"/>
  <c r="BB34" i="28"/>
  <c r="BA34" i="28" a="1"/>
  <c r="BA34" i="28"/>
  <c r="AZ34" i="28" a="1"/>
  <c r="AZ34" i="28"/>
  <c r="AY34" i="28" a="1"/>
  <c r="AY34" i="28"/>
  <c r="AX34" i="28" a="1"/>
  <c r="AX34" i="28"/>
  <c r="AW34" i="28" a="1"/>
  <c r="AW34" i="28"/>
  <c r="AV34" i="28" a="1"/>
  <c r="AV34" i="28"/>
  <c r="AU34" i="28" a="1"/>
  <c r="AU34" i="28"/>
  <c r="AT34" i="28" a="1"/>
  <c r="AT34" i="28"/>
  <c r="AS34" i="28" a="1"/>
  <c r="AS34" i="28"/>
  <c r="AR34" i="28" a="1"/>
  <c r="AR34" i="28"/>
  <c r="AQ34" i="28" a="1"/>
  <c r="AQ34" i="28"/>
  <c r="AP34" i="28" a="1"/>
  <c r="AP34" i="28"/>
  <c r="AO34" i="28" a="1"/>
  <c r="AO34" i="28"/>
  <c r="AN34" i="28" a="1"/>
  <c r="AN34" i="28"/>
  <c r="AM34" i="28" a="1"/>
  <c r="AM34" i="28"/>
  <c r="AL34" i="28" a="1"/>
  <c r="AL34" i="28"/>
  <c r="AK34" i="28" a="1"/>
  <c r="AK34" i="28"/>
  <c r="AJ34" i="28" a="1"/>
  <c r="AJ34" i="28"/>
  <c r="AI34" i="28" a="1"/>
  <c r="AI34" i="28"/>
  <c r="AH34" i="28" a="1"/>
  <c r="AH34" i="28"/>
  <c r="AG34" i="28" a="1"/>
  <c r="AG34" i="28"/>
  <c r="AF34" i="28" a="1"/>
  <c r="AF34" i="28"/>
  <c r="AE34" i="28" a="1"/>
  <c r="AE34" i="28"/>
  <c r="AD34" i="28" a="1"/>
  <c r="AD34" i="28"/>
  <c r="AC34" i="28" a="1"/>
  <c r="AC34" i="28"/>
  <c r="AB34" i="28" a="1"/>
  <c r="AB34" i="28"/>
  <c r="AA34" i="28" a="1"/>
  <c r="AA34" i="28"/>
  <c r="Z34" i="28" a="1"/>
  <c r="Z34" i="28"/>
  <c r="Y34" i="28" a="1"/>
  <c r="Y34" i="28"/>
  <c r="X34" i="28" a="1"/>
  <c r="X34" i="28"/>
  <c r="W34" i="28" a="1"/>
  <c r="W34" i="28"/>
  <c r="V34" i="28" a="1"/>
  <c r="V34" i="28"/>
  <c r="U34" i="28" a="1"/>
  <c r="U34" i="28"/>
  <c r="T34" i="28" a="1"/>
  <c r="T34" i="28"/>
  <c r="S34" i="28" a="1"/>
  <c r="S34" i="28"/>
  <c r="R34" i="28" a="1"/>
  <c r="R34" i="28"/>
  <c r="Q34" i="28" a="1"/>
  <c r="Q34" i="28"/>
  <c r="P34" i="28" a="1"/>
  <c r="P34" i="28"/>
  <c r="O34" i="28" a="1"/>
  <c r="O34" i="28"/>
  <c r="N34" i="28" a="1"/>
  <c r="N34" i="28"/>
  <c r="M34" i="28" a="1"/>
  <c r="M34" i="28"/>
  <c r="L34" i="28" a="1"/>
  <c r="L34" i="28"/>
  <c r="K34" i="28" a="1"/>
  <c r="K34" i="28"/>
  <c r="J34" i="28" a="1"/>
  <c r="J34" i="28"/>
  <c r="I34" i="28" a="1"/>
  <c r="I34" i="28"/>
  <c r="H34" i="28" a="1"/>
  <c r="H34" i="28"/>
  <c r="G34" i="28" a="1"/>
  <c r="G34" i="28"/>
  <c r="F34" i="28" a="1"/>
  <c r="F34" i="28"/>
  <c r="E34" i="28" a="1"/>
  <c r="E34" i="28"/>
  <c r="C34" i="28"/>
  <c r="BP33" i="28" a="1"/>
  <c r="BP33" i="28"/>
  <c r="BO33" i="28" a="1"/>
  <c r="BO33" i="28"/>
  <c r="BN33" i="28" a="1"/>
  <c r="BN33" i="28"/>
  <c r="BM33" i="28" a="1"/>
  <c r="BM33" i="28"/>
  <c r="BL33" i="28" a="1"/>
  <c r="BL33" i="28"/>
  <c r="BK33" i="28" a="1"/>
  <c r="BK33" i="28"/>
  <c r="BJ33" i="28" a="1"/>
  <c r="BJ33" i="28"/>
  <c r="BI33" i="28" a="1"/>
  <c r="BI33" i="28"/>
  <c r="BH33" i="28" a="1"/>
  <c r="BH33" i="28"/>
  <c r="BG33" i="28" a="1"/>
  <c r="BG33" i="28"/>
  <c r="BF33" i="28" a="1"/>
  <c r="BF33" i="28"/>
  <c r="BE33" i="28" a="1"/>
  <c r="BE33" i="28"/>
  <c r="BD33" i="28" a="1"/>
  <c r="BD33" i="28"/>
  <c r="BC33" i="28" a="1"/>
  <c r="BC33" i="28"/>
  <c r="BB33" i="28" a="1"/>
  <c r="BB33" i="28"/>
  <c r="BA33" i="28" a="1"/>
  <c r="BA33" i="28"/>
  <c r="AZ33" i="28" a="1"/>
  <c r="AZ33" i="28"/>
  <c r="AY33" i="28" a="1"/>
  <c r="AY33" i="28"/>
  <c r="AX33" i="28" a="1"/>
  <c r="AX33" i="28"/>
  <c r="AW33" i="28" a="1"/>
  <c r="AW33" i="28"/>
  <c r="AV33" i="28" a="1"/>
  <c r="AV33" i="28"/>
  <c r="AU33" i="28" a="1"/>
  <c r="AU33" i="28"/>
  <c r="AT33" i="28" a="1"/>
  <c r="AT33" i="28"/>
  <c r="AS33" i="28" a="1"/>
  <c r="AS33" i="28"/>
  <c r="AR33" i="28" a="1"/>
  <c r="AR33" i="28"/>
  <c r="AQ33" i="28" a="1"/>
  <c r="AQ33" i="28"/>
  <c r="AP33" i="28" a="1"/>
  <c r="AP33" i="28"/>
  <c r="AO33" i="28" a="1"/>
  <c r="AO33" i="28"/>
  <c r="AN33" i="28" a="1"/>
  <c r="AN33" i="28"/>
  <c r="AM33" i="28" a="1"/>
  <c r="AM33" i="28"/>
  <c r="AL33" i="28" a="1"/>
  <c r="AL33" i="28"/>
  <c r="AK33" i="28" a="1"/>
  <c r="AK33" i="28"/>
  <c r="AJ33" i="28" a="1"/>
  <c r="AJ33" i="28"/>
  <c r="AI33" i="28" a="1"/>
  <c r="AI33" i="28"/>
  <c r="AH33" i="28" a="1"/>
  <c r="AH33" i="28"/>
  <c r="AG33" i="28" a="1"/>
  <c r="AG33" i="28"/>
  <c r="AF33" i="28" a="1"/>
  <c r="AF33" i="28"/>
  <c r="AE33" i="28" a="1"/>
  <c r="AE33" i="28"/>
  <c r="AD33" i="28" a="1"/>
  <c r="AD33" i="28"/>
  <c r="AC33" i="28" a="1"/>
  <c r="AC33" i="28"/>
  <c r="AB33" i="28" a="1"/>
  <c r="AB33" i="28"/>
  <c r="AA33" i="28" a="1"/>
  <c r="AA33" i="28"/>
  <c r="Z33" i="28" a="1"/>
  <c r="Z33" i="28"/>
  <c r="Y33" i="28" a="1"/>
  <c r="Y33" i="28"/>
  <c r="X33" i="28" a="1"/>
  <c r="X33" i="28"/>
  <c r="W33" i="28" a="1"/>
  <c r="W33" i="28"/>
  <c r="V33" i="28" a="1"/>
  <c r="V33" i="28"/>
  <c r="U33" i="28" a="1"/>
  <c r="U33" i="28"/>
  <c r="T33" i="28" a="1"/>
  <c r="T33" i="28"/>
  <c r="S33" i="28" a="1"/>
  <c r="S33" i="28"/>
  <c r="R33" i="28" a="1"/>
  <c r="R33" i="28"/>
  <c r="Q33" i="28" a="1"/>
  <c r="Q33" i="28"/>
  <c r="P33" i="28" a="1"/>
  <c r="P33" i="28"/>
  <c r="O33" i="28" a="1"/>
  <c r="O33" i="28"/>
  <c r="N33" i="28" a="1"/>
  <c r="N33" i="28"/>
  <c r="M33" i="28" a="1"/>
  <c r="M33" i="28"/>
  <c r="L33" i="28" a="1"/>
  <c r="L33" i="28"/>
  <c r="K33" i="28" a="1"/>
  <c r="K33" i="28"/>
  <c r="J33" i="28" a="1"/>
  <c r="J33" i="28"/>
  <c r="I33" i="28" a="1"/>
  <c r="I33" i="28"/>
  <c r="H33" i="28" a="1"/>
  <c r="H33" i="28"/>
  <c r="G33" i="28" a="1"/>
  <c r="G33" i="28"/>
  <c r="F33" i="28" a="1"/>
  <c r="F33" i="28"/>
  <c r="E33" i="28" a="1"/>
  <c r="E33" i="28"/>
  <c r="C33" i="28"/>
  <c r="BP32" i="28" a="1"/>
  <c r="BP32" i="28"/>
  <c r="BO32" i="28" a="1"/>
  <c r="BO32" i="28"/>
  <c r="BN32" i="28" a="1"/>
  <c r="BN32" i="28"/>
  <c r="BM32" i="28" a="1"/>
  <c r="BM32" i="28"/>
  <c r="BL32" i="28" a="1"/>
  <c r="BL32" i="28"/>
  <c r="BK32" i="28" a="1"/>
  <c r="BK32" i="28"/>
  <c r="BJ32" i="28" a="1"/>
  <c r="BJ32" i="28"/>
  <c r="BI32" i="28" a="1"/>
  <c r="BI32" i="28"/>
  <c r="BH32" i="28" a="1"/>
  <c r="BH32" i="28"/>
  <c r="BG32" i="28" a="1"/>
  <c r="BG32" i="28"/>
  <c r="BF32" i="28" a="1"/>
  <c r="BF32" i="28"/>
  <c r="BE32" i="28" a="1"/>
  <c r="BE32" i="28"/>
  <c r="BD32" i="28" a="1"/>
  <c r="BD32" i="28"/>
  <c r="BC32" i="28" a="1"/>
  <c r="BC32" i="28"/>
  <c r="BB32" i="28" a="1"/>
  <c r="BB32" i="28"/>
  <c r="BA32" i="28" a="1"/>
  <c r="BA32" i="28"/>
  <c r="AZ32" i="28" a="1"/>
  <c r="AZ32" i="28"/>
  <c r="AY32" i="28" a="1"/>
  <c r="AY32" i="28"/>
  <c r="AX32" i="28" a="1"/>
  <c r="AX32" i="28"/>
  <c r="AW32" i="28" a="1"/>
  <c r="AW32" i="28"/>
  <c r="AV32" i="28" a="1"/>
  <c r="AV32" i="28"/>
  <c r="AU32" i="28" a="1"/>
  <c r="AU32" i="28"/>
  <c r="AT32" i="28" a="1"/>
  <c r="AT32" i="28"/>
  <c r="AS32" i="28" a="1"/>
  <c r="AS32" i="28"/>
  <c r="AR32" i="28" a="1"/>
  <c r="AR32" i="28"/>
  <c r="AQ32" i="28" a="1"/>
  <c r="AQ32" i="28"/>
  <c r="AP32" i="28" a="1"/>
  <c r="AP32" i="28"/>
  <c r="AO32" i="28" a="1"/>
  <c r="AO32" i="28"/>
  <c r="AN32" i="28" a="1"/>
  <c r="AN32" i="28"/>
  <c r="AM32" i="28" a="1"/>
  <c r="AM32" i="28"/>
  <c r="AL32" i="28" a="1"/>
  <c r="AL32" i="28"/>
  <c r="AK32" i="28" a="1"/>
  <c r="AK32" i="28"/>
  <c r="AJ32" i="28" a="1"/>
  <c r="AJ32" i="28"/>
  <c r="AI32" i="28" a="1"/>
  <c r="AI32" i="28"/>
  <c r="AH32" i="28" a="1"/>
  <c r="AH32" i="28"/>
  <c r="AG32" i="28" a="1"/>
  <c r="AG32" i="28"/>
  <c r="AF32" i="28" a="1"/>
  <c r="AF32" i="28"/>
  <c r="AE32" i="28" a="1"/>
  <c r="AE32" i="28"/>
  <c r="AD32" i="28" a="1"/>
  <c r="AD32" i="28"/>
  <c r="AC32" i="28" a="1"/>
  <c r="AC32" i="28"/>
  <c r="AB32" i="28" a="1"/>
  <c r="AB32" i="28"/>
  <c r="AA32" i="28" a="1"/>
  <c r="AA32" i="28"/>
  <c r="Z32" i="28" a="1"/>
  <c r="Z32" i="28"/>
  <c r="Y32" i="28" a="1"/>
  <c r="Y32" i="28"/>
  <c r="X32" i="28" a="1"/>
  <c r="X32" i="28"/>
  <c r="W32" i="28" a="1"/>
  <c r="W32" i="28"/>
  <c r="V32" i="28" a="1"/>
  <c r="V32" i="28"/>
  <c r="U32" i="28" a="1"/>
  <c r="U32" i="28"/>
  <c r="T32" i="28" a="1"/>
  <c r="T32" i="28"/>
  <c r="S32" i="28" a="1"/>
  <c r="S32" i="28"/>
  <c r="R32" i="28" a="1"/>
  <c r="R32" i="28"/>
  <c r="Q32" i="28" a="1"/>
  <c r="Q32" i="28"/>
  <c r="P32" i="28" a="1"/>
  <c r="P32" i="28"/>
  <c r="O32" i="28" a="1"/>
  <c r="O32" i="28"/>
  <c r="N32" i="28" a="1"/>
  <c r="N32" i="28"/>
  <c r="M32" i="28" a="1"/>
  <c r="M32" i="28"/>
  <c r="L32" i="28" a="1"/>
  <c r="L32" i="28"/>
  <c r="K32" i="28" a="1"/>
  <c r="K32" i="28"/>
  <c r="J32" i="28" a="1"/>
  <c r="J32" i="28"/>
  <c r="I32" i="28" a="1"/>
  <c r="I32" i="28"/>
  <c r="H32" i="28" a="1"/>
  <c r="H32" i="28"/>
  <c r="G32" i="28" a="1"/>
  <c r="G32" i="28"/>
  <c r="F32" i="28" a="1"/>
  <c r="F32" i="28"/>
  <c r="E32" i="28" a="1"/>
  <c r="E32" i="28"/>
  <c r="C32" i="28"/>
  <c r="BP31" i="28" a="1"/>
  <c r="BP31" i="28"/>
  <c r="BO31" i="28" a="1"/>
  <c r="BO31" i="28"/>
  <c r="BN31" i="28" a="1"/>
  <c r="BN31" i="28"/>
  <c r="BM31" i="28" a="1"/>
  <c r="BM31" i="28"/>
  <c r="BL31" i="28" a="1"/>
  <c r="BL31" i="28"/>
  <c r="BK31" i="28" a="1"/>
  <c r="BK31" i="28"/>
  <c r="BJ31" i="28" a="1"/>
  <c r="BJ31" i="28"/>
  <c r="BI31" i="28" a="1"/>
  <c r="BI31" i="28"/>
  <c r="BH31" i="28" a="1"/>
  <c r="BH31" i="28"/>
  <c r="BG31" i="28" a="1"/>
  <c r="BG31" i="28"/>
  <c r="BF31" i="28" a="1"/>
  <c r="BF31" i="28"/>
  <c r="BE31" i="28" a="1"/>
  <c r="BE31" i="28"/>
  <c r="BD31" i="28" a="1"/>
  <c r="BD31" i="28"/>
  <c r="BC31" i="28" a="1"/>
  <c r="BC31" i="28"/>
  <c r="BB31" i="28" a="1"/>
  <c r="BB31" i="28"/>
  <c r="BA31" i="28" a="1"/>
  <c r="BA31" i="28"/>
  <c r="AZ31" i="28" a="1"/>
  <c r="AZ31" i="28"/>
  <c r="AY31" i="28" a="1"/>
  <c r="AY31" i="28"/>
  <c r="AX31" i="28" a="1"/>
  <c r="AX31" i="28"/>
  <c r="AW31" i="28" a="1"/>
  <c r="AW31" i="28"/>
  <c r="AV31" i="28" a="1"/>
  <c r="AV31" i="28"/>
  <c r="AU31" i="28" a="1"/>
  <c r="AU31" i="28"/>
  <c r="AT31" i="28" a="1"/>
  <c r="AT31" i="28"/>
  <c r="AS31" i="28" a="1"/>
  <c r="AS31" i="28"/>
  <c r="AR31" i="28" a="1"/>
  <c r="AR31" i="28"/>
  <c r="AQ31" i="28" a="1"/>
  <c r="AQ31" i="28"/>
  <c r="AP31" i="28" a="1"/>
  <c r="AP31" i="28"/>
  <c r="AO31" i="28" a="1"/>
  <c r="AO31" i="28"/>
  <c r="AN31" i="28" a="1"/>
  <c r="AN31" i="28"/>
  <c r="AM31" i="28" a="1"/>
  <c r="AM31" i="28"/>
  <c r="AL31" i="28" a="1"/>
  <c r="AL31" i="28"/>
  <c r="AK31" i="28" a="1"/>
  <c r="AK31" i="28"/>
  <c r="AJ31" i="28" a="1"/>
  <c r="AJ31" i="28"/>
  <c r="AI31" i="28" a="1"/>
  <c r="AI31" i="28"/>
  <c r="AH31" i="28" a="1"/>
  <c r="AH31" i="28"/>
  <c r="AG31" i="28" a="1"/>
  <c r="AG31" i="28"/>
  <c r="AF31" i="28" a="1"/>
  <c r="AF31" i="28"/>
  <c r="AE31" i="28" a="1"/>
  <c r="AE31" i="28"/>
  <c r="AD31" i="28" a="1"/>
  <c r="AD31" i="28"/>
  <c r="AC31" i="28" a="1"/>
  <c r="AC31" i="28"/>
  <c r="AB31" i="28" a="1"/>
  <c r="AB31" i="28"/>
  <c r="AA31" i="28" a="1"/>
  <c r="AA31" i="28"/>
  <c r="Z31" i="28" a="1"/>
  <c r="Z31" i="28"/>
  <c r="Y31" i="28" a="1"/>
  <c r="Y31" i="28"/>
  <c r="X31" i="28" a="1"/>
  <c r="X31" i="28"/>
  <c r="W31" i="28" a="1"/>
  <c r="W31" i="28"/>
  <c r="V31" i="28" a="1"/>
  <c r="V31" i="28"/>
  <c r="U31" i="28" a="1"/>
  <c r="U31" i="28"/>
  <c r="T31" i="28" a="1"/>
  <c r="T31" i="28"/>
  <c r="S31" i="28" a="1"/>
  <c r="S31" i="28"/>
  <c r="R31" i="28" a="1"/>
  <c r="R31" i="28"/>
  <c r="Q31" i="28" a="1"/>
  <c r="Q31" i="28"/>
  <c r="P31" i="28" a="1"/>
  <c r="P31" i="28"/>
  <c r="O31" i="28" a="1"/>
  <c r="O31" i="28"/>
  <c r="N31" i="28" a="1"/>
  <c r="N31" i="28"/>
  <c r="M31" i="28" a="1"/>
  <c r="M31" i="28"/>
  <c r="L31" i="28" a="1"/>
  <c r="L31" i="28"/>
  <c r="K31" i="28" a="1"/>
  <c r="K31" i="28"/>
  <c r="J31" i="28" a="1"/>
  <c r="J31" i="28"/>
  <c r="I31" i="28" a="1"/>
  <c r="I31" i="28"/>
  <c r="H31" i="28" a="1"/>
  <c r="H31" i="28"/>
  <c r="G31" i="28" a="1"/>
  <c r="G31" i="28"/>
  <c r="F31" i="28" a="1"/>
  <c r="F31" i="28"/>
  <c r="E31" i="28" a="1"/>
  <c r="E31" i="28"/>
  <c r="C31" i="28"/>
  <c r="BP30" i="28" a="1"/>
  <c r="BP30" i="28"/>
  <c r="BO30" i="28" a="1"/>
  <c r="BO30" i="28"/>
  <c r="BN30" i="28" a="1"/>
  <c r="BN30" i="28"/>
  <c r="BM30" i="28" a="1"/>
  <c r="BM30" i="28"/>
  <c r="BL30" i="28" a="1"/>
  <c r="BL30" i="28"/>
  <c r="BK30" i="28" a="1"/>
  <c r="BK30" i="28"/>
  <c r="BJ30" i="28" a="1"/>
  <c r="BJ30" i="28"/>
  <c r="BI30" i="28" a="1"/>
  <c r="BI30" i="28"/>
  <c r="BH30" i="28" a="1"/>
  <c r="BH30" i="28"/>
  <c r="BG30" i="28" a="1"/>
  <c r="BG30" i="28"/>
  <c r="BF30" i="28" a="1"/>
  <c r="BF30" i="28"/>
  <c r="BE30" i="28" a="1"/>
  <c r="BE30" i="28"/>
  <c r="BD30" i="28" a="1"/>
  <c r="BD30" i="28"/>
  <c r="BC30" i="28" a="1"/>
  <c r="BC30" i="28"/>
  <c r="BB30" i="28" a="1"/>
  <c r="BB30" i="28"/>
  <c r="BA30" i="28" a="1"/>
  <c r="BA30" i="28"/>
  <c r="AZ30" i="28" a="1"/>
  <c r="AZ30" i="28"/>
  <c r="AY30" i="28" a="1"/>
  <c r="AY30" i="28"/>
  <c r="AX30" i="28" a="1"/>
  <c r="AX30" i="28"/>
  <c r="AW30" i="28" a="1"/>
  <c r="AW30" i="28"/>
  <c r="AV30" i="28" a="1"/>
  <c r="AV30" i="28"/>
  <c r="AU30" i="28" a="1"/>
  <c r="AU30" i="28"/>
  <c r="AT30" i="28" a="1"/>
  <c r="AT30" i="28"/>
  <c r="AS30" i="28" a="1"/>
  <c r="AS30" i="28"/>
  <c r="AR30" i="28" a="1"/>
  <c r="AR30" i="28"/>
  <c r="AQ30" i="28" a="1"/>
  <c r="AQ30" i="28"/>
  <c r="AP30" i="28" a="1"/>
  <c r="AP30" i="28"/>
  <c r="AO30" i="28" a="1"/>
  <c r="AO30" i="28"/>
  <c r="AN30" i="28" a="1"/>
  <c r="AN30" i="28"/>
  <c r="AM30" i="28" a="1"/>
  <c r="AM30" i="28"/>
  <c r="AL30" i="28" a="1"/>
  <c r="AL30" i="28"/>
  <c r="AK30" i="28" a="1"/>
  <c r="AK30" i="28"/>
  <c r="AJ30" i="28" a="1"/>
  <c r="AJ30" i="28"/>
  <c r="AI30" i="28" a="1"/>
  <c r="AI30" i="28"/>
  <c r="AH30" i="28" a="1"/>
  <c r="AH30" i="28"/>
  <c r="AG30" i="28" a="1"/>
  <c r="AG30" i="28"/>
  <c r="AF30" i="28" a="1"/>
  <c r="AF30" i="28"/>
  <c r="AE30" i="28" a="1"/>
  <c r="AE30" i="28"/>
  <c r="AD30" i="28" a="1"/>
  <c r="AD30" i="28"/>
  <c r="AC30" i="28" a="1"/>
  <c r="AC30" i="28"/>
  <c r="AB30" i="28" a="1"/>
  <c r="AB30" i="28"/>
  <c r="AA30" i="28" a="1"/>
  <c r="AA30" i="28"/>
  <c r="Z30" i="28" a="1"/>
  <c r="Z30" i="28"/>
  <c r="Y30" i="28" a="1"/>
  <c r="Y30" i="28"/>
  <c r="X30" i="28" a="1"/>
  <c r="X30" i="28"/>
  <c r="W30" i="28" a="1"/>
  <c r="W30" i="28"/>
  <c r="V30" i="28" a="1"/>
  <c r="V30" i="28"/>
  <c r="U30" i="28" a="1"/>
  <c r="U30" i="28"/>
  <c r="T30" i="28" a="1"/>
  <c r="T30" i="28"/>
  <c r="S30" i="28" a="1"/>
  <c r="S30" i="28"/>
  <c r="R30" i="28" a="1"/>
  <c r="R30" i="28"/>
  <c r="Q30" i="28" a="1"/>
  <c r="Q30" i="28"/>
  <c r="P30" i="28" a="1"/>
  <c r="P30" i="28"/>
  <c r="O30" i="28" a="1"/>
  <c r="O30" i="28"/>
  <c r="N30" i="28" a="1"/>
  <c r="N30" i="28"/>
  <c r="M30" i="28" a="1"/>
  <c r="M30" i="28"/>
  <c r="L30" i="28" a="1"/>
  <c r="L30" i="28"/>
  <c r="K30" i="28" a="1"/>
  <c r="K30" i="28"/>
  <c r="J30" i="28" a="1"/>
  <c r="J30" i="28"/>
  <c r="I30" i="28" a="1"/>
  <c r="I30" i="28"/>
  <c r="H30" i="28" a="1"/>
  <c r="H30" i="28"/>
  <c r="G30" i="28" a="1"/>
  <c r="G30" i="28"/>
  <c r="F30" i="28" a="1"/>
  <c r="F30" i="28"/>
  <c r="E30" i="28" a="1"/>
  <c r="E30" i="28"/>
  <c r="C30" i="28"/>
  <c r="AD25" i="28"/>
  <c r="AA17" i="28"/>
  <c r="AB17" i="28"/>
  <c r="W17" i="28"/>
  <c r="AA18" i="28"/>
  <c r="AB18" i="28"/>
  <c r="W18" i="28"/>
  <c r="AA19" i="28"/>
  <c r="AB19" i="28"/>
  <c r="W19" i="28"/>
  <c r="AA20" i="28"/>
  <c r="AB20" i="28"/>
  <c r="W20" i="28"/>
  <c r="Z25" i="28"/>
  <c r="X25" i="28"/>
  <c r="N25" i="28" a="1"/>
  <c r="N25" i="28"/>
  <c r="M25" i="28"/>
  <c r="AD24" i="28"/>
  <c r="Z24" i="28"/>
  <c r="X24" i="28"/>
  <c r="N24" i="28" a="1"/>
  <c r="N24" i="28"/>
  <c r="M24" i="28"/>
  <c r="AD23" i="28"/>
  <c r="Z23" i="28"/>
  <c r="X23" i="28"/>
  <c r="N23" i="28" a="1"/>
  <c r="N23" i="28"/>
  <c r="M23" i="28"/>
  <c r="AD22" i="28"/>
  <c r="Z22" i="28"/>
  <c r="X22" i="28"/>
  <c r="N22" i="28" a="1"/>
  <c r="N22" i="28"/>
  <c r="M22" i="28"/>
  <c r="AD21" i="28"/>
  <c r="Z21" i="28"/>
  <c r="X21" i="28"/>
  <c r="N21" i="28" a="1"/>
  <c r="N21" i="28"/>
  <c r="M21" i="28"/>
  <c r="Z20" i="28"/>
  <c r="X20" i="28"/>
  <c r="J20" i="28"/>
  <c r="I20" i="28"/>
  <c r="H20" i="28"/>
  <c r="K7" i="28"/>
  <c r="N7" i="28"/>
  <c r="G20" i="28"/>
  <c r="F20" i="28"/>
  <c r="E20" i="28"/>
  <c r="D20" i="28"/>
  <c r="Z19" i="28"/>
  <c r="X19" i="28"/>
  <c r="J19" i="28"/>
  <c r="I19" i="28"/>
  <c r="H19" i="28"/>
  <c r="K6" i="28"/>
  <c r="N6" i="28"/>
  <c r="G19" i="28"/>
  <c r="F19" i="28"/>
  <c r="E19" i="28"/>
  <c r="D19" i="28"/>
  <c r="Z18" i="28"/>
  <c r="X18" i="28"/>
  <c r="J18" i="28"/>
  <c r="I18" i="28"/>
  <c r="H18" i="28"/>
  <c r="K5" i="28"/>
  <c r="N5" i="28"/>
  <c r="G18" i="28"/>
  <c r="F18" i="28"/>
  <c r="E18" i="28"/>
  <c r="D18" i="28"/>
  <c r="Z17" i="28"/>
  <c r="X17" i="28"/>
  <c r="J17" i="28"/>
  <c r="I17" i="28"/>
  <c r="H17" i="28"/>
  <c r="F17" i="28"/>
  <c r="E17" i="28"/>
  <c r="K8" i="28"/>
  <c r="K9" i="28"/>
  <c r="K10" i="28"/>
  <c r="K11" i="28"/>
  <c r="K12" i="28"/>
  <c r="F13" i="28"/>
  <c r="B13" i="28"/>
  <c r="S12" i="28"/>
  <c r="N12" i="28"/>
  <c r="E12" i="28"/>
  <c r="D12" i="28"/>
  <c r="E4" i="28"/>
  <c r="D4" i="28"/>
  <c r="E5" i="28"/>
  <c r="D5" i="28"/>
  <c r="E6" i="28"/>
  <c r="D6" i="28"/>
  <c r="E7" i="28"/>
  <c r="D7" i="28"/>
  <c r="E8" i="28"/>
  <c r="D8" i="28"/>
  <c r="E9" i="28"/>
  <c r="D9" i="28"/>
  <c r="E10" i="28"/>
  <c r="D10" i="28"/>
  <c r="E11" i="28"/>
  <c r="D11" i="28"/>
  <c r="C12" i="28"/>
  <c r="S11" i="28"/>
  <c r="N11" i="28"/>
  <c r="C11" i="28"/>
  <c r="S10" i="28"/>
  <c r="N10" i="28"/>
  <c r="C10" i="28"/>
  <c r="S9" i="28"/>
  <c r="N9" i="28"/>
  <c r="C9" i="28"/>
  <c r="S8" i="28"/>
  <c r="N8" i="28"/>
  <c r="C8" i="28"/>
  <c r="S7" i="28"/>
  <c r="C7" i="28"/>
  <c r="S6" i="28"/>
  <c r="C6" i="28"/>
  <c r="S5" i="28"/>
  <c r="C5" i="28"/>
  <c r="S4" i="28"/>
  <c r="C4" i="28"/>
  <c r="F12" i="29"/>
  <c r="BR60" i="29"/>
  <c r="F11" i="29"/>
  <c r="BZ51" i="29"/>
  <c r="BZ60" i="29"/>
  <c r="F10" i="29"/>
  <c r="BY51" i="29"/>
  <c r="BY60" i="29"/>
  <c r="F9" i="29"/>
  <c r="BX51" i="29"/>
  <c r="BX60" i="29"/>
  <c r="F8" i="29"/>
  <c r="BW51" i="29"/>
  <c r="BW60" i="29"/>
  <c r="BV51" i="29"/>
  <c r="BV60" i="29"/>
  <c r="BU51" i="29"/>
  <c r="BU60" i="29"/>
  <c r="BT51" i="29"/>
  <c r="BT60" i="29"/>
  <c r="BS51" i="29"/>
  <c r="BS60" i="29"/>
  <c r="BR59" i="29"/>
  <c r="CA51" i="29"/>
  <c r="CA59" i="29"/>
  <c r="BY59" i="29"/>
  <c r="BX59" i="29"/>
  <c r="BW59" i="29"/>
  <c r="BV59" i="29"/>
  <c r="BU59" i="29"/>
  <c r="BT59" i="29"/>
  <c r="BS59" i="29"/>
  <c r="BR58" i="29"/>
  <c r="CA58" i="29"/>
  <c r="BZ58" i="29"/>
  <c r="BX58" i="29"/>
  <c r="BW58" i="29"/>
  <c r="BV58" i="29"/>
  <c r="BU58" i="29"/>
  <c r="BT58" i="29"/>
  <c r="BS58" i="29"/>
  <c r="BR57" i="29"/>
  <c r="CA57" i="29"/>
  <c r="BZ57" i="29"/>
  <c r="BY57" i="29"/>
  <c r="BW57" i="29"/>
  <c r="BV57" i="29"/>
  <c r="BU57" i="29"/>
  <c r="BT57" i="29"/>
  <c r="BS57" i="29"/>
  <c r="BR56" i="29"/>
  <c r="CA56" i="29"/>
  <c r="BZ56" i="29"/>
  <c r="BY56" i="29"/>
  <c r="BX56" i="29"/>
  <c r="BV56" i="29"/>
  <c r="BU56" i="29"/>
  <c r="BT56" i="29"/>
  <c r="BS56" i="29"/>
  <c r="BR55" i="29"/>
  <c r="CA55" i="29"/>
  <c r="BZ55" i="29"/>
  <c r="BY55" i="29"/>
  <c r="BX55" i="29"/>
  <c r="BW55" i="29"/>
  <c r="BU55" i="29"/>
  <c r="BT55" i="29"/>
  <c r="BS55" i="29"/>
  <c r="BR54" i="29"/>
  <c r="CA54" i="29"/>
  <c r="BZ54" i="29"/>
  <c r="BY54" i="29"/>
  <c r="BX54" i="29"/>
  <c r="BW54" i="29"/>
  <c r="BV54" i="29"/>
  <c r="BT54" i="29"/>
  <c r="BS54" i="29"/>
  <c r="BR53" i="29"/>
  <c r="CA53" i="29"/>
  <c r="BZ53" i="29"/>
  <c r="BY53" i="29"/>
  <c r="BX53" i="29"/>
  <c r="BW53" i="29"/>
  <c r="BV53" i="29"/>
  <c r="BU53" i="29"/>
  <c r="BS53" i="29"/>
  <c r="BR52" i="29"/>
  <c r="CA52" i="29"/>
  <c r="BZ52" i="29"/>
  <c r="BY52" i="29"/>
  <c r="BX52" i="29"/>
  <c r="BW52" i="29"/>
  <c r="BV52" i="29"/>
  <c r="BU52" i="29"/>
  <c r="BT52" i="29"/>
  <c r="CA48" i="29"/>
  <c r="BZ49" i="29"/>
  <c r="CA47" i="29"/>
  <c r="BY49" i="29"/>
  <c r="CA46" i="29"/>
  <c r="BX49" i="29"/>
  <c r="CA45" i="29"/>
  <c r="BW49" i="29"/>
  <c r="CA44" i="29"/>
  <c r="BV49" i="29"/>
  <c r="CA43" i="29"/>
  <c r="BU49" i="29"/>
  <c r="CA42" i="29"/>
  <c r="BT49" i="29"/>
  <c r="CA41" i="29"/>
  <c r="BS49" i="29"/>
  <c r="BR49" i="29"/>
  <c r="C25" i="29"/>
  <c r="BZ47" i="29"/>
  <c r="BY48" i="29"/>
  <c r="BZ46" i="29"/>
  <c r="BX48" i="29"/>
  <c r="BZ45" i="29"/>
  <c r="BW48" i="29"/>
  <c r="BZ44" i="29"/>
  <c r="BV48" i="29"/>
  <c r="BZ43" i="29"/>
  <c r="BU48" i="29"/>
  <c r="BZ42" i="29"/>
  <c r="BT48" i="29"/>
  <c r="BZ41" i="29"/>
  <c r="BS48" i="29"/>
  <c r="BR48" i="29"/>
  <c r="C24" i="29"/>
  <c r="BY46" i="29"/>
  <c r="BX47" i="29"/>
  <c r="BY45" i="29"/>
  <c r="BW47" i="29"/>
  <c r="BY44" i="29"/>
  <c r="BV47" i="29"/>
  <c r="BY43" i="29"/>
  <c r="BU47" i="29"/>
  <c r="BY42" i="29"/>
  <c r="BT47" i="29"/>
  <c r="BY41" i="29"/>
  <c r="BS47" i="29"/>
  <c r="BR47" i="29"/>
  <c r="C23" i="29"/>
  <c r="BX45" i="29"/>
  <c r="BW46" i="29"/>
  <c r="BX44" i="29"/>
  <c r="BV46" i="29"/>
  <c r="BX43" i="29"/>
  <c r="BU46" i="29"/>
  <c r="BX42" i="29"/>
  <c r="BT46" i="29"/>
  <c r="BX41" i="29"/>
  <c r="BS46" i="29"/>
  <c r="BR46" i="29"/>
  <c r="C22" i="29"/>
  <c r="BW44" i="29"/>
  <c r="BV45" i="29"/>
  <c r="BW43" i="29"/>
  <c r="BU45" i="29"/>
  <c r="BW42" i="29"/>
  <c r="BT45" i="29"/>
  <c r="BW41" i="29"/>
  <c r="BS45" i="29"/>
  <c r="BR45" i="29"/>
  <c r="C21" i="29"/>
  <c r="BV43" i="29"/>
  <c r="BU44" i="29"/>
  <c r="BV42" i="29"/>
  <c r="BT44" i="29"/>
  <c r="BV41" i="29"/>
  <c r="BS44" i="29"/>
  <c r="BR44" i="29"/>
  <c r="L7" i="29"/>
  <c r="M7" i="29"/>
  <c r="J7" i="29"/>
  <c r="Q7" i="29"/>
  <c r="K20" i="29"/>
  <c r="P7" i="29"/>
  <c r="R7" i="29"/>
  <c r="G7" i="29"/>
  <c r="H7" i="29"/>
  <c r="I7" i="29"/>
  <c r="T7" i="29"/>
  <c r="G4" i="29"/>
  <c r="H4" i="29"/>
  <c r="I4" i="29"/>
  <c r="T4" i="29"/>
  <c r="G5" i="29"/>
  <c r="H5" i="29"/>
  <c r="I5" i="29"/>
  <c r="T5" i="29"/>
  <c r="G6" i="29"/>
  <c r="H6" i="29"/>
  <c r="I6" i="29"/>
  <c r="T6" i="29"/>
  <c r="G8" i="29"/>
  <c r="H8" i="29"/>
  <c r="I8" i="29"/>
  <c r="T8" i="29"/>
  <c r="G9" i="29"/>
  <c r="H9" i="29"/>
  <c r="I9" i="29"/>
  <c r="T9" i="29"/>
  <c r="G10" i="29"/>
  <c r="H10" i="29"/>
  <c r="I10" i="29"/>
  <c r="T10" i="29"/>
  <c r="G11" i="29"/>
  <c r="H11" i="29"/>
  <c r="I11" i="29"/>
  <c r="T11" i="29"/>
  <c r="G12" i="29"/>
  <c r="H12" i="29"/>
  <c r="I12" i="29"/>
  <c r="T12" i="29"/>
  <c r="U7" i="29"/>
  <c r="L20" i="29"/>
  <c r="L4" i="29"/>
  <c r="M4" i="29"/>
  <c r="J4" i="29"/>
  <c r="Q4" i="29"/>
  <c r="K17" i="29"/>
  <c r="P4" i="29"/>
  <c r="R4" i="29"/>
  <c r="U4" i="29"/>
  <c r="L17" i="29"/>
  <c r="L5" i="29"/>
  <c r="M5" i="29"/>
  <c r="J5" i="29"/>
  <c r="Q5" i="29"/>
  <c r="K18" i="29"/>
  <c r="P5" i="29"/>
  <c r="R5" i="29"/>
  <c r="U5" i="29"/>
  <c r="L18" i="29"/>
  <c r="L6" i="29"/>
  <c r="M6" i="29"/>
  <c r="J6" i="29"/>
  <c r="Q6" i="29"/>
  <c r="K19" i="29"/>
  <c r="P6" i="29"/>
  <c r="R6" i="29"/>
  <c r="U6" i="29"/>
  <c r="L19" i="29"/>
  <c r="L8" i="29"/>
  <c r="J8" i="29"/>
  <c r="Q8" i="29"/>
  <c r="K21" i="29"/>
  <c r="P8" i="29"/>
  <c r="R8" i="29"/>
  <c r="U8" i="29"/>
  <c r="L21" i="29"/>
  <c r="L9" i="29"/>
  <c r="J9" i="29"/>
  <c r="Q9" i="29"/>
  <c r="K22" i="29"/>
  <c r="P9" i="29"/>
  <c r="R9" i="29"/>
  <c r="U9" i="29"/>
  <c r="L22" i="29"/>
  <c r="L10" i="29"/>
  <c r="J10" i="29"/>
  <c r="Q10" i="29"/>
  <c r="K23" i="29"/>
  <c r="P10" i="29"/>
  <c r="R10" i="29"/>
  <c r="U10" i="29"/>
  <c r="L23" i="29"/>
  <c r="L11" i="29"/>
  <c r="J11" i="29"/>
  <c r="Q11" i="29"/>
  <c r="K24" i="29"/>
  <c r="P11" i="29"/>
  <c r="R11" i="29"/>
  <c r="U11" i="29"/>
  <c r="L24" i="29"/>
  <c r="L12" i="29"/>
  <c r="J12" i="29"/>
  <c r="Q12" i="29"/>
  <c r="K25" i="29"/>
  <c r="P12" i="29"/>
  <c r="R12" i="29"/>
  <c r="U12" i="29"/>
  <c r="L25" i="29"/>
  <c r="M20" i="29"/>
  <c r="N20" i="29" a="1"/>
  <c r="N20" i="29"/>
  <c r="V20" i="29"/>
  <c r="BP44" i="29" a="1"/>
  <c r="BP44" i="29"/>
  <c r="BO44" i="29" a="1"/>
  <c r="BO44" i="29"/>
  <c r="BN44" i="29" a="1"/>
  <c r="BN44" i="29"/>
  <c r="BM44" i="29" a="1"/>
  <c r="BM44" i="29"/>
  <c r="BL44" i="29" a="1"/>
  <c r="BL44" i="29"/>
  <c r="BK44" i="29" a="1"/>
  <c r="BK44" i="29"/>
  <c r="BJ44" i="29" a="1"/>
  <c r="BJ44" i="29"/>
  <c r="BI44" i="29" a="1"/>
  <c r="BI44" i="29"/>
  <c r="U20" i="29"/>
  <c r="BH44" i="29" a="1"/>
  <c r="BH44" i="29"/>
  <c r="BG44" i="29" a="1"/>
  <c r="BG44" i="29"/>
  <c r="BF44" i="29" a="1"/>
  <c r="BF44" i="29"/>
  <c r="BE44" i="29" a="1"/>
  <c r="BE44" i="29"/>
  <c r="BD44" i="29" a="1"/>
  <c r="BD44" i="29"/>
  <c r="BC44" i="29" a="1"/>
  <c r="BC44" i="29"/>
  <c r="BB44" i="29" a="1"/>
  <c r="BB44" i="29"/>
  <c r="BA44" i="29" a="1"/>
  <c r="BA44" i="29"/>
  <c r="T20" i="29"/>
  <c r="AZ44" i="29" a="1"/>
  <c r="AZ44" i="29"/>
  <c r="AY44" i="29" a="1"/>
  <c r="AY44" i="29"/>
  <c r="AX44" i="29" a="1"/>
  <c r="AX44" i="29"/>
  <c r="AW44" i="29" a="1"/>
  <c r="AW44" i="29"/>
  <c r="AV44" i="29" a="1"/>
  <c r="AV44" i="29"/>
  <c r="AU44" i="29" a="1"/>
  <c r="AU44" i="29"/>
  <c r="AT44" i="29" a="1"/>
  <c r="AT44" i="29"/>
  <c r="AS44" i="29" a="1"/>
  <c r="AS44" i="29"/>
  <c r="S20" i="29"/>
  <c r="AR44" i="29" a="1"/>
  <c r="AR44" i="29"/>
  <c r="AQ44" i="29" a="1"/>
  <c r="AQ44" i="29"/>
  <c r="AP44" i="29" a="1"/>
  <c r="AP44" i="29"/>
  <c r="AO44" i="29" a="1"/>
  <c r="AO44" i="29"/>
  <c r="AN44" i="29" a="1"/>
  <c r="AN44" i="29"/>
  <c r="AM44" i="29" a="1"/>
  <c r="AM44" i="29"/>
  <c r="AL44" i="29" a="1"/>
  <c r="AL44" i="29"/>
  <c r="AK44" i="29" a="1"/>
  <c r="AK44" i="29"/>
  <c r="R20" i="29"/>
  <c r="AJ44" i="29" a="1"/>
  <c r="AJ44" i="29"/>
  <c r="AI44" i="29" a="1"/>
  <c r="AI44" i="29"/>
  <c r="AH44" i="29" a="1"/>
  <c r="AH44" i="29"/>
  <c r="AG44" i="29" a="1"/>
  <c r="AG44" i="29"/>
  <c r="AF44" i="29" a="1"/>
  <c r="AF44" i="29"/>
  <c r="AE44" i="29" a="1"/>
  <c r="AE44" i="29"/>
  <c r="AD44" i="29" a="1"/>
  <c r="AD44" i="29"/>
  <c r="AC44" i="29" a="1"/>
  <c r="AC44" i="29"/>
  <c r="Q20" i="29"/>
  <c r="AB44" i="29" a="1"/>
  <c r="AB44" i="29"/>
  <c r="AA44" i="29" a="1"/>
  <c r="AA44" i="29"/>
  <c r="Z44" i="29" a="1"/>
  <c r="Z44" i="29"/>
  <c r="Y44" i="29" a="1"/>
  <c r="Y44" i="29"/>
  <c r="X44" i="29" a="1"/>
  <c r="X44" i="29"/>
  <c r="W44" i="29" a="1"/>
  <c r="W44" i="29"/>
  <c r="V44" i="29" a="1"/>
  <c r="V44" i="29"/>
  <c r="U44" i="29" a="1"/>
  <c r="U44" i="29"/>
  <c r="P20" i="29"/>
  <c r="BR41" i="29"/>
  <c r="BS40" i="29"/>
  <c r="BT40" i="29"/>
  <c r="BT41" i="29"/>
  <c r="BU40" i="29"/>
  <c r="BU41" i="29"/>
  <c r="BV40" i="29"/>
  <c r="BR42" i="29"/>
  <c r="BS42" i="29"/>
  <c r="BU42" i="29"/>
  <c r="BR43" i="29"/>
  <c r="BS43" i="29"/>
  <c r="BT43" i="29"/>
  <c r="T44" i="29" a="1"/>
  <c r="T44" i="29"/>
  <c r="S44" i="29" a="1"/>
  <c r="S44" i="29"/>
  <c r="R44" i="29" a="1"/>
  <c r="R44" i="29"/>
  <c r="Q44" i="29" a="1"/>
  <c r="Q44" i="29"/>
  <c r="P44" i="29" a="1"/>
  <c r="P44" i="29"/>
  <c r="M19" i="29"/>
  <c r="N19" i="29" a="1"/>
  <c r="N19" i="29"/>
  <c r="P19" i="29"/>
  <c r="O44" i="29" a="1"/>
  <c r="O44" i="29"/>
  <c r="M18" i="29"/>
  <c r="N18" i="29" a="1"/>
  <c r="N18" i="29"/>
  <c r="P18" i="29"/>
  <c r="N44" i="29" a="1"/>
  <c r="N44" i="29"/>
  <c r="M17" i="29"/>
  <c r="N17" i="29" a="1"/>
  <c r="N17" i="29"/>
  <c r="P17" i="29"/>
  <c r="M44" i="29" a="1"/>
  <c r="M44" i="29"/>
  <c r="O20" i="29"/>
  <c r="L44" i="29" a="1"/>
  <c r="L44" i="29"/>
  <c r="K44" i="29" a="1"/>
  <c r="K44" i="29"/>
  <c r="J44" i="29" a="1"/>
  <c r="J44" i="29"/>
  <c r="I44" i="29" a="1"/>
  <c r="I44" i="29"/>
  <c r="H44" i="29" a="1"/>
  <c r="H44" i="29"/>
  <c r="G44" i="29" a="1"/>
  <c r="G44" i="29"/>
  <c r="F44" i="29" a="1"/>
  <c r="F44" i="29"/>
  <c r="E44" i="29" a="1"/>
  <c r="E44" i="29"/>
  <c r="V19" i="29"/>
  <c r="BP43" i="29" a="1"/>
  <c r="BP43" i="29"/>
  <c r="BO43" i="29" a="1"/>
  <c r="BO43" i="29"/>
  <c r="BN43" i="29" a="1"/>
  <c r="BN43" i="29"/>
  <c r="BM43" i="29" a="1"/>
  <c r="BM43" i="29"/>
  <c r="BL43" i="29" a="1"/>
  <c r="BL43" i="29"/>
  <c r="BK43" i="29" a="1"/>
  <c r="BK43" i="29"/>
  <c r="BJ43" i="29" a="1"/>
  <c r="BJ43" i="29"/>
  <c r="BI43" i="29" a="1"/>
  <c r="BI43" i="29"/>
  <c r="U19" i="29"/>
  <c r="BH43" i="29" a="1"/>
  <c r="BH43" i="29"/>
  <c r="BG43" i="29" a="1"/>
  <c r="BG43" i="29"/>
  <c r="BF43" i="29" a="1"/>
  <c r="BF43" i="29"/>
  <c r="BE43" i="29" a="1"/>
  <c r="BE43" i="29"/>
  <c r="BD43" i="29" a="1"/>
  <c r="BD43" i="29"/>
  <c r="BC43" i="29" a="1"/>
  <c r="BC43" i="29"/>
  <c r="BB43" i="29" a="1"/>
  <c r="BB43" i="29"/>
  <c r="BA43" i="29" a="1"/>
  <c r="BA43" i="29"/>
  <c r="T19" i="29"/>
  <c r="AZ43" i="29" a="1"/>
  <c r="AZ43" i="29"/>
  <c r="AY43" i="29" a="1"/>
  <c r="AY43" i="29"/>
  <c r="AX43" i="29" a="1"/>
  <c r="AX43" i="29"/>
  <c r="AW43" i="29" a="1"/>
  <c r="AW43" i="29"/>
  <c r="AV43" i="29" a="1"/>
  <c r="AV43" i="29"/>
  <c r="AU43" i="29" a="1"/>
  <c r="AU43" i="29"/>
  <c r="AT43" i="29" a="1"/>
  <c r="AT43" i="29"/>
  <c r="AS43" i="29" a="1"/>
  <c r="AS43" i="29"/>
  <c r="S19" i="29"/>
  <c r="AR43" i="29" a="1"/>
  <c r="AR43" i="29"/>
  <c r="AQ43" i="29" a="1"/>
  <c r="AQ43" i="29"/>
  <c r="AP43" i="29" a="1"/>
  <c r="AP43" i="29"/>
  <c r="AO43" i="29" a="1"/>
  <c r="AO43" i="29"/>
  <c r="AN43" i="29" a="1"/>
  <c r="AN43" i="29"/>
  <c r="AM43" i="29" a="1"/>
  <c r="AM43" i="29"/>
  <c r="AL43" i="29" a="1"/>
  <c r="AL43" i="29"/>
  <c r="AK43" i="29" a="1"/>
  <c r="AK43" i="29"/>
  <c r="R19" i="29"/>
  <c r="AJ43" i="29" a="1"/>
  <c r="AJ43" i="29"/>
  <c r="AI43" i="29" a="1"/>
  <c r="AI43" i="29"/>
  <c r="AH43" i="29" a="1"/>
  <c r="AH43" i="29"/>
  <c r="AG43" i="29" a="1"/>
  <c r="AG43" i="29"/>
  <c r="AF43" i="29" a="1"/>
  <c r="AF43" i="29"/>
  <c r="AE43" i="29" a="1"/>
  <c r="AE43" i="29"/>
  <c r="AD43" i="29" a="1"/>
  <c r="AD43" i="29"/>
  <c r="AC43" i="29" a="1"/>
  <c r="AC43" i="29"/>
  <c r="Q19" i="29"/>
  <c r="AB43" i="29" a="1"/>
  <c r="AB43" i="29"/>
  <c r="AA43" i="29" a="1"/>
  <c r="AA43" i="29"/>
  <c r="Z43" i="29" a="1"/>
  <c r="Z43" i="29"/>
  <c r="Y43" i="29" a="1"/>
  <c r="Y43" i="29"/>
  <c r="X43" i="29" a="1"/>
  <c r="X43" i="29"/>
  <c r="W43" i="29" a="1"/>
  <c r="W43" i="29"/>
  <c r="V43" i="29" a="1"/>
  <c r="V43" i="29"/>
  <c r="U43" i="29" a="1"/>
  <c r="U43" i="29"/>
  <c r="T43" i="29" a="1"/>
  <c r="T43" i="29"/>
  <c r="S43" i="29" a="1"/>
  <c r="S43" i="29"/>
  <c r="R43" i="29" a="1"/>
  <c r="R43" i="29"/>
  <c r="Q43" i="29" a="1"/>
  <c r="Q43" i="29"/>
  <c r="P43" i="29" a="1"/>
  <c r="P43" i="29"/>
  <c r="O43" i="29" a="1"/>
  <c r="O43" i="29"/>
  <c r="N43" i="29" a="1"/>
  <c r="N43" i="29"/>
  <c r="M43" i="29" a="1"/>
  <c r="M43" i="29"/>
  <c r="O19" i="29"/>
  <c r="L43" i="29" a="1"/>
  <c r="L43" i="29"/>
  <c r="K43" i="29" a="1"/>
  <c r="K43" i="29"/>
  <c r="J43" i="29" a="1"/>
  <c r="J43" i="29"/>
  <c r="I43" i="29" a="1"/>
  <c r="I43" i="29"/>
  <c r="H43" i="29" a="1"/>
  <c r="H43" i="29"/>
  <c r="G43" i="29" a="1"/>
  <c r="G43" i="29"/>
  <c r="F43" i="29" a="1"/>
  <c r="F43" i="29"/>
  <c r="E43" i="29" a="1"/>
  <c r="E43" i="29"/>
  <c r="V18" i="29"/>
  <c r="BP42" i="29" a="1"/>
  <c r="BP42" i="29"/>
  <c r="BO42" i="29" a="1"/>
  <c r="BO42" i="29"/>
  <c r="BN42" i="29" a="1"/>
  <c r="BN42" i="29"/>
  <c r="BM42" i="29" a="1"/>
  <c r="BM42" i="29"/>
  <c r="BL42" i="29" a="1"/>
  <c r="BL42" i="29"/>
  <c r="BK42" i="29" a="1"/>
  <c r="BK42" i="29"/>
  <c r="BJ42" i="29" a="1"/>
  <c r="BJ42" i="29"/>
  <c r="BI42" i="29" a="1"/>
  <c r="BI42" i="29"/>
  <c r="U18" i="29"/>
  <c r="BH42" i="29" a="1"/>
  <c r="BH42" i="29"/>
  <c r="BG42" i="29" a="1"/>
  <c r="BG42" i="29"/>
  <c r="BF42" i="29" a="1"/>
  <c r="BF42" i="29"/>
  <c r="BE42" i="29" a="1"/>
  <c r="BE42" i="29"/>
  <c r="BD42" i="29" a="1"/>
  <c r="BD42" i="29"/>
  <c r="BC42" i="29" a="1"/>
  <c r="BC42" i="29"/>
  <c r="BB42" i="29" a="1"/>
  <c r="BB42" i="29"/>
  <c r="BA42" i="29" a="1"/>
  <c r="BA42" i="29"/>
  <c r="T18" i="29"/>
  <c r="AZ42" i="29" a="1"/>
  <c r="AZ42" i="29"/>
  <c r="AY42" i="29" a="1"/>
  <c r="AY42" i="29"/>
  <c r="AX42" i="29" a="1"/>
  <c r="AX42" i="29"/>
  <c r="AW42" i="29" a="1"/>
  <c r="AW42" i="29"/>
  <c r="AV42" i="29" a="1"/>
  <c r="AV42" i="29"/>
  <c r="AU42" i="29" a="1"/>
  <c r="AU42" i="29"/>
  <c r="AT42" i="29" a="1"/>
  <c r="AT42" i="29"/>
  <c r="AS42" i="29" a="1"/>
  <c r="AS42" i="29"/>
  <c r="S18" i="29"/>
  <c r="AR42" i="29" a="1"/>
  <c r="AR42" i="29"/>
  <c r="AQ42" i="29" a="1"/>
  <c r="AQ42" i="29"/>
  <c r="AP42" i="29" a="1"/>
  <c r="AP42" i="29"/>
  <c r="AO42" i="29" a="1"/>
  <c r="AO42" i="29"/>
  <c r="AN42" i="29" a="1"/>
  <c r="AN42" i="29"/>
  <c r="AM42" i="29" a="1"/>
  <c r="AM42" i="29"/>
  <c r="AL42" i="29" a="1"/>
  <c r="AL42" i="29"/>
  <c r="AK42" i="29" a="1"/>
  <c r="AK42" i="29"/>
  <c r="R18" i="29"/>
  <c r="AJ42" i="29" a="1"/>
  <c r="AJ42" i="29"/>
  <c r="AI42" i="29" a="1"/>
  <c r="AI42" i="29"/>
  <c r="AH42" i="29" a="1"/>
  <c r="AH42" i="29"/>
  <c r="AG42" i="29" a="1"/>
  <c r="AG42" i="29"/>
  <c r="AF42" i="29" a="1"/>
  <c r="AF42" i="29"/>
  <c r="AE42" i="29" a="1"/>
  <c r="AE42" i="29"/>
  <c r="AD42" i="29" a="1"/>
  <c r="AD42" i="29"/>
  <c r="AC42" i="29" a="1"/>
  <c r="AC42" i="29"/>
  <c r="Q18" i="29"/>
  <c r="AB42" i="29" a="1"/>
  <c r="AB42" i="29"/>
  <c r="AA42" i="29" a="1"/>
  <c r="AA42" i="29"/>
  <c r="Z42" i="29" a="1"/>
  <c r="Z42" i="29"/>
  <c r="Y42" i="29" a="1"/>
  <c r="Y42" i="29"/>
  <c r="X42" i="29" a="1"/>
  <c r="X42" i="29"/>
  <c r="W42" i="29" a="1"/>
  <c r="W42" i="29"/>
  <c r="V42" i="29" a="1"/>
  <c r="V42" i="29"/>
  <c r="U42" i="29" a="1"/>
  <c r="U42" i="29"/>
  <c r="T42" i="29" a="1"/>
  <c r="T42" i="29"/>
  <c r="S42" i="29" a="1"/>
  <c r="S42" i="29"/>
  <c r="R42" i="29" a="1"/>
  <c r="R42" i="29"/>
  <c r="Q42" i="29" a="1"/>
  <c r="Q42" i="29"/>
  <c r="P42" i="29" a="1"/>
  <c r="P42" i="29"/>
  <c r="O42" i="29" a="1"/>
  <c r="O42" i="29"/>
  <c r="N42" i="29" a="1"/>
  <c r="N42" i="29"/>
  <c r="M42" i="29" a="1"/>
  <c r="M42" i="29"/>
  <c r="O18" i="29"/>
  <c r="L42" i="29" a="1"/>
  <c r="L42" i="29"/>
  <c r="K42" i="29" a="1"/>
  <c r="K42" i="29"/>
  <c r="J42" i="29" a="1"/>
  <c r="J42" i="29"/>
  <c r="I42" i="29" a="1"/>
  <c r="I42" i="29"/>
  <c r="H42" i="29" a="1"/>
  <c r="H42" i="29"/>
  <c r="G42" i="29" a="1"/>
  <c r="G42" i="29"/>
  <c r="F42" i="29" a="1"/>
  <c r="F42" i="29"/>
  <c r="E42" i="29" a="1"/>
  <c r="E42" i="29"/>
  <c r="V17" i="29"/>
  <c r="BP41" i="29" a="1"/>
  <c r="BP41" i="29"/>
  <c r="BO41" i="29" a="1"/>
  <c r="BO41" i="29"/>
  <c r="BN41" i="29" a="1"/>
  <c r="BN41" i="29"/>
  <c r="BM41" i="29" a="1"/>
  <c r="BM41" i="29"/>
  <c r="BL41" i="29" a="1"/>
  <c r="BL41" i="29"/>
  <c r="BK41" i="29" a="1"/>
  <c r="BK41" i="29"/>
  <c r="BJ41" i="29" a="1"/>
  <c r="BJ41" i="29"/>
  <c r="BI41" i="29" a="1"/>
  <c r="BI41" i="29"/>
  <c r="U17" i="29"/>
  <c r="BH41" i="29" a="1"/>
  <c r="BH41" i="29"/>
  <c r="BG41" i="29" a="1"/>
  <c r="BG41" i="29"/>
  <c r="BF41" i="29" a="1"/>
  <c r="BF41" i="29"/>
  <c r="BE41" i="29" a="1"/>
  <c r="BE41" i="29"/>
  <c r="BD41" i="29" a="1"/>
  <c r="BD41" i="29"/>
  <c r="BC41" i="29" a="1"/>
  <c r="BC41" i="29"/>
  <c r="BB41" i="29" a="1"/>
  <c r="BB41" i="29"/>
  <c r="BA41" i="29" a="1"/>
  <c r="BA41" i="29"/>
  <c r="T17" i="29"/>
  <c r="AZ41" i="29" a="1"/>
  <c r="AZ41" i="29"/>
  <c r="AY41" i="29" a="1"/>
  <c r="AY41" i="29"/>
  <c r="AX41" i="29" a="1"/>
  <c r="AX41" i="29"/>
  <c r="AW41" i="29" a="1"/>
  <c r="AW41" i="29"/>
  <c r="AV41" i="29" a="1"/>
  <c r="AV41" i="29"/>
  <c r="AU41" i="29" a="1"/>
  <c r="AU41" i="29"/>
  <c r="AT41" i="29" a="1"/>
  <c r="AT41" i="29"/>
  <c r="AS41" i="29" a="1"/>
  <c r="AS41" i="29"/>
  <c r="S17" i="29"/>
  <c r="AR41" i="29" a="1"/>
  <c r="AR41" i="29"/>
  <c r="AQ41" i="29" a="1"/>
  <c r="AQ41" i="29"/>
  <c r="AP41" i="29" a="1"/>
  <c r="AP41" i="29"/>
  <c r="AO41" i="29" a="1"/>
  <c r="AO41" i="29"/>
  <c r="AN41" i="29" a="1"/>
  <c r="AN41" i="29"/>
  <c r="AM41" i="29" a="1"/>
  <c r="AM41" i="29"/>
  <c r="AL41" i="29" a="1"/>
  <c r="AL41" i="29"/>
  <c r="AK41" i="29" a="1"/>
  <c r="AK41" i="29"/>
  <c r="R17" i="29"/>
  <c r="AJ41" i="29" a="1"/>
  <c r="AJ41" i="29"/>
  <c r="AI41" i="29" a="1"/>
  <c r="AI41" i="29"/>
  <c r="AH41" i="29" a="1"/>
  <c r="AH41" i="29"/>
  <c r="AG41" i="29" a="1"/>
  <c r="AG41" i="29"/>
  <c r="AF41" i="29" a="1"/>
  <c r="AF41" i="29"/>
  <c r="AE41" i="29" a="1"/>
  <c r="AE41" i="29"/>
  <c r="AD41" i="29" a="1"/>
  <c r="AD41" i="29"/>
  <c r="AC41" i="29" a="1"/>
  <c r="AC41" i="29"/>
  <c r="Q17" i="29"/>
  <c r="AB41" i="29" a="1"/>
  <c r="AB41" i="29"/>
  <c r="AA41" i="29" a="1"/>
  <c r="AA41" i="29"/>
  <c r="Z41" i="29" a="1"/>
  <c r="Z41" i="29"/>
  <c r="Y41" i="29" a="1"/>
  <c r="Y41" i="29"/>
  <c r="X41" i="29" a="1"/>
  <c r="X41" i="29"/>
  <c r="W41" i="29" a="1"/>
  <c r="W41" i="29"/>
  <c r="V41" i="29" a="1"/>
  <c r="V41" i="29"/>
  <c r="U41" i="29" a="1"/>
  <c r="U41" i="29"/>
  <c r="T41" i="29" a="1"/>
  <c r="T41" i="29"/>
  <c r="S41" i="29" a="1"/>
  <c r="S41" i="29"/>
  <c r="R41" i="29" a="1"/>
  <c r="R41" i="29"/>
  <c r="Q41" i="29" a="1"/>
  <c r="Q41" i="29"/>
  <c r="P41" i="29" a="1"/>
  <c r="P41" i="29"/>
  <c r="O41" i="29" a="1"/>
  <c r="O41" i="29"/>
  <c r="N41" i="29" a="1"/>
  <c r="N41" i="29"/>
  <c r="M41" i="29" a="1"/>
  <c r="M41" i="29"/>
  <c r="O17" i="29"/>
  <c r="L41" i="29" a="1"/>
  <c r="L41" i="29"/>
  <c r="K41" i="29" a="1"/>
  <c r="K41" i="29"/>
  <c r="J41" i="29" a="1"/>
  <c r="J41" i="29"/>
  <c r="I41" i="29" a="1"/>
  <c r="I41" i="29"/>
  <c r="H41" i="29" a="1"/>
  <c r="H41" i="29"/>
  <c r="G41" i="29" a="1"/>
  <c r="G41" i="29"/>
  <c r="F41" i="29" a="1"/>
  <c r="F41" i="29"/>
  <c r="E41" i="29" a="1"/>
  <c r="E41" i="29"/>
  <c r="CA40" i="29"/>
  <c r="BZ40" i="29"/>
  <c r="BY40" i="29"/>
  <c r="BX40" i="29"/>
  <c r="BW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BP35" i="29" a="1"/>
  <c r="BP35" i="29"/>
  <c r="BO35" i="29" a="1"/>
  <c r="BO35" i="29"/>
  <c r="BN35" i="29" a="1"/>
  <c r="BN35" i="29"/>
  <c r="BM35" i="29" a="1"/>
  <c r="BM35" i="29"/>
  <c r="BL35" i="29" a="1"/>
  <c r="BL35" i="29"/>
  <c r="BK35" i="29" a="1"/>
  <c r="BK35" i="29"/>
  <c r="BJ35" i="29" a="1"/>
  <c r="BJ35" i="29"/>
  <c r="BI35" i="29" a="1"/>
  <c r="BI35" i="29"/>
  <c r="BH35" i="29" a="1"/>
  <c r="BH35" i="29"/>
  <c r="BG35" i="29" a="1"/>
  <c r="BG35" i="29"/>
  <c r="BF35" i="29" a="1"/>
  <c r="BF35" i="29"/>
  <c r="BE35" i="29" a="1"/>
  <c r="BE35" i="29"/>
  <c r="BD35" i="29" a="1"/>
  <c r="BD35" i="29"/>
  <c r="BC35" i="29" a="1"/>
  <c r="BC35" i="29"/>
  <c r="BB35" i="29" a="1"/>
  <c r="BB35" i="29"/>
  <c r="BA35" i="29" a="1"/>
  <c r="BA35" i="29"/>
  <c r="AZ35" i="29" a="1"/>
  <c r="AZ35" i="29"/>
  <c r="AY35" i="29" a="1"/>
  <c r="AY35" i="29"/>
  <c r="AX35" i="29" a="1"/>
  <c r="AX35" i="29"/>
  <c r="AW35" i="29" a="1"/>
  <c r="AW35" i="29"/>
  <c r="AV35" i="29" a="1"/>
  <c r="AV35" i="29"/>
  <c r="AU35" i="29" a="1"/>
  <c r="AU35" i="29"/>
  <c r="AT35" i="29" a="1"/>
  <c r="AT35" i="29"/>
  <c r="AS35" i="29" a="1"/>
  <c r="AS35" i="29"/>
  <c r="AR35" i="29" a="1"/>
  <c r="AR35" i="29"/>
  <c r="AQ35" i="29" a="1"/>
  <c r="AQ35" i="29"/>
  <c r="AP35" i="29" a="1"/>
  <c r="AP35" i="29"/>
  <c r="AO35" i="29" a="1"/>
  <c r="AO35" i="29"/>
  <c r="AN35" i="29" a="1"/>
  <c r="AN35" i="29"/>
  <c r="AM35" i="29" a="1"/>
  <c r="AM35" i="29"/>
  <c r="AL35" i="29" a="1"/>
  <c r="AL35" i="29"/>
  <c r="AK35" i="29" a="1"/>
  <c r="AK35" i="29"/>
  <c r="AJ35" i="29" a="1"/>
  <c r="AJ35" i="29"/>
  <c r="AI35" i="29" a="1"/>
  <c r="AI35" i="29"/>
  <c r="AH35" i="29" a="1"/>
  <c r="AH35" i="29"/>
  <c r="AG35" i="29" a="1"/>
  <c r="AG35" i="29"/>
  <c r="AF35" i="29" a="1"/>
  <c r="AF35" i="29"/>
  <c r="AE35" i="29" a="1"/>
  <c r="AE35" i="29"/>
  <c r="AD35" i="29" a="1"/>
  <c r="AD35" i="29"/>
  <c r="AC35" i="29" a="1"/>
  <c r="AC35" i="29"/>
  <c r="AB35" i="29" a="1"/>
  <c r="AB35" i="29"/>
  <c r="AA35" i="29" a="1"/>
  <c r="AA35" i="29"/>
  <c r="Z35" i="29" a="1"/>
  <c r="Z35" i="29"/>
  <c r="Y35" i="29" a="1"/>
  <c r="Y35" i="29"/>
  <c r="X35" i="29" a="1"/>
  <c r="X35" i="29"/>
  <c r="W35" i="29" a="1"/>
  <c r="W35" i="29"/>
  <c r="V35" i="29" a="1"/>
  <c r="V35" i="29"/>
  <c r="U35" i="29" a="1"/>
  <c r="U35" i="29"/>
  <c r="T35" i="29" a="1"/>
  <c r="T35" i="29"/>
  <c r="S35" i="29" a="1"/>
  <c r="S35" i="29"/>
  <c r="R35" i="29" a="1"/>
  <c r="R35" i="29"/>
  <c r="Q35" i="29" a="1"/>
  <c r="Q35" i="29"/>
  <c r="P35" i="29" a="1"/>
  <c r="P35" i="29"/>
  <c r="O35" i="29" a="1"/>
  <c r="O35" i="29"/>
  <c r="N35" i="29" a="1"/>
  <c r="N35" i="29"/>
  <c r="M35" i="29" a="1"/>
  <c r="M35" i="29"/>
  <c r="L35" i="29" a="1"/>
  <c r="L35" i="29"/>
  <c r="K35" i="29" a="1"/>
  <c r="K35" i="29"/>
  <c r="J35" i="29" a="1"/>
  <c r="J35" i="29"/>
  <c r="I35" i="29" a="1"/>
  <c r="I35" i="29"/>
  <c r="H35" i="29" a="1"/>
  <c r="H35" i="29"/>
  <c r="G35" i="29" a="1"/>
  <c r="G35" i="29"/>
  <c r="F35" i="29" a="1"/>
  <c r="F35" i="29"/>
  <c r="E35" i="29" a="1"/>
  <c r="E35" i="29"/>
  <c r="C35" i="29"/>
  <c r="BP34" i="29" a="1"/>
  <c r="BP34" i="29"/>
  <c r="BO34" i="29" a="1"/>
  <c r="BO34" i="29"/>
  <c r="BN34" i="29" a="1"/>
  <c r="BN34" i="29"/>
  <c r="BM34" i="29" a="1"/>
  <c r="BM34" i="29"/>
  <c r="BL34" i="29" a="1"/>
  <c r="BL34" i="29"/>
  <c r="BK34" i="29" a="1"/>
  <c r="BK34" i="29"/>
  <c r="BJ34" i="29" a="1"/>
  <c r="BJ34" i="29"/>
  <c r="BI34" i="29" a="1"/>
  <c r="BI34" i="29"/>
  <c r="BH34" i="29" a="1"/>
  <c r="BH34" i="29"/>
  <c r="BG34" i="29" a="1"/>
  <c r="BG34" i="29"/>
  <c r="BF34" i="29" a="1"/>
  <c r="BF34" i="29"/>
  <c r="BE34" i="29" a="1"/>
  <c r="BE34" i="29"/>
  <c r="BD34" i="29" a="1"/>
  <c r="BD34" i="29"/>
  <c r="BC34" i="29" a="1"/>
  <c r="BC34" i="29"/>
  <c r="BB34" i="29" a="1"/>
  <c r="BB34" i="29"/>
  <c r="BA34" i="29" a="1"/>
  <c r="BA34" i="29"/>
  <c r="AZ34" i="29" a="1"/>
  <c r="AZ34" i="29"/>
  <c r="AY34" i="29" a="1"/>
  <c r="AY34" i="29"/>
  <c r="AX34" i="29" a="1"/>
  <c r="AX34" i="29"/>
  <c r="AW34" i="29" a="1"/>
  <c r="AW34" i="29"/>
  <c r="AV34" i="29" a="1"/>
  <c r="AV34" i="29"/>
  <c r="AU34" i="29" a="1"/>
  <c r="AU34" i="29"/>
  <c r="AT34" i="29" a="1"/>
  <c r="AT34" i="29"/>
  <c r="AS34" i="29" a="1"/>
  <c r="AS34" i="29"/>
  <c r="AR34" i="29" a="1"/>
  <c r="AR34" i="29"/>
  <c r="AQ34" i="29" a="1"/>
  <c r="AQ34" i="29"/>
  <c r="AP34" i="29" a="1"/>
  <c r="AP34" i="29"/>
  <c r="AO34" i="29" a="1"/>
  <c r="AO34" i="29"/>
  <c r="AN34" i="29" a="1"/>
  <c r="AN34" i="29"/>
  <c r="AM34" i="29" a="1"/>
  <c r="AM34" i="29"/>
  <c r="AL34" i="29" a="1"/>
  <c r="AL34" i="29"/>
  <c r="AK34" i="29" a="1"/>
  <c r="AK34" i="29"/>
  <c r="AJ34" i="29" a="1"/>
  <c r="AJ34" i="29"/>
  <c r="AI34" i="29" a="1"/>
  <c r="AI34" i="29"/>
  <c r="AH34" i="29" a="1"/>
  <c r="AH34" i="29"/>
  <c r="AG34" i="29" a="1"/>
  <c r="AG34" i="29"/>
  <c r="AF34" i="29" a="1"/>
  <c r="AF34" i="29"/>
  <c r="AE34" i="29" a="1"/>
  <c r="AE34" i="29"/>
  <c r="AD34" i="29" a="1"/>
  <c r="AD34" i="29"/>
  <c r="AC34" i="29" a="1"/>
  <c r="AC34" i="29"/>
  <c r="AB34" i="29" a="1"/>
  <c r="AB34" i="29"/>
  <c r="AA34" i="29" a="1"/>
  <c r="AA34" i="29"/>
  <c r="Z34" i="29" a="1"/>
  <c r="Z34" i="29"/>
  <c r="Y34" i="29" a="1"/>
  <c r="Y34" i="29"/>
  <c r="X34" i="29" a="1"/>
  <c r="X34" i="29"/>
  <c r="W34" i="29" a="1"/>
  <c r="W34" i="29"/>
  <c r="V34" i="29" a="1"/>
  <c r="V34" i="29"/>
  <c r="U34" i="29" a="1"/>
  <c r="U34" i="29"/>
  <c r="T34" i="29" a="1"/>
  <c r="T34" i="29"/>
  <c r="S34" i="29" a="1"/>
  <c r="S34" i="29"/>
  <c r="R34" i="29" a="1"/>
  <c r="R34" i="29"/>
  <c r="Q34" i="29" a="1"/>
  <c r="Q34" i="29"/>
  <c r="P34" i="29" a="1"/>
  <c r="P34" i="29"/>
  <c r="O34" i="29" a="1"/>
  <c r="O34" i="29"/>
  <c r="N34" i="29" a="1"/>
  <c r="N34" i="29"/>
  <c r="M34" i="29" a="1"/>
  <c r="M34" i="29"/>
  <c r="L34" i="29" a="1"/>
  <c r="L34" i="29"/>
  <c r="K34" i="29" a="1"/>
  <c r="K34" i="29"/>
  <c r="J34" i="29" a="1"/>
  <c r="J34" i="29"/>
  <c r="I34" i="29" a="1"/>
  <c r="I34" i="29"/>
  <c r="H34" i="29" a="1"/>
  <c r="H34" i="29"/>
  <c r="G34" i="29" a="1"/>
  <c r="G34" i="29"/>
  <c r="F34" i="29" a="1"/>
  <c r="F34" i="29"/>
  <c r="E34" i="29" a="1"/>
  <c r="E34" i="29"/>
  <c r="C34" i="29"/>
  <c r="BP33" i="29" a="1"/>
  <c r="BP33" i="29"/>
  <c r="BO33" i="29" a="1"/>
  <c r="BO33" i="29"/>
  <c r="BN33" i="29" a="1"/>
  <c r="BN33" i="29"/>
  <c r="BM33" i="29" a="1"/>
  <c r="BM33" i="29"/>
  <c r="BL33" i="29" a="1"/>
  <c r="BL33" i="29"/>
  <c r="BK33" i="29" a="1"/>
  <c r="BK33" i="29"/>
  <c r="BJ33" i="29" a="1"/>
  <c r="BJ33" i="29"/>
  <c r="BI33" i="29" a="1"/>
  <c r="BI33" i="29"/>
  <c r="BH33" i="29" a="1"/>
  <c r="BH33" i="29"/>
  <c r="BG33" i="29" a="1"/>
  <c r="BG33" i="29"/>
  <c r="BF33" i="29" a="1"/>
  <c r="BF33" i="29"/>
  <c r="BE33" i="29" a="1"/>
  <c r="BE33" i="29"/>
  <c r="BD33" i="29" a="1"/>
  <c r="BD33" i="29"/>
  <c r="BC33" i="29" a="1"/>
  <c r="BC33" i="29"/>
  <c r="BB33" i="29" a="1"/>
  <c r="BB33" i="29"/>
  <c r="BA33" i="29" a="1"/>
  <c r="BA33" i="29"/>
  <c r="AZ33" i="29" a="1"/>
  <c r="AZ33" i="29"/>
  <c r="AY33" i="29" a="1"/>
  <c r="AY33" i="29"/>
  <c r="AX33" i="29" a="1"/>
  <c r="AX33" i="29"/>
  <c r="AW33" i="29" a="1"/>
  <c r="AW33" i="29"/>
  <c r="AV33" i="29" a="1"/>
  <c r="AV33" i="29"/>
  <c r="AU33" i="29" a="1"/>
  <c r="AU33" i="29"/>
  <c r="AT33" i="29" a="1"/>
  <c r="AT33" i="29"/>
  <c r="AS33" i="29" a="1"/>
  <c r="AS33" i="29"/>
  <c r="AR33" i="29" a="1"/>
  <c r="AR33" i="29"/>
  <c r="AQ33" i="29" a="1"/>
  <c r="AQ33" i="29"/>
  <c r="AP33" i="29" a="1"/>
  <c r="AP33" i="29"/>
  <c r="AO33" i="29" a="1"/>
  <c r="AO33" i="29"/>
  <c r="AN33" i="29" a="1"/>
  <c r="AN33" i="29"/>
  <c r="AM33" i="29" a="1"/>
  <c r="AM33" i="29"/>
  <c r="AL33" i="29" a="1"/>
  <c r="AL33" i="29"/>
  <c r="AK33" i="29" a="1"/>
  <c r="AK33" i="29"/>
  <c r="AJ33" i="29" a="1"/>
  <c r="AJ33" i="29"/>
  <c r="AI33" i="29" a="1"/>
  <c r="AI33" i="29"/>
  <c r="AH33" i="29" a="1"/>
  <c r="AH33" i="29"/>
  <c r="AG33" i="29" a="1"/>
  <c r="AG33" i="29"/>
  <c r="AF33" i="29" a="1"/>
  <c r="AF33" i="29"/>
  <c r="AE33" i="29" a="1"/>
  <c r="AE33" i="29"/>
  <c r="AD33" i="29" a="1"/>
  <c r="AD33" i="29"/>
  <c r="AC33" i="29" a="1"/>
  <c r="AC33" i="29"/>
  <c r="AB33" i="29" a="1"/>
  <c r="AB33" i="29"/>
  <c r="AA33" i="29" a="1"/>
  <c r="AA33" i="29"/>
  <c r="Z33" i="29" a="1"/>
  <c r="Z33" i="29"/>
  <c r="Y33" i="29" a="1"/>
  <c r="Y33" i="29"/>
  <c r="X33" i="29" a="1"/>
  <c r="X33" i="29"/>
  <c r="W33" i="29" a="1"/>
  <c r="W33" i="29"/>
  <c r="V33" i="29" a="1"/>
  <c r="V33" i="29"/>
  <c r="U33" i="29" a="1"/>
  <c r="U33" i="29"/>
  <c r="T33" i="29" a="1"/>
  <c r="T33" i="29"/>
  <c r="S33" i="29" a="1"/>
  <c r="S33" i="29"/>
  <c r="R33" i="29" a="1"/>
  <c r="R33" i="29"/>
  <c r="Q33" i="29" a="1"/>
  <c r="Q33" i="29"/>
  <c r="P33" i="29" a="1"/>
  <c r="P33" i="29"/>
  <c r="O33" i="29" a="1"/>
  <c r="O33" i="29"/>
  <c r="N33" i="29" a="1"/>
  <c r="N33" i="29"/>
  <c r="M33" i="29" a="1"/>
  <c r="M33" i="29"/>
  <c r="L33" i="29" a="1"/>
  <c r="L33" i="29"/>
  <c r="K33" i="29" a="1"/>
  <c r="K33" i="29"/>
  <c r="J33" i="29" a="1"/>
  <c r="J33" i="29"/>
  <c r="I33" i="29" a="1"/>
  <c r="I33" i="29"/>
  <c r="H33" i="29" a="1"/>
  <c r="H33" i="29"/>
  <c r="G33" i="29" a="1"/>
  <c r="G33" i="29"/>
  <c r="F33" i="29" a="1"/>
  <c r="F33" i="29"/>
  <c r="E33" i="29" a="1"/>
  <c r="E33" i="29"/>
  <c r="C33" i="29"/>
  <c r="BP32" i="29" a="1"/>
  <c r="BP32" i="29"/>
  <c r="BO32" i="29" a="1"/>
  <c r="BO32" i="29"/>
  <c r="BN32" i="29" a="1"/>
  <c r="BN32" i="29"/>
  <c r="BM32" i="29" a="1"/>
  <c r="BM32" i="29"/>
  <c r="BL32" i="29" a="1"/>
  <c r="BL32" i="29"/>
  <c r="BK32" i="29" a="1"/>
  <c r="BK32" i="29"/>
  <c r="BJ32" i="29" a="1"/>
  <c r="BJ32" i="29"/>
  <c r="BI32" i="29" a="1"/>
  <c r="BI32" i="29"/>
  <c r="BH32" i="29" a="1"/>
  <c r="BH32" i="29"/>
  <c r="BG32" i="29" a="1"/>
  <c r="BG32" i="29"/>
  <c r="BF32" i="29" a="1"/>
  <c r="BF32" i="29"/>
  <c r="BE32" i="29" a="1"/>
  <c r="BE32" i="29"/>
  <c r="BD32" i="29" a="1"/>
  <c r="BD32" i="29"/>
  <c r="BC32" i="29" a="1"/>
  <c r="BC32" i="29"/>
  <c r="BB32" i="29" a="1"/>
  <c r="BB32" i="29"/>
  <c r="BA32" i="29" a="1"/>
  <c r="BA32" i="29"/>
  <c r="AZ32" i="29" a="1"/>
  <c r="AZ32" i="29"/>
  <c r="AY32" i="29" a="1"/>
  <c r="AY32" i="29"/>
  <c r="AX32" i="29" a="1"/>
  <c r="AX32" i="29"/>
  <c r="AW32" i="29" a="1"/>
  <c r="AW32" i="29"/>
  <c r="AV32" i="29" a="1"/>
  <c r="AV32" i="29"/>
  <c r="AU32" i="29" a="1"/>
  <c r="AU32" i="29"/>
  <c r="AT32" i="29" a="1"/>
  <c r="AT32" i="29"/>
  <c r="AS32" i="29" a="1"/>
  <c r="AS32" i="29"/>
  <c r="AR32" i="29" a="1"/>
  <c r="AR32" i="29"/>
  <c r="AQ32" i="29" a="1"/>
  <c r="AQ32" i="29"/>
  <c r="AP32" i="29" a="1"/>
  <c r="AP32" i="29"/>
  <c r="AO32" i="29" a="1"/>
  <c r="AO32" i="29"/>
  <c r="AN32" i="29" a="1"/>
  <c r="AN32" i="29"/>
  <c r="AM32" i="29" a="1"/>
  <c r="AM32" i="29"/>
  <c r="AL32" i="29" a="1"/>
  <c r="AL32" i="29"/>
  <c r="AK32" i="29" a="1"/>
  <c r="AK32" i="29"/>
  <c r="AJ32" i="29" a="1"/>
  <c r="AJ32" i="29"/>
  <c r="AI32" i="29" a="1"/>
  <c r="AI32" i="29"/>
  <c r="AH32" i="29" a="1"/>
  <c r="AH32" i="29"/>
  <c r="AG32" i="29" a="1"/>
  <c r="AG32" i="29"/>
  <c r="AF32" i="29" a="1"/>
  <c r="AF32" i="29"/>
  <c r="AE32" i="29" a="1"/>
  <c r="AE32" i="29"/>
  <c r="AD32" i="29" a="1"/>
  <c r="AD32" i="29"/>
  <c r="AC32" i="29" a="1"/>
  <c r="AC32" i="29"/>
  <c r="AB32" i="29" a="1"/>
  <c r="AB32" i="29"/>
  <c r="AA32" i="29" a="1"/>
  <c r="AA32" i="29"/>
  <c r="Z32" i="29" a="1"/>
  <c r="Z32" i="29"/>
  <c r="Y32" i="29" a="1"/>
  <c r="Y32" i="29"/>
  <c r="X32" i="29" a="1"/>
  <c r="X32" i="29"/>
  <c r="W32" i="29" a="1"/>
  <c r="W32" i="29"/>
  <c r="V32" i="29" a="1"/>
  <c r="V32" i="29"/>
  <c r="U32" i="29" a="1"/>
  <c r="U32" i="29"/>
  <c r="T32" i="29" a="1"/>
  <c r="T32" i="29"/>
  <c r="S32" i="29" a="1"/>
  <c r="S32" i="29"/>
  <c r="R32" i="29" a="1"/>
  <c r="R32" i="29"/>
  <c r="Q32" i="29" a="1"/>
  <c r="Q32" i="29"/>
  <c r="P32" i="29" a="1"/>
  <c r="P32" i="29"/>
  <c r="O32" i="29" a="1"/>
  <c r="O32" i="29"/>
  <c r="N32" i="29" a="1"/>
  <c r="N32" i="29"/>
  <c r="M32" i="29" a="1"/>
  <c r="M32" i="29"/>
  <c r="L32" i="29" a="1"/>
  <c r="L32" i="29"/>
  <c r="K32" i="29" a="1"/>
  <c r="K32" i="29"/>
  <c r="J32" i="29" a="1"/>
  <c r="J32" i="29"/>
  <c r="I32" i="29" a="1"/>
  <c r="I32" i="29"/>
  <c r="H32" i="29" a="1"/>
  <c r="H32" i="29"/>
  <c r="G32" i="29" a="1"/>
  <c r="G32" i="29"/>
  <c r="F32" i="29" a="1"/>
  <c r="F32" i="29"/>
  <c r="E32" i="29" a="1"/>
  <c r="E32" i="29"/>
  <c r="C32" i="29"/>
  <c r="BP31" i="29" a="1"/>
  <c r="BP31" i="29"/>
  <c r="BO31" i="29" a="1"/>
  <c r="BO31" i="29"/>
  <c r="BN31" i="29" a="1"/>
  <c r="BN31" i="29"/>
  <c r="BM31" i="29" a="1"/>
  <c r="BM31" i="29"/>
  <c r="BL31" i="29" a="1"/>
  <c r="BL31" i="29"/>
  <c r="BK31" i="29" a="1"/>
  <c r="BK31" i="29"/>
  <c r="BJ31" i="29" a="1"/>
  <c r="BJ31" i="29"/>
  <c r="BI31" i="29" a="1"/>
  <c r="BI31" i="29"/>
  <c r="BH31" i="29" a="1"/>
  <c r="BH31" i="29"/>
  <c r="BG31" i="29" a="1"/>
  <c r="BG31" i="29"/>
  <c r="BF31" i="29" a="1"/>
  <c r="BF31" i="29"/>
  <c r="BE31" i="29" a="1"/>
  <c r="BE31" i="29"/>
  <c r="BD31" i="29" a="1"/>
  <c r="BD31" i="29"/>
  <c r="BC31" i="29" a="1"/>
  <c r="BC31" i="29"/>
  <c r="BB31" i="29" a="1"/>
  <c r="BB31" i="29"/>
  <c r="BA31" i="29" a="1"/>
  <c r="BA31" i="29"/>
  <c r="AZ31" i="29" a="1"/>
  <c r="AZ31" i="29"/>
  <c r="AY31" i="29" a="1"/>
  <c r="AY31" i="29"/>
  <c r="AX31" i="29" a="1"/>
  <c r="AX31" i="29"/>
  <c r="AW31" i="29" a="1"/>
  <c r="AW31" i="29"/>
  <c r="AV31" i="29" a="1"/>
  <c r="AV31" i="29"/>
  <c r="AU31" i="29" a="1"/>
  <c r="AU31" i="29"/>
  <c r="AT31" i="29" a="1"/>
  <c r="AT31" i="29"/>
  <c r="AS31" i="29" a="1"/>
  <c r="AS31" i="29"/>
  <c r="AR31" i="29" a="1"/>
  <c r="AR31" i="29"/>
  <c r="AQ31" i="29" a="1"/>
  <c r="AQ31" i="29"/>
  <c r="AP31" i="29" a="1"/>
  <c r="AP31" i="29"/>
  <c r="AO31" i="29" a="1"/>
  <c r="AO31" i="29"/>
  <c r="AN31" i="29" a="1"/>
  <c r="AN31" i="29"/>
  <c r="AM31" i="29" a="1"/>
  <c r="AM31" i="29"/>
  <c r="AL31" i="29" a="1"/>
  <c r="AL31" i="29"/>
  <c r="AK31" i="29" a="1"/>
  <c r="AK31" i="29"/>
  <c r="AJ31" i="29" a="1"/>
  <c r="AJ31" i="29"/>
  <c r="AI31" i="29" a="1"/>
  <c r="AI31" i="29"/>
  <c r="AH31" i="29" a="1"/>
  <c r="AH31" i="29"/>
  <c r="AG31" i="29" a="1"/>
  <c r="AG31" i="29"/>
  <c r="AF31" i="29" a="1"/>
  <c r="AF31" i="29"/>
  <c r="AE31" i="29" a="1"/>
  <c r="AE31" i="29"/>
  <c r="AD31" i="29" a="1"/>
  <c r="AD31" i="29"/>
  <c r="AC31" i="29" a="1"/>
  <c r="AC31" i="29"/>
  <c r="AB31" i="29" a="1"/>
  <c r="AB31" i="29"/>
  <c r="AA31" i="29" a="1"/>
  <c r="AA31" i="29"/>
  <c r="Z31" i="29" a="1"/>
  <c r="Z31" i="29"/>
  <c r="Y31" i="29" a="1"/>
  <c r="Y31" i="29"/>
  <c r="X31" i="29" a="1"/>
  <c r="X31" i="29"/>
  <c r="W31" i="29" a="1"/>
  <c r="W31" i="29"/>
  <c r="V31" i="29" a="1"/>
  <c r="V31" i="29"/>
  <c r="U31" i="29" a="1"/>
  <c r="U31" i="29"/>
  <c r="T31" i="29" a="1"/>
  <c r="T31" i="29"/>
  <c r="S31" i="29" a="1"/>
  <c r="S31" i="29"/>
  <c r="R31" i="29" a="1"/>
  <c r="R31" i="29"/>
  <c r="Q31" i="29" a="1"/>
  <c r="Q31" i="29"/>
  <c r="P31" i="29" a="1"/>
  <c r="P31" i="29"/>
  <c r="O31" i="29" a="1"/>
  <c r="O31" i="29"/>
  <c r="N31" i="29" a="1"/>
  <c r="N31" i="29"/>
  <c r="M31" i="29" a="1"/>
  <c r="M31" i="29"/>
  <c r="L31" i="29" a="1"/>
  <c r="L31" i="29"/>
  <c r="K31" i="29" a="1"/>
  <c r="K31" i="29"/>
  <c r="J31" i="29" a="1"/>
  <c r="J31" i="29"/>
  <c r="I31" i="29" a="1"/>
  <c r="I31" i="29"/>
  <c r="H31" i="29" a="1"/>
  <c r="H31" i="29"/>
  <c r="G31" i="29" a="1"/>
  <c r="G31" i="29"/>
  <c r="F31" i="29" a="1"/>
  <c r="F31" i="29"/>
  <c r="E31" i="29" a="1"/>
  <c r="E31" i="29"/>
  <c r="C31" i="29"/>
  <c r="BP30" i="29" a="1"/>
  <c r="BP30" i="29"/>
  <c r="BO30" i="29" a="1"/>
  <c r="BO30" i="29"/>
  <c r="BN30" i="29" a="1"/>
  <c r="BN30" i="29"/>
  <c r="BM30" i="29" a="1"/>
  <c r="BM30" i="29"/>
  <c r="BL30" i="29" a="1"/>
  <c r="BL30" i="29"/>
  <c r="BK30" i="29" a="1"/>
  <c r="BK30" i="29"/>
  <c r="BJ30" i="29" a="1"/>
  <c r="BJ30" i="29"/>
  <c r="BI30" i="29" a="1"/>
  <c r="BI30" i="29"/>
  <c r="BH30" i="29" a="1"/>
  <c r="BH30" i="29"/>
  <c r="BG30" i="29" a="1"/>
  <c r="BG30" i="29"/>
  <c r="BF30" i="29" a="1"/>
  <c r="BF30" i="29"/>
  <c r="BE30" i="29" a="1"/>
  <c r="BE30" i="29"/>
  <c r="BD30" i="29" a="1"/>
  <c r="BD30" i="29"/>
  <c r="BC30" i="29" a="1"/>
  <c r="BC30" i="29"/>
  <c r="BB30" i="29" a="1"/>
  <c r="BB30" i="29"/>
  <c r="BA30" i="29" a="1"/>
  <c r="BA30" i="29"/>
  <c r="AZ30" i="29" a="1"/>
  <c r="AZ30" i="29"/>
  <c r="AY30" i="29" a="1"/>
  <c r="AY30" i="29"/>
  <c r="AX30" i="29" a="1"/>
  <c r="AX30" i="29"/>
  <c r="AW30" i="29" a="1"/>
  <c r="AW30" i="29"/>
  <c r="AV30" i="29" a="1"/>
  <c r="AV30" i="29"/>
  <c r="AU30" i="29" a="1"/>
  <c r="AU30" i="29"/>
  <c r="AT30" i="29" a="1"/>
  <c r="AT30" i="29"/>
  <c r="AS30" i="29" a="1"/>
  <c r="AS30" i="29"/>
  <c r="AR30" i="29" a="1"/>
  <c r="AR30" i="29"/>
  <c r="AQ30" i="29" a="1"/>
  <c r="AQ30" i="29"/>
  <c r="AP30" i="29" a="1"/>
  <c r="AP30" i="29"/>
  <c r="AO30" i="29" a="1"/>
  <c r="AO30" i="29"/>
  <c r="AN30" i="29" a="1"/>
  <c r="AN30" i="29"/>
  <c r="AM30" i="29" a="1"/>
  <c r="AM30" i="29"/>
  <c r="AL30" i="29" a="1"/>
  <c r="AL30" i="29"/>
  <c r="AK30" i="29" a="1"/>
  <c r="AK30" i="29"/>
  <c r="AJ30" i="29" a="1"/>
  <c r="AJ30" i="29"/>
  <c r="AI30" i="29" a="1"/>
  <c r="AI30" i="29"/>
  <c r="AH30" i="29" a="1"/>
  <c r="AH30" i="29"/>
  <c r="AG30" i="29" a="1"/>
  <c r="AG30" i="29"/>
  <c r="AF30" i="29" a="1"/>
  <c r="AF30" i="29"/>
  <c r="AE30" i="29" a="1"/>
  <c r="AE30" i="29"/>
  <c r="AD30" i="29" a="1"/>
  <c r="AD30" i="29"/>
  <c r="AC30" i="29" a="1"/>
  <c r="AC30" i="29"/>
  <c r="AB30" i="29" a="1"/>
  <c r="AB30" i="29"/>
  <c r="AA30" i="29" a="1"/>
  <c r="AA30" i="29"/>
  <c r="Z30" i="29" a="1"/>
  <c r="Z30" i="29"/>
  <c r="Y30" i="29" a="1"/>
  <c r="Y30" i="29"/>
  <c r="X30" i="29" a="1"/>
  <c r="X30" i="29"/>
  <c r="W30" i="29" a="1"/>
  <c r="W30" i="29"/>
  <c r="V30" i="29" a="1"/>
  <c r="V30" i="29"/>
  <c r="U30" i="29" a="1"/>
  <c r="U30" i="29"/>
  <c r="T30" i="29" a="1"/>
  <c r="T30" i="29"/>
  <c r="S30" i="29" a="1"/>
  <c r="S30" i="29"/>
  <c r="R30" i="29" a="1"/>
  <c r="R30" i="29"/>
  <c r="Q30" i="29" a="1"/>
  <c r="Q30" i="29"/>
  <c r="P30" i="29" a="1"/>
  <c r="P30" i="29"/>
  <c r="O30" i="29" a="1"/>
  <c r="O30" i="29"/>
  <c r="N30" i="29" a="1"/>
  <c r="N30" i="29"/>
  <c r="M30" i="29" a="1"/>
  <c r="M30" i="29"/>
  <c r="L30" i="29" a="1"/>
  <c r="L30" i="29"/>
  <c r="K30" i="29" a="1"/>
  <c r="K30" i="29"/>
  <c r="J30" i="29" a="1"/>
  <c r="J30" i="29"/>
  <c r="I30" i="29" a="1"/>
  <c r="I30" i="29"/>
  <c r="H30" i="29" a="1"/>
  <c r="H30" i="29"/>
  <c r="G30" i="29" a="1"/>
  <c r="G30" i="29"/>
  <c r="F30" i="29" a="1"/>
  <c r="F30" i="29"/>
  <c r="E30" i="29" a="1"/>
  <c r="E30" i="29"/>
  <c r="C30" i="29"/>
  <c r="AD25" i="29"/>
  <c r="AA17" i="29"/>
  <c r="AB17" i="29"/>
  <c r="W17" i="29"/>
  <c r="AA18" i="29"/>
  <c r="AB18" i="29"/>
  <c r="W18" i="29"/>
  <c r="AA19" i="29"/>
  <c r="AB19" i="29"/>
  <c r="W19" i="29"/>
  <c r="AA20" i="29"/>
  <c r="AB20" i="29"/>
  <c r="W20" i="29"/>
  <c r="Z25" i="29"/>
  <c r="X25" i="29"/>
  <c r="N25" i="29" a="1"/>
  <c r="N25" i="29"/>
  <c r="M25" i="29"/>
  <c r="AD24" i="29"/>
  <c r="Z24" i="29"/>
  <c r="X24" i="29"/>
  <c r="N24" i="29" a="1"/>
  <c r="N24" i="29"/>
  <c r="M24" i="29"/>
  <c r="AD23" i="29"/>
  <c r="Z23" i="29"/>
  <c r="X23" i="29"/>
  <c r="N23" i="29" a="1"/>
  <c r="N23" i="29"/>
  <c r="M23" i="29"/>
  <c r="AD22" i="29"/>
  <c r="Z22" i="29"/>
  <c r="X22" i="29"/>
  <c r="N22" i="29" a="1"/>
  <c r="N22" i="29"/>
  <c r="M22" i="29"/>
  <c r="AD21" i="29"/>
  <c r="Z21" i="29"/>
  <c r="X21" i="29"/>
  <c r="N21" i="29" a="1"/>
  <c r="N21" i="29"/>
  <c r="M21" i="29"/>
  <c r="Z20" i="29"/>
  <c r="X20" i="29"/>
  <c r="J20" i="29"/>
  <c r="I20" i="29"/>
  <c r="H20" i="29"/>
  <c r="K7" i="29"/>
  <c r="N7" i="29"/>
  <c r="G20" i="29"/>
  <c r="F20" i="29"/>
  <c r="E20" i="29"/>
  <c r="D20" i="29"/>
  <c r="Z19" i="29"/>
  <c r="X19" i="29"/>
  <c r="J19" i="29"/>
  <c r="I19" i="29"/>
  <c r="H19" i="29"/>
  <c r="K6" i="29"/>
  <c r="N6" i="29"/>
  <c r="G19" i="29"/>
  <c r="F19" i="29"/>
  <c r="E19" i="29"/>
  <c r="D19" i="29"/>
  <c r="Z18" i="29"/>
  <c r="X18" i="29"/>
  <c r="J18" i="29"/>
  <c r="I18" i="29"/>
  <c r="H18" i="29"/>
  <c r="K5" i="29"/>
  <c r="N5" i="29"/>
  <c r="G18" i="29"/>
  <c r="F18" i="29"/>
  <c r="E18" i="29"/>
  <c r="D18" i="29"/>
  <c r="Z17" i="29"/>
  <c r="X17" i="29"/>
  <c r="J17" i="29"/>
  <c r="I17" i="29"/>
  <c r="H17" i="29"/>
  <c r="F17" i="29"/>
  <c r="E17" i="29"/>
  <c r="K8" i="29"/>
  <c r="K9" i="29"/>
  <c r="K10" i="29"/>
  <c r="K11" i="29"/>
  <c r="K12" i="29"/>
  <c r="F13" i="29"/>
  <c r="B13" i="29"/>
  <c r="S12" i="29"/>
  <c r="N12" i="29"/>
  <c r="E12" i="29"/>
  <c r="D12" i="29"/>
  <c r="E4" i="29"/>
  <c r="D4" i="29"/>
  <c r="E5" i="29"/>
  <c r="D5" i="29"/>
  <c r="E6" i="29"/>
  <c r="D6" i="29"/>
  <c r="E7" i="29"/>
  <c r="D7" i="29"/>
  <c r="E8" i="29"/>
  <c r="D8" i="29"/>
  <c r="E9" i="29"/>
  <c r="D9" i="29"/>
  <c r="E10" i="29"/>
  <c r="D10" i="29"/>
  <c r="E11" i="29"/>
  <c r="D11" i="29"/>
  <c r="C12" i="29"/>
  <c r="S11" i="29"/>
  <c r="N11" i="29"/>
  <c r="C11" i="29"/>
  <c r="S10" i="29"/>
  <c r="N10" i="29"/>
  <c r="C10" i="29"/>
  <c r="S9" i="29"/>
  <c r="N9" i="29"/>
  <c r="C9" i="29"/>
  <c r="S8" i="29"/>
  <c r="N8" i="29"/>
  <c r="C8" i="29"/>
  <c r="S7" i="29"/>
  <c r="C7" i="29"/>
  <c r="S6" i="29"/>
  <c r="C6" i="29"/>
  <c r="S5" i="29"/>
  <c r="C5" i="29"/>
  <c r="S4" i="29"/>
  <c r="C4" i="29"/>
  <c r="F12" i="31"/>
  <c r="BR60" i="31"/>
  <c r="F11" i="31"/>
  <c r="BZ51" i="31"/>
  <c r="BZ60" i="31"/>
  <c r="F10" i="31"/>
  <c r="BY51" i="31"/>
  <c r="BY60" i="31"/>
  <c r="F9" i="31"/>
  <c r="BX51" i="31"/>
  <c r="BX60" i="31"/>
  <c r="F8" i="31"/>
  <c r="BW51" i="31"/>
  <c r="BW60" i="31"/>
  <c r="BV51" i="31"/>
  <c r="BV60" i="31"/>
  <c r="BU51" i="31"/>
  <c r="BU60" i="31"/>
  <c r="BT51" i="31"/>
  <c r="BT60" i="31"/>
  <c r="BS51" i="31"/>
  <c r="BS60" i="31"/>
  <c r="BR59" i="31"/>
  <c r="CA51" i="31"/>
  <c r="CA59" i="31"/>
  <c r="BY59" i="31"/>
  <c r="BX59" i="31"/>
  <c r="BW59" i="31"/>
  <c r="BV59" i="31"/>
  <c r="BU59" i="31"/>
  <c r="BT59" i="31"/>
  <c r="BS59" i="31"/>
  <c r="BR58" i="31"/>
  <c r="CA58" i="31"/>
  <c r="BZ58" i="31"/>
  <c r="BX58" i="31"/>
  <c r="BW58" i="31"/>
  <c r="BV58" i="31"/>
  <c r="BU58" i="31"/>
  <c r="BT58" i="31"/>
  <c r="BS58" i="31"/>
  <c r="BR57" i="31"/>
  <c r="CA57" i="31"/>
  <c r="BZ57" i="31"/>
  <c r="BY57" i="31"/>
  <c r="BW57" i="31"/>
  <c r="BV57" i="31"/>
  <c r="BU57" i="31"/>
  <c r="BT57" i="31"/>
  <c r="BS57" i="31"/>
  <c r="BR56" i="31"/>
  <c r="CA56" i="31"/>
  <c r="BZ56" i="31"/>
  <c r="BY56" i="31"/>
  <c r="BX56" i="31"/>
  <c r="BV56" i="31"/>
  <c r="BU56" i="31"/>
  <c r="BT56" i="31"/>
  <c r="BS56" i="31"/>
  <c r="BR55" i="31"/>
  <c r="CA55" i="31"/>
  <c r="BZ55" i="31"/>
  <c r="BY55" i="31"/>
  <c r="BX55" i="31"/>
  <c r="BW55" i="31"/>
  <c r="BU55" i="31"/>
  <c r="BT55" i="31"/>
  <c r="BS55" i="31"/>
  <c r="BR54" i="31"/>
  <c r="CA54" i="31"/>
  <c r="BZ54" i="31"/>
  <c r="BY54" i="31"/>
  <c r="BX54" i="31"/>
  <c r="BW54" i="31"/>
  <c r="BV54" i="31"/>
  <c r="BT54" i="31"/>
  <c r="BS54" i="31"/>
  <c r="BR53" i="31"/>
  <c r="CA53" i="31"/>
  <c r="BZ53" i="31"/>
  <c r="BY53" i="31"/>
  <c r="BX53" i="31"/>
  <c r="BW53" i="31"/>
  <c r="BV53" i="31"/>
  <c r="BU53" i="31"/>
  <c r="BS53" i="31"/>
  <c r="BR52" i="31"/>
  <c r="CA52" i="31"/>
  <c r="BZ52" i="31"/>
  <c r="BY52" i="31"/>
  <c r="BX52" i="31"/>
  <c r="BW52" i="31"/>
  <c r="BV52" i="31"/>
  <c r="BU52" i="31"/>
  <c r="BT52" i="31"/>
  <c r="CA48" i="31"/>
  <c r="BZ49" i="31"/>
  <c r="CA47" i="31"/>
  <c r="BY49" i="31"/>
  <c r="CA46" i="31"/>
  <c r="BX49" i="31"/>
  <c r="CA45" i="31"/>
  <c r="BW49" i="31"/>
  <c r="CA44" i="31"/>
  <c r="BV49" i="31"/>
  <c r="CA43" i="31"/>
  <c r="BU49" i="31"/>
  <c r="CA42" i="31"/>
  <c r="BT49" i="31"/>
  <c r="CA41" i="31"/>
  <c r="BS49" i="31"/>
  <c r="BR49" i="31"/>
  <c r="C25" i="31"/>
  <c r="BZ47" i="31"/>
  <c r="BY48" i="31"/>
  <c r="BZ46" i="31"/>
  <c r="BX48" i="31"/>
  <c r="BZ45" i="31"/>
  <c r="BW48" i="31"/>
  <c r="BZ44" i="31"/>
  <c r="BV48" i="31"/>
  <c r="BZ43" i="31"/>
  <c r="BU48" i="31"/>
  <c r="BZ42" i="31"/>
  <c r="BT48" i="31"/>
  <c r="BZ41" i="31"/>
  <c r="BS48" i="31"/>
  <c r="BR48" i="31"/>
  <c r="C24" i="31"/>
  <c r="BY46" i="31"/>
  <c r="BX47" i="31"/>
  <c r="BY45" i="31"/>
  <c r="BW47" i="31"/>
  <c r="BY44" i="31"/>
  <c r="BV47" i="31"/>
  <c r="BY43" i="31"/>
  <c r="BU47" i="31"/>
  <c r="BY42" i="31"/>
  <c r="BT47" i="31"/>
  <c r="BY41" i="31"/>
  <c r="BS47" i="31"/>
  <c r="BR47" i="31"/>
  <c r="C23" i="31"/>
  <c r="BX45" i="31"/>
  <c r="BW46" i="31"/>
  <c r="BX44" i="31"/>
  <c r="BV46" i="31"/>
  <c r="BX43" i="31"/>
  <c r="BU46" i="31"/>
  <c r="BX42" i="31"/>
  <c r="BT46" i="31"/>
  <c r="BX41" i="31"/>
  <c r="BS46" i="31"/>
  <c r="BR46" i="31"/>
  <c r="C22" i="31"/>
  <c r="BW44" i="31"/>
  <c r="BV45" i="31"/>
  <c r="BW43" i="31"/>
  <c r="BU45" i="31"/>
  <c r="BW42" i="31"/>
  <c r="BT45" i="31"/>
  <c r="BW41" i="31"/>
  <c r="BS45" i="31"/>
  <c r="BR45" i="31"/>
  <c r="C21" i="31"/>
  <c r="BV43" i="31"/>
  <c r="BU44" i="31"/>
  <c r="BV42" i="31"/>
  <c r="BT44" i="31"/>
  <c r="BV41" i="31"/>
  <c r="BS44" i="31"/>
  <c r="BR44" i="31"/>
  <c r="L7" i="31"/>
  <c r="M7" i="31"/>
  <c r="J7" i="31"/>
  <c r="Q7" i="31"/>
  <c r="K20" i="31"/>
  <c r="P7" i="31"/>
  <c r="R7" i="31"/>
  <c r="G7" i="31"/>
  <c r="H7" i="31"/>
  <c r="I7" i="31"/>
  <c r="T7" i="31"/>
  <c r="G4" i="31"/>
  <c r="H4" i="31"/>
  <c r="I4" i="31"/>
  <c r="T4" i="31"/>
  <c r="G5" i="31"/>
  <c r="H5" i="31"/>
  <c r="I5" i="31"/>
  <c r="T5" i="31"/>
  <c r="G6" i="31"/>
  <c r="H6" i="31"/>
  <c r="I6" i="31"/>
  <c r="T6" i="31"/>
  <c r="G8" i="31"/>
  <c r="H8" i="31"/>
  <c r="I8" i="31"/>
  <c r="T8" i="31"/>
  <c r="G9" i="31"/>
  <c r="H9" i="31"/>
  <c r="I9" i="31"/>
  <c r="T9" i="31"/>
  <c r="G10" i="31"/>
  <c r="H10" i="31"/>
  <c r="I10" i="31"/>
  <c r="T10" i="31"/>
  <c r="G11" i="31"/>
  <c r="H11" i="31"/>
  <c r="I11" i="31"/>
  <c r="T11" i="31"/>
  <c r="G12" i="31"/>
  <c r="H12" i="31"/>
  <c r="I12" i="31"/>
  <c r="T12" i="31"/>
  <c r="U7" i="31"/>
  <c r="L20" i="31"/>
  <c r="L4" i="31"/>
  <c r="M4" i="31"/>
  <c r="J4" i="31"/>
  <c r="Q4" i="31"/>
  <c r="K17" i="31"/>
  <c r="P4" i="31"/>
  <c r="R4" i="31"/>
  <c r="U4" i="31"/>
  <c r="L17" i="31"/>
  <c r="L5" i="31"/>
  <c r="M5" i="31"/>
  <c r="J5" i="31"/>
  <c r="Q5" i="31"/>
  <c r="K18" i="31"/>
  <c r="P5" i="31"/>
  <c r="R5" i="31"/>
  <c r="U5" i="31"/>
  <c r="L18" i="31"/>
  <c r="L6" i="31"/>
  <c r="M6" i="31"/>
  <c r="J6" i="31"/>
  <c r="Q6" i="31"/>
  <c r="K19" i="31"/>
  <c r="P6" i="31"/>
  <c r="R6" i="31"/>
  <c r="U6" i="31"/>
  <c r="L19" i="31"/>
  <c r="L8" i="31"/>
  <c r="J8" i="31"/>
  <c r="Q8" i="31"/>
  <c r="K21" i="31"/>
  <c r="P8" i="31"/>
  <c r="R8" i="31"/>
  <c r="U8" i="31"/>
  <c r="L21" i="31"/>
  <c r="L9" i="31"/>
  <c r="J9" i="31"/>
  <c r="Q9" i="31"/>
  <c r="K22" i="31"/>
  <c r="P9" i="31"/>
  <c r="R9" i="31"/>
  <c r="U9" i="31"/>
  <c r="L22" i="31"/>
  <c r="L10" i="31"/>
  <c r="J10" i="31"/>
  <c r="Q10" i="31"/>
  <c r="K23" i="31"/>
  <c r="P10" i="31"/>
  <c r="R10" i="31"/>
  <c r="U10" i="31"/>
  <c r="L23" i="31"/>
  <c r="L11" i="31"/>
  <c r="J11" i="31"/>
  <c r="Q11" i="31"/>
  <c r="K24" i="31"/>
  <c r="P11" i="31"/>
  <c r="R11" i="31"/>
  <c r="U11" i="31"/>
  <c r="L24" i="31"/>
  <c r="L12" i="31"/>
  <c r="J12" i="31"/>
  <c r="Q12" i="31"/>
  <c r="K25" i="31"/>
  <c r="P12" i="31"/>
  <c r="R12" i="31"/>
  <c r="U12" i="31"/>
  <c r="L25" i="31"/>
  <c r="M20" i="31"/>
  <c r="N20" i="31" a="1"/>
  <c r="N20" i="31"/>
  <c r="V20" i="31"/>
  <c r="BR41" i="31"/>
  <c r="BS40" i="31"/>
  <c r="BT40" i="31"/>
  <c r="BT41" i="31"/>
  <c r="BU40" i="31"/>
  <c r="BU41" i="31"/>
  <c r="BV40" i="31"/>
  <c r="BR42" i="31"/>
  <c r="BS42" i="31"/>
  <c r="BU42" i="31"/>
  <c r="BR43" i="31"/>
  <c r="BS43" i="31"/>
  <c r="BT43" i="31"/>
  <c r="BP44" i="31" a="1"/>
  <c r="BP44" i="31"/>
  <c r="BO44" i="31" a="1"/>
  <c r="BO44" i="31"/>
  <c r="BN44" i="31" a="1"/>
  <c r="BN44" i="31"/>
  <c r="BM44" i="31" a="1"/>
  <c r="BM44" i="31"/>
  <c r="BL44" i="31" a="1"/>
  <c r="BL44" i="31"/>
  <c r="BK44" i="31" a="1"/>
  <c r="BK44" i="31"/>
  <c r="M19" i="31"/>
  <c r="N19" i="31" a="1"/>
  <c r="N19" i="31"/>
  <c r="V19" i="31"/>
  <c r="BJ44" i="31" a="1"/>
  <c r="BJ44" i="31"/>
  <c r="M18" i="31"/>
  <c r="N18" i="31" a="1"/>
  <c r="N18" i="31"/>
  <c r="V18" i="31"/>
  <c r="BI44" i="31" a="1"/>
  <c r="BI44" i="31"/>
  <c r="U20" i="31"/>
  <c r="BH44" i="31" a="1"/>
  <c r="BH44" i="31"/>
  <c r="BG44" i="31" a="1"/>
  <c r="BG44" i="31"/>
  <c r="BF44" i="31" a="1"/>
  <c r="BF44" i="31"/>
  <c r="BE44" i="31" a="1"/>
  <c r="BE44" i="31"/>
  <c r="BD44" i="31" a="1"/>
  <c r="BD44" i="31"/>
  <c r="U19" i="31"/>
  <c r="BC44" i="31" a="1"/>
  <c r="BC44" i="31"/>
  <c r="U18" i="31"/>
  <c r="BB44" i="31" a="1"/>
  <c r="BB44" i="31"/>
  <c r="M17" i="31"/>
  <c r="N17" i="31" a="1"/>
  <c r="N17" i="31"/>
  <c r="U17" i="31"/>
  <c r="BA44" i="31" a="1"/>
  <c r="BA44" i="31"/>
  <c r="T20" i="31"/>
  <c r="AZ44" i="31" a="1"/>
  <c r="AZ44" i="31"/>
  <c r="AY44" i="31" a="1"/>
  <c r="AY44" i="31"/>
  <c r="AX44" i="31" a="1"/>
  <c r="AX44" i="31"/>
  <c r="AW44" i="31" a="1"/>
  <c r="AW44" i="31"/>
  <c r="AV44" i="31" a="1"/>
  <c r="AV44" i="31"/>
  <c r="T19" i="31"/>
  <c r="AU44" i="31" a="1"/>
  <c r="AU44" i="31"/>
  <c r="T18" i="31"/>
  <c r="AT44" i="31" a="1"/>
  <c r="AT44" i="31"/>
  <c r="T17" i="31"/>
  <c r="AS44" i="31" a="1"/>
  <c r="AS44" i="31"/>
  <c r="S20" i="31"/>
  <c r="AR44" i="31" a="1"/>
  <c r="AR44" i="31"/>
  <c r="AQ44" i="31" a="1"/>
  <c r="AQ44" i="31"/>
  <c r="AP44" i="31" a="1"/>
  <c r="AP44" i="31"/>
  <c r="AO44" i="31" a="1"/>
  <c r="AO44" i="31"/>
  <c r="AN44" i="31" a="1"/>
  <c r="AN44" i="31"/>
  <c r="S19" i="31"/>
  <c r="AM44" i="31" a="1"/>
  <c r="AM44" i="31"/>
  <c r="S18" i="31"/>
  <c r="AL44" i="31" a="1"/>
  <c r="AL44" i="31"/>
  <c r="S17" i="31"/>
  <c r="AK44" i="31" a="1"/>
  <c r="AK44" i="31"/>
  <c r="R20" i="31"/>
  <c r="AJ44" i="31" a="1"/>
  <c r="AJ44" i="31"/>
  <c r="AI44" i="31" a="1"/>
  <c r="AI44" i="31"/>
  <c r="AH44" i="31" a="1"/>
  <c r="AH44" i="31"/>
  <c r="AG44" i="31" a="1"/>
  <c r="AG44" i="31"/>
  <c r="AF44" i="31" a="1"/>
  <c r="AF44" i="31"/>
  <c r="R19" i="31"/>
  <c r="AE44" i="31" a="1"/>
  <c r="AE44" i="31"/>
  <c r="R18" i="31"/>
  <c r="AD44" i="31" a="1"/>
  <c r="AD44" i="31"/>
  <c r="R17" i="31"/>
  <c r="AC44" i="31" a="1"/>
  <c r="AC44" i="31"/>
  <c r="Q20" i="31"/>
  <c r="AB44" i="31" a="1"/>
  <c r="AB44" i="31"/>
  <c r="AA44" i="31" a="1"/>
  <c r="AA44" i="31"/>
  <c r="Z44" i="31" a="1"/>
  <c r="Z44" i="31"/>
  <c r="Y44" i="31" a="1"/>
  <c r="Y44" i="31"/>
  <c r="X44" i="31" a="1"/>
  <c r="X44" i="31"/>
  <c r="Q19" i="31"/>
  <c r="W44" i="31" a="1"/>
  <c r="W44" i="31"/>
  <c r="Q18" i="31"/>
  <c r="V44" i="31" a="1"/>
  <c r="V44" i="31"/>
  <c r="Q17" i="31"/>
  <c r="U44" i="31" a="1"/>
  <c r="U44" i="31"/>
  <c r="P20" i="31"/>
  <c r="T44" i="31" a="1"/>
  <c r="T44" i="31"/>
  <c r="S44" i="31" a="1"/>
  <c r="S44" i="31"/>
  <c r="R44" i="31" a="1"/>
  <c r="R44" i="31"/>
  <c r="Q44" i="31" a="1"/>
  <c r="Q44" i="31"/>
  <c r="P44" i="31" a="1"/>
  <c r="P44" i="31"/>
  <c r="P19" i="31"/>
  <c r="O44" i="31" a="1"/>
  <c r="O44" i="31"/>
  <c r="P18" i="31"/>
  <c r="N44" i="31" a="1"/>
  <c r="N44" i="31"/>
  <c r="P17" i="31"/>
  <c r="M44" i="31" a="1"/>
  <c r="M44" i="31"/>
  <c r="O20" i="31"/>
  <c r="L44" i="31" a="1"/>
  <c r="L44" i="31"/>
  <c r="K44" i="31" a="1"/>
  <c r="K44" i="31"/>
  <c r="J44" i="31" a="1"/>
  <c r="J44" i="31"/>
  <c r="I44" i="31" a="1"/>
  <c r="I44" i="31"/>
  <c r="H44" i="31" a="1"/>
  <c r="H44" i="31"/>
  <c r="O19" i="31"/>
  <c r="G44" i="31" a="1"/>
  <c r="G44" i="31"/>
  <c r="O18" i="31"/>
  <c r="F44" i="31" a="1"/>
  <c r="F44" i="31"/>
  <c r="O17" i="31"/>
  <c r="E44" i="31" a="1"/>
  <c r="E44" i="31"/>
  <c r="BP43" i="31" a="1"/>
  <c r="BP43" i="31"/>
  <c r="BO43" i="31" a="1"/>
  <c r="BO43" i="31"/>
  <c r="BN43" i="31" a="1"/>
  <c r="BN43" i="31"/>
  <c r="BM43" i="31" a="1"/>
  <c r="BM43" i="31"/>
  <c r="BL43" i="31" a="1"/>
  <c r="BL43" i="31"/>
  <c r="BK43" i="31" a="1"/>
  <c r="BK43" i="31"/>
  <c r="BJ43" i="31" a="1"/>
  <c r="BJ43" i="31"/>
  <c r="BI43" i="31" a="1"/>
  <c r="BI43" i="31"/>
  <c r="BH43" i="31" a="1"/>
  <c r="BH43" i="31"/>
  <c r="BG43" i="31" a="1"/>
  <c r="BG43" i="31"/>
  <c r="BF43" i="31" a="1"/>
  <c r="BF43" i="31"/>
  <c r="BE43" i="31" a="1"/>
  <c r="BE43" i="31"/>
  <c r="BD43" i="31" a="1"/>
  <c r="BD43" i="31"/>
  <c r="BC43" i="31" a="1"/>
  <c r="BC43" i="31"/>
  <c r="BB43" i="31" a="1"/>
  <c r="BB43" i="31"/>
  <c r="BA43" i="31" a="1"/>
  <c r="BA43" i="31"/>
  <c r="AZ43" i="31" a="1"/>
  <c r="AZ43" i="31"/>
  <c r="AY43" i="31" a="1"/>
  <c r="AY43" i="31"/>
  <c r="AX43" i="31" a="1"/>
  <c r="AX43" i="31"/>
  <c r="AW43" i="31" a="1"/>
  <c r="AW43" i="31"/>
  <c r="AV43" i="31" a="1"/>
  <c r="AV43" i="31"/>
  <c r="AU43" i="31" a="1"/>
  <c r="AU43" i="31"/>
  <c r="AT43" i="31" a="1"/>
  <c r="AT43" i="31"/>
  <c r="AS43" i="31" a="1"/>
  <c r="AS43" i="31"/>
  <c r="AR43" i="31" a="1"/>
  <c r="AR43" i="31"/>
  <c r="AQ43" i="31" a="1"/>
  <c r="AQ43" i="31"/>
  <c r="AP43" i="31" a="1"/>
  <c r="AP43" i="31"/>
  <c r="AO43" i="31" a="1"/>
  <c r="AO43" i="31"/>
  <c r="AN43" i="31" a="1"/>
  <c r="AN43" i="31"/>
  <c r="AM43" i="31" a="1"/>
  <c r="AM43" i="31"/>
  <c r="AL43" i="31" a="1"/>
  <c r="AL43" i="31"/>
  <c r="AK43" i="31" a="1"/>
  <c r="AK43" i="31"/>
  <c r="AJ43" i="31" a="1"/>
  <c r="AJ43" i="31"/>
  <c r="AI43" i="31" a="1"/>
  <c r="AI43" i="31"/>
  <c r="AH43" i="31" a="1"/>
  <c r="AH43" i="31"/>
  <c r="AG43" i="31" a="1"/>
  <c r="AG43" i="31"/>
  <c r="AF43" i="31" a="1"/>
  <c r="AF43" i="31"/>
  <c r="AE43" i="31" a="1"/>
  <c r="AE43" i="31"/>
  <c r="AD43" i="31" a="1"/>
  <c r="AD43" i="31"/>
  <c r="AC43" i="31" a="1"/>
  <c r="AC43" i="31"/>
  <c r="AB43" i="31" a="1"/>
  <c r="AB43" i="31"/>
  <c r="AA43" i="31" a="1"/>
  <c r="AA43" i="31"/>
  <c r="Z43" i="31" a="1"/>
  <c r="Z43" i="31"/>
  <c r="Y43" i="31" a="1"/>
  <c r="Y43" i="31"/>
  <c r="X43" i="31" a="1"/>
  <c r="X43" i="31"/>
  <c r="W43" i="31" a="1"/>
  <c r="W43" i="31"/>
  <c r="V43" i="31" a="1"/>
  <c r="V43" i="31"/>
  <c r="U43" i="31" a="1"/>
  <c r="U43" i="31"/>
  <c r="T43" i="31" a="1"/>
  <c r="T43" i="31"/>
  <c r="S43" i="31" a="1"/>
  <c r="S43" i="31"/>
  <c r="R43" i="31" a="1"/>
  <c r="R43" i="31"/>
  <c r="Q43" i="31" a="1"/>
  <c r="Q43" i="31"/>
  <c r="P43" i="31" a="1"/>
  <c r="P43" i="31"/>
  <c r="O43" i="31" a="1"/>
  <c r="O43" i="31"/>
  <c r="N43" i="31" a="1"/>
  <c r="N43" i="31"/>
  <c r="M43" i="31" a="1"/>
  <c r="M43" i="31"/>
  <c r="L43" i="31" a="1"/>
  <c r="L43" i="31"/>
  <c r="K43" i="31" a="1"/>
  <c r="K43" i="31"/>
  <c r="J43" i="31" a="1"/>
  <c r="J43" i="31"/>
  <c r="I43" i="31" a="1"/>
  <c r="I43" i="31"/>
  <c r="H43" i="31" a="1"/>
  <c r="H43" i="31"/>
  <c r="G43" i="31" a="1"/>
  <c r="G43" i="31"/>
  <c r="F43" i="31" a="1"/>
  <c r="F43" i="31"/>
  <c r="E43" i="31" a="1"/>
  <c r="E43" i="31"/>
  <c r="BP42" i="31" a="1"/>
  <c r="BP42" i="31"/>
  <c r="BO42" i="31" a="1"/>
  <c r="BO42" i="31"/>
  <c r="BN42" i="31" a="1"/>
  <c r="BN42" i="31"/>
  <c r="BM42" i="31" a="1"/>
  <c r="BM42" i="31"/>
  <c r="BL42" i="31" a="1"/>
  <c r="BL42" i="31"/>
  <c r="BK42" i="31" a="1"/>
  <c r="BK42" i="31"/>
  <c r="BJ42" i="31" a="1"/>
  <c r="BJ42" i="31"/>
  <c r="BI42" i="31" a="1"/>
  <c r="BI42" i="31"/>
  <c r="BH42" i="31" a="1"/>
  <c r="BH42" i="31"/>
  <c r="BG42" i="31" a="1"/>
  <c r="BG42" i="31"/>
  <c r="BF42" i="31" a="1"/>
  <c r="BF42" i="31"/>
  <c r="BE42" i="31" a="1"/>
  <c r="BE42" i="31"/>
  <c r="BD42" i="31" a="1"/>
  <c r="BD42" i="31"/>
  <c r="BC42" i="31" a="1"/>
  <c r="BC42" i="31"/>
  <c r="BB42" i="31" a="1"/>
  <c r="BB42" i="31"/>
  <c r="BA42" i="31" a="1"/>
  <c r="BA42" i="31"/>
  <c r="AZ42" i="31" a="1"/>
  <c r="AZ42" i="31"/>
  <c r="AY42" i="31" a="1"/>
  <c r="AY42" i="31"/>
  <c r="AX42" i="31" a="1"/>
  <c r="AX42" i="31"/>
  <c r="AW42" i="31" a="1"/>
  <c r="AW42" i="31"/>
  <c r="AV42" i="31" a="1"/>
  <c r="AV42" i="31"/>
  <c r="AU42" i="31" a="1"/>
  <c r="AU42" i="31"/>
  <c r="AT42" i="31" a="1"/>
  <c r="AT42" i="31"/>
  <c r="AS42" i="31" a="1"/>
  <c r="AS42" i="31"/>
  <c r="AR42" i="31" a="1"/>
  <c r="AR42" i="31"/>
  <c r="AQ42" i="31" a="1"/>
  <c r="AQ42" i="31"/>
  <c r="AP42" i="31" a="1"/>
  <c r="AP42" i="31"/>
  <c r="AO42" i="31" a="1"/>
  <c r="AO42" i="31"/>
  <c r="AN42" i="31" a="1"/>
  <c r="AN42" i="31"/>
  <c r="AM42" i="31" a="1"/>
  <c r="AM42" i="31"/>
  <c r="AL42" i="31" a="1"/>
  <c r="AL42" i="31"/>
  <c r="AK42" i="31" a="1"/>
  <c r="AK42" i="31"/>
  <c r="AJ42" i="31" a="1"/>
  <c r="AJ42" i="31"/>
  <c r="AI42" i="31" a="1"/>
  <c r="AI42" i="31"/>
  <c r="AH42" i="31" a="1"/>
  <c r="AH42" i="31"/>
  <c r="AG42" i="31" a="1"/>
  <c r="AG42" i="31"/>
  <c r="AF42" i="31" a="1"/>
  <c r="AF42" i="31"/>
  <c r="AE42" i="31" a="1"/>
  <c r="AE42" i="31"/>
  <c r="AD42" i="31" a="1"/>
  <c r="AD42" i="31"/>
  <c r="AC42" i="31" a="1"/>
  <c r="AC42" i="31"/>
  <c r="AB42" i="31" a="1"/>
  <c r="AB42" i="31"/>
  <c r="AA42" i="31" a="1"/>
  <c r="AA42" i="31"/>
  <c r="Z42" i="31" a="1"/>
  <c r="Z42" i="31"/>
  <c r="Y42" i="31" a="1"/>
  <c r="Y42" i="31"/>
  <c r="X42" i="31" a="1"/>
  <c r="X42" i="31"/>
  <c r="W42" i="31" a="1"/>
  <c r="W42" i="31"/>
  <c r="V42" i="31" a="1"/>
  <c r="V42" i="31"/>
  <c r="U42" i="31" a="1"/>
  <c r="U42" i="31"/>
  <c r="T42" i="31" a="1"/>
  <c r="T42" i="31"/>
  <c r="S42" i="31" a="1"/>
  <c r="S42" i="31"/>
  <c r="R42" i="31" a="1"/>
  <c r="R42" i="31"/>
  <c r="Q42" i="31" a="1"/>
  <c r="Q42" i="31"/>
  <c r="P42" i="31" a="1"/>
  <c r="P42" i="31"/>
  <c r="O42" i="31" a="1"/>
  <c r="O42" i="31"/>
  <c r="N42" i="31" a="1"/>
  <c r="N42" i="31"/>
  <c r="M42" i="31" a="1"/>
  <c r="M42" i="31"/>
  <c r="L42" i="31" a="1"/>
  <c r="L42" i="31"/>
  <c r="K42" i="31" a="1"/>
  <c r="K42" i="31"/>
  <c r="J42" i="31" a="1"/>
  <c r="J42" i="31"/>
  <c r="I42" i="31" a="1"/>
  <c r="I42" i="31"/>
  <c r="H42" i="31" a="1"/>
  <c r="H42" i="31"/>
  <c r="G42" i="31" a="1"/>
  <c r="G42" i="31"/>
  <c r="F42" i="31" a="1"/>
  <c r="F42" i="31"/>
  <c r="E42" i="31" a="1"/>
  <c r="E42" i="31"/>
  <c r="V17" i="31"/>
  <c r="BP41" i="31" a="1"/>
  <c r="BP41" i="31"/>
  <c r="BO41" i="31" a="1"/>
  <c r="BO41" i="31"/>
  <c r="BN41" i="31" a="1"/>
  <c r="BN41" i="31"/>
  <c r="BM41" i="31" a="1"/>
  <c r="BM41" i="31"/>
  <c r="BL41" i="31" a="1"/>
  <c r="BL41" i="31"/>
  <c r="BK41" i="31" a="1"/>
  <c r="BK41" i="31"/>
  <c r="BJ41" i="31" a="1"/>
  <c r="BJ41" i="31"/>
  <c r="BI41" i="31" a="1"/>
  <c r="BI41" i="31"/>
  <c r="BH41" i="31" a="1"/>
  <c r="BH41" i="31"/>
  <c r="BG41" i="31" a="1"/>
  <c r="BG41" i="31"/>
  <c r="BF41" i="31" a="1"/>
  <c r="BF41" i="31"/>
  <c r="BE41" i="31" a="1"/>
  <c r="BE41" i="31"/>
  <c r="BD41" i="31" a="1"/>
  <c r="BD41" i="31"/>
  <c r="BC41" i="31" a="1"/>
  <c r="BC41" i="31"/>
  <c r="BB41" i="31" a="1"/>
  <c r="BB41" i="31"/>
  <c r="BA41" i="31" a="1"/>
  <c r="BA41" i="31"/>
  <c r="AZ41" i="31" a="1"/>
  <c r="AZ41" i="31"/>
  <c r="AY41" i="31" a="1"/>
  <c r="AY41" i="31"/>
  <c r="AX41" i="31" a="1"/>
  <c r="AX41" i="31"/>
  <c r="AW41" i="31" a="1"/>
  <c r="AW41" i="31"/>
  <c r="AV41" i="31" a="1"/>
  <c r="AV41" i="31"/>
  <c r="AU41" i="31" a="1"/>
  <c r="AU41" i="31"/>
  <c r="AT41" i="31" a="1"/>
  <c r="AT41" i="31"/>
  <c r="AS41" i="31" a="1"/>
  <c r="AS41" i="31"/>
  <c r="AR41" i="31" a="1"/>
  <c r="AR41" i="31"/>
  <c r="AQ41" i="31" a="1"/>
  <c r="AQ41" i="31"/>
  <c r="AP41" i="31" a="1"/>
  <c r="AP41" i="31"/>
  <c r="AO41" i="31" a="1"/>
  <c r="AO41" i="31"/>
  <c r="AN41" i="31" a="1"/>
  <c r="AN41" i="31"/>
  <c r="AM41" i="31" a="1"/>
  <c r="AM41" i="31"/>
  <c r="AL41" i="31" a="1"/>
  <c r="AL41" i="31"/>
  <c r="AK41" i="31" a="1"/>
  <c r="AK41" i="31"/>
  <c r="AJ41" i="31" a="1"/>
  <c r="AJ41" i="31"/>
  <c r="AI41" i="31" a="1"/>
  <c r="AI41" i="31"/>
  <c r="AH41" i="31" a="1"/>
  <c r="AH41" i="31"/>
  <c r="AG41" i="31" a="1"/>
  <c r="AG41" i="31"/>
  <c r="AF41" i="31" a="1"/>
  <c r="AF41" i="31"/>
  <c r="AE41" i="31" a="1"/>
  <c r="AE41" i="31"/>
  <c r="AD41" i="31" a="1"/>
  <c r="AD41" i="31"/>
  <c r="AC41" i="31" a="1"/>
  <c r="AC41" i="31"/>
  <c r="AB41" i="31" a="1"/>
  <c r="AB41" i="31"/>
  <c r="AA41" i="31" a="1"/>
  <c r="AA41" i="31"/>
  <c r="Z41" i="31" a="1"/>
  <c r="Z41" i="31"/>
  <c r="Y41" i="31" a="1"/>
  <c r="Y41" i="31"/>
  <c r="X41" i="31" a="1"/>
  <c r="X41" i="31"/>
  <c r="W41" i="31" a="1"/>
  <c r="W41" i="31"/>
  <c r="V41" i="31" a="1"/>
  <c r="V41" i="31"/>
  <c r="U41" i="31" a="1"/>
  <c r="U41" i="31"/>
  <c r="T41" i="31" a="1"/>
  <c r="T41" i="31"/>
  <c r="S41" i="31" a="1"/>
  <c r="S41" i="31"/>
  <c r="R41" i="31" a="1"/>
  <c r="R41" i="31"/>
  <c r="Q41" i="31" a="1"/>
  <c r="Q41" i="31"/>
  <c r="P41" i="31" a="1"/>
  <c r="P41" i="31"/>
  <c r="O41" i="31" a="1"/>
  <c r="O41" i="31"/>
  <c r="N41" i="31" a="1"/>
  <c r="N41" i="31"/>
  <c r="M41" i="31" a="1"/>
  <c r="M41" i="31"/>
  <c r="L41" i="31" a="1"/>
  <c r="L41" i="31"/>
  <c r="K41" i="31" a="1"/>
  <c r="K41" i="31"/>
  <c r="J41" i="31" a="1"/>
  <c r="J41" i="31"/>
  <c r="I41" i="31" a="1"/>
  <c r="I41" i="31"/>
  <c r="H41" i="31" a="1"/>
  <c r="H41" i="31"/>
  <c r="G41" i="31" a="1"/>
  <c r="G41" i="31"/>
  <c r="F41" i="31" a="1"/>
  <c r="F41" i="31"/>
  <c r="E41" i="31" a="1"/>
  <c r="E41" i="31"/>
  <c r="CA40" i="31"/>
  <c r="BZ40" i="31"/>
  <c r="BY40" i="31"/>
  <c r="BX40" i="31"/>
  <c r="BW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BP35" i="31" a="1"/>
  <c r="BP35" i="31"/>
  <c r="BO35" i="31" a="1"/>
  <c r="BO35" i="31"/>
  <c r="BN35" i="31" a="1"/>
  <c r="BN35" i="31"/>
  <c r="BM35" i="31" a="1"/>
  <c r="BM35" i="31"/>
  <c r="BL35" i="31" a="1"/>
  <c r="BL35" i="31"/>
  <c r="BK35" i="31" a="1"/>
  <c r="BK35" i="31"/>
  <c r="BJ35" i="31" a="1"/>
  <c r="BJ35" i="31"/>
  <c r="BI35" i="31" a="1"/>
  <c r="BI35" i="31"/>
  <c r="BH35" i="31" a="1"/>
  <c r="BH35" i="31"/>
  <c r="BG35" i="31" a="1"/>
  <c r="BG35" i="31"/>
  <c r="BF35" i="31" a="1"/>
  <c r="BF35" i="31"/>
  <c r="BE35" i="31" a="1"/>
  <c r="BE35" i="31"/>
  <c r="BD35" i="31" a="1"/>
  <c r="BD35" i="31"/>
  <c r="BC35" i="31" a="1"/>
  <c r="BC35" i="31"/>
  <c r="BB35" i="31" a="1"/>
  <c r="BB35" i="31"/>
  <c r="BA35" i="31" a="1"/>
  <c r="BA35" i="31"/>
  <c r="AZ35" i="31" a="1"/>
  <c r="AZ35" i="31"/>
  <c r="AY35" i="31" a="1"/>
  <c r="AY35" i="31"/>
  <c r="AX35" i="31" a="1"/>
  <c r="AX35" i="31"/>
  <c r="AW35" i="31" a="1"/>
  <c r="AW35" i="31"/>
  <c r="AV35" i="31" a="1"/>
  <c r="AV35" i="31"/>
  <c r="AU35" i="31" a="1"/>
  <c r="AU35" i="31"/>
  <c r="AT35" i="31" a="1"/>
  <c r="AT35" i="31"/>
  <c r="AS35" i="31" a="1"/>
  <c r="AS35" i="31"/>
  <c r="AR35" i="31" a="1"/>
  <c r="AR35" i="31"/>
  <c r="AQ35" i="31" a="1"/>
  <c r="AQ35" i="31"/>
  <c r="AP35" i="31" a="1"/>
  <c r="AP35" i="31"/>
  <c r="AO35" i="31" a="1"/>
  <c r="AO35" i="31"/>
  <c r="AN35" i="31" a="1"/>
  <c r="AN35" i="31"/>
  <c r="AM35" i="31" a="1"/>
  <c r="AM35" i="31"/>
  <c r="AL35" i="31" a="1"/>
  <c r="AL35" i="31"/>
  <c r="AK35" i="31" a="1"/>
  <c r="AK35" i="31"/>
  <c r="AJ35" i="31" a="1"/>
  <c r="AJ35" i="31"/>
  <c r="AI35" i="31" a="1"/>
  <c r="AI35" i="31"/>
  <c r="AH35" i="31" a="1"/>
  <c r="AH35" i="31"/>
  <c r="AG35" i="31" a="1"/>
  <c r="AG35" i="31"/>
  <c r="AF35" i="31" a="1"/>
  <c r="AF35" i="31"/>
  <c r="AE35" i="31" a="1"/>
  <c r="AE35" i="31"/>
  <c r="AD35" i="31" a="1"/>
  <c r="AD35" i="31"/>
  <c r="AC35" i="31" a="1"/>
  <c r="AC35" i="31"/>
  <c r="AB35" i="31" a="1"/>
  <c r="AB35" i="31"/>
  <c r="AA35" i="31" a="1"/>
  <c r="AA35" i="31"/>
  <c r="Z35" i="31" a="1"/>
  <c r="Z35" i="31"/>
  <c r="Y35" i="31" a="1"/>
  <c r="Y35" i="31"/>
  <c r="X35" i="31" a="1"/>
  <c r="X35" i="31"/>
  <c r="W35" i="31" a="1"/>
  <c r="W35" i="31"/>
  <c r="V35" i="31" a="1"/>
  <c r="V35" i="31"/>
  <c r="U35" i="31" a="1"/>
  <c r="U35" i="31"/>
  <c r="T35" i="31" a="1"/>
  <c r="T35" i="31"/>
  <c r="S35" i="31" a="1"/>
  <c r="S35" i="31"/>
  <c r="R35" i="31" a="1"/>
  <c r="R35" i="31"/>
  <c r="Q35" i="31" a="1"/>
  <c r="Q35" i="31"/>
  <c r="P35" i="31" a="1"/>
  <c r="P35" i="31"/>
  <c r="O35" i="31" a="1"/>
  <c r="O35" i="31"/>
  <c r="N35" i="31" a="1"/>
  <c r="N35" i="31"/>
  <c r="M35" i="31" a="1"/>
  <c r="M35" i="31"/>
  <c r="L35" i="31" a="1"/>
  <c r="L35" i="31"/>
  <c r="K35" i="31" a="1"/>
  <c r="K35" i="31"/>
  <c r="J35" i="31" a="1"/>
  <c r="J35" i="31"/>
  <c r="I35" i="31" a="1"/>
  <c r="I35" i="31"/>
  <c r="H35" i="31" a="1"/>
  <c r="H35" i="31"/>
  <c r="G35" i="31" a="1"/>
  <c r="G35" i="31"/>
  <c r="F35" i="31" a="1"/>
  <c r="F35" i="31"/>
  <c r="E35" i="31" a="1"/>
  <c r="E35" i="31"/>
  <c r="C35" i="31"/>
  <c r="BP34" i="31" a="1"/>
  <c r="BP34" i="31"/>
  <c r="BO34" i="31" a="1"/>
  <c r="BO34" i="31"/>
  <c r="BN34" i="31" a="1"/>
  <c r="BN34" i="31"/>
  <c r="BM34" i="31" a="1"/>
  <c r="BM34" i="31"/>
  <c r="BL34" i="31" a="1"/>
  <c r="BL34" i="31"/>
  <c r="BK34" i="31" a="1"/>
  <c r="BK34" i="31"/>
  <c r="BJ34" i="31" a="1"/>
  <c r="BJ34" i="31"/>
  <c r="BI34" i="31" a="1"/>
  <c r="BI34" i="31"/>
  <c r="BH34" i="31" a="1"/>
  <c r="BH34" i="31"/>
  <c r="BG34" i="31" a="1"/>
  <c r="BG34" i="31"/>
  <c r="BF34" i="31" a="1"/>
  <c r="BF34" i="31"/>
  <c r="BE34" i="31" a="1"/>
  <c r="BE34" i="31"/>
  <c r="BD34" i="31" a="1"/>
  <c r="BD34" i="31"/>
  <c r="BC34" i="31" a="1"/>
  <c r="BC34" i="31"/>
  <c r="BB34" i="31" a="1"/>
  <c r="BB34" i="31"/>
  <c r="BA34" i="31" a="1"/>
  <c r="BA34" i="31"/>
  <c r="AZ34" i="31" a="1"/>
  <c r="AZ34" i="31"/>
  <c r="AY34" i="31" a="1"/>
  <c r="AY34" i="31"/>
  <c r="AX34" i="31" a="1"/>
  <c r="AX34" i="31"/>
  <c r="AW34" i="31" a="1"/>
  <c r="AW34" i="31"/>
  <c r="AV34" i="31" a="1"/>
  <c r="AV34" i="31"/>
  <c r="AU34" i="31" a="1"/>
  <c r="AU34" i="31"/>
  <c r="AT34" i="31" a="1"/>
  <c r="AT34" i="31"/>
  <c r="AS34" i="31" a="1"/>
  <c r="AS34" i="31"/>
  <c r="AR34" i="31" a="1"/>
  <c r="AR34" i="31"/>
  <c r="AQ34" i="31" a="1"/>
  <c r="AQ34" i="31"/>
  <c r="AP34" i="31" a="1"/>
  <c r="AP34" i="31"/>
  <c r="AO34" i="31" a="1"/>
  <c r="AO34" i="31"/>
  <c r="AN34" i="31" a="1"/>
  <c r="AN34" i="31"/>
  <c r="AM34" i="31" a="1"/>
  <c r="AM34" i="31"/>
  <c r="AL34" i="31" a="1"/>
  <c r="AL34" i="31"/>
  <c r="AK34" i="31" a="1"/>
  <c r="AK34" i="31"/>
  <c r="AJ34" i="31" a="1"/>
  <c r="AJ34" i="31"/>
  <c r="AI34" i="31" a="1"/>
  <c r="AI34" i="31"/>
  <c r="AH34" i="31" a="1"/>
  <c r="AH34" i="31"/>
  <c r="AG34" i="31" a="1"/>
  <c r="AG34" i="31"/>
  <c r="AF34" i="31" a="1"/>
  <c r="AF34" i="31"/>
  <c r="AE34" i="31" a="1"/>
  <c r="AE34" i="31"/>
  <c r="AD34" i="31" a="1"/>
  <c r="AD34" i="31"/>
  <c r="AC34" i="31" a="1"/>
  <c r="AC34" i="31"/>
  <c r="AB34" i="31" a="1"/>
  <c r="AB34" i="31"/>
  <c r="AA34" i="31" a="1"/>
  <c r="AA34" i="31"/>
  <c r="Z34" i="31" a="1"/>
  <c r="Z34" i="31"/>
  <c r="Y34" i="31" a="1"/>
  <c r="Y34" i="31"/>
  <c r="X34" i="31" a="1"/>
  <c r="X34" i="31"/>
  <c r="W34" i="31" a="1"/>
  <c r="W34" i="31"/>
  <c r="V34" i="31" a="1"/>
  <c r="V34" i="31"/>
  <c r="U34" i="31" a="1"/>
  <c r="U34" i="31"/>
  <c r="T34" i="31" a="1"/>
  <c r="T34" i="31"/>
  <c r="S34" i="31" a="1"/>
  <c r="S34" i="31"/>
  <c r="R34" i="31" a="1"/>
  <c r="R34" i="31"/>
  <c r="Q34" i="31" a="1"/>
  <c r="Q34" i="31"/>
  <c r="P34" i="31" a="1"/>
  <c r="P34" i="31"/>
  <c r="O34" i="31" a="1"/>
  <c r="O34" i="31"/>
  <c r="N34" i="31" a="1"/>
  <c r="N34" i="31"/>
  <c r="M34" i="31" a="1"/>
  <c r="M34" i="31"/>
  <c r="L34" i="31" a="1"/>
  <c r="L34" i="31"/>
  <c r="K34" i="31" a="1"/>
  <c r="K34" i="31"/>
  <c r="J34" i="31" a="1"/>
  <c r="J34" i="31"/>
  <c r="I34" i="31" a="1"/>
  <c r="I34" i="31"/>
  <c r="H34" i="31" a="1"/>
  <c r="H34" i="31"/>
  <c r="G34" i="31" a="1"/>
  <c r="G34" i="31"/>
  <c r="F34" i="31" a="1"/>
  <c r="F34" i="31"/>
  <c r="E34" i="31" a="1"/>
  <c r="E34" i="31"/>
  <c r="C34" i="31"/>
  <c r="BP33" i="31" a="1"/>
  <c r="BP33" i="31"/>
  <c r="BO33" i="31" a="1"/>
  <c r="BO33" i="31"/>
  <c r="BN33" i="31" a="1"/>
  <c r="BN33" i="31"/>
  <c r="BM33" i="31" a="1"/>
  <c r="BM33" i="31"/>
  <c r="BL33" i="31" a="1"/>
  <c r="BL33" i="31"/>
  <c r="BK33" i="31" a="1"/>
  <c r="BK33" i="31"/>
  <c r="BJ33" i="31" a="1"/>
  <c r="BJ33" i="31"/>
  <c r="BI33" i="31" a="1"/>
  <c r="BI33" i="31"/>
  <c r="BH33" i="31" a="1"/>
  <c r="BH33" i="31"/>
  <c r="BG33" i="31" a="1"/>
  <c r="BG33" i="31"/>
  <c r="BF33" i="31" a="1"/>
  <c r="BF33" i="31"/>
  <c r="BE33" i="31" a="1"/>
  <c r="BE33" i="31"/>
  <c r="BD33" i="31" a="1"/>
  <c r="BD33" i="31"/>
  <c r="BC33" i="31" a="1"/>
  <c r="BC33" i="31"/>
  <c r="BB33" i="31" a="1"/>
  <c r="BB33" i="31"/>
  <c r="BA33" i="31" a="1"/>
  <c r="BA33" i="31"/>
  <c r="AZ33" i="31" a="1"/>
  <c r="AZ33" i="31"/>
  <c r="AY33" i="31" a="1"/>
  <c r="AY33" i="31"/>
  <c r="AX33" i="31" a="1"/>
  <c r="AX33" i="31"/>
  <c r="AW33" i="31" a="1"/>
  <c r="AW33" i="31"/>
  <c r="AV33" i="31" a="1"/>
  <c r="AV33" i="31"/>
  <c r="AU33" i="31" a="1"/>
  <c r="AU33" i="31"/>
  <c r="AT33" i="31" a="1"/>
  <c r="AT33" i="31"/>
  <c r="AS33" i="31" a="1"/>
  <c r="AS33" i="31"/>
  <c r="AR33" i="31" a="1"/>
  <c r="AR33" i="31"/>
  <c r="AQ33" i="31" a="1"/>
  <c r="AQ33" i="31"/>
  <c r="AP33" i="31" a="1"/>
  <c r="AP33" i="31"/>
  <c r="AO33" i="31" a="1"/>
  <c r="AO33" i="31"/>
  <c r="AN33" i="31" a="1"/>
  <c r="AN33" i="31"/>
  <c r="AM33" i="31" a="1"/>
  <c r="AM33" i="31"/>
  <c r="AL33" i="31" a="1"/>
  <c r="AL33" i="31"/>
  <c r="AK33" i="31" a="1"/>
  <c r="AK33" i="31"/>
  <c r="AJ33" i="31" a="1"/>
  <c r="AJ33" i="31"/>
  <c r="AI33" i="31" a="1"/>
  <c r="AI33" i="31"/>
  <c r="AH33" i="31" a="1"/>
  <c r="AH33" i="31"/>
  <c r="AG33" i="31" a="1"/>
  <c r="AG33" i="31"/>
  <c r="AF33" i="31" a="1"/>
  <c r="AF33" i="31"/>
  <c r="AE33" i="31" a="1"/>
  <c r="AE33" i="31"/>
  <c r="AD33" i="31" a="1"/>
  <c r="AD33" i="31"/>
  <c r="AC33" i="31" a="1"/>
  <c r="AC33" i="31"/>
  <c r="AB33" i="31" a="1"/>
  <c r="AB33" i="31"/>
  <c r="AA33" i="31" a="1"/>
  <c r="AA33" i="31"/>
  <c r="Z33" i="31" a="1"/>
  <c r="Z33" i="31"/>
  <c r="Y33" i="31" a="1"/>
  <c r="Y33" i="31"/>
  <c r="X33" i="31" a="1"/>
  <c r="X33" i="31"/>
  <c r="W33" i="31" a="1"/>
  <c r="W33" i="31"/>
  <c r="V33" i="31" a="1"/>
  <c r="V33" i="31"/>
  <c r="U33" i="31" a="1"/>
  <c r="U33" i="31"/>
  <c r="T33" i="31" a="1"/>
  <c r="T33" i="31"/>
  <c r="S33" i="31" a="1"/>
  <c r="S33" i="31"/>
  <c r="R33" i="31" a="1"/>
  <c r="R33" i="31"/>
  <c r="Q33" i="31" a="1"/>
  <c r="Q33" i="31"/>
  <c r="P33" i="31" a="1"/>
  <c r="P33" i="31"/>
  <c r="O33" i="31" a="1"/>
  <c r="O33" i="31"/>
  <c r="N33" i="31" a="1"/>
  <c r="N33" i="31"/>
  <c r="M33" i="31" a="1"/>
  <c r="M33" i="31"/>
  <c r="L33" i="31" a="1"/>
  <c r="L33" i="31"/>
  <c r="K33" i="31" a="1"/>
  <c r="K33" i="31"/>
  <c r="J33" i="31" a="1"/>
  <c r="J33" i="31"/>
  <c r="I33" i="31" a="1"/>
  <c r="I33" i="31"/>
  <c r="H33" i="31" a="1"/>
  <c r="H33" i="31"/>
  <c r="G33" i="31" a="1"/>
  <c r="G33" i="31"/>
  <c r="F33" i="31" a="1"/>
  <c r="F33" i="31"/>
  <c r="E33" i="31" a="1"/>
  <c r="E33" i="31"/>
  <c r="C33" i="31"/>
  <c r="BP32" i="31" a="1"/>
  <c r="BP32" i="31"/>
  <c r="BO32" i="31" a="1"/>
  <c r="BO32" i="31"/>
  <c r="BN32" i="31" a="1"/>
  <c r="BN32" i="31"/>
  <c r="BM32" i="31" a="1"/>
  <c r="BM32" i="31"/>
  <c r="BL32" i="31" a="1"/>
  <c r="BL32" i="31"/>
  <c r="BK32" i="31" a="1"/>
  <c r="BK32" i="31"/>
  <c r="BJ32" i="31" a="1"/>
  <c r="BJ32" i="31"/>
  <c r="BI32" i="31" a="1"/>
  <c r="BI32" i="31"/>
  <c r="BH32" i="31" a="1"/>
  <c r="BH32" i="31"/>
  <c r="BG32" i="31" a="1"/>
  <c r="BG32" i="31"/>
  <c r="BF32" i="31" a="1"/>
  <c r="BF32" i="31"/>
  <c r="BE32" i="31" a="1"/>
  <c r="BE32" i="31"/>
  <c r="BD32" i="31" a="1"/>
  <c r="BD32" i="31"/>
  <c r="BC32" i="31" a="1"/>
  <c r="BC32" i="31"/>
  <c r="BB32" i="31" a="1"/>
  <c r="BB32" i="31"/>
  <c r="BA32" i="31" a="1"/>
  <c r="BA32" i="31"/>
  <c r="AZ32" i="31" a="1"/>
  <c r="AZ32" i="31"/>
  <c r="AY32" i="31" a="1"/>
  <c r="AY32" i="31"/>
  <c r="AX32" i="31" a="1"/>
  <c r="AX32" i="31"/>
  <c r="AW32" i="31" a="1"/>
  <c r="AW32" i="31"/>
  <c r="AV32" i="31" a="1"/>
  <c r="AV32" i="31"/>
  <c r="AU32" i="31" a="1"/>
  <c r="AU32" i="31"/>
  <c r="AT32" i="31" a="1"/>
  <c r="AT32" i="31"/>
  <c r="AS32" i="31" a="1"/>
  <c r="AS32" i="31"/>
  <c r="AR32" i="31" a="1"/>
  <c r="AR32" i="31"/>
  <c r="AQ32" i="31" a="1"/>
  <c r="AQ32" i="31"/>
  <c r="AP32" i="31" a="1"/>
  <c r="AP32" i="31"/>
  <c r="AO32" i="31" a="1"/>
  <c r="AO32" i="31"/>
  <c r="AN32" i="31" a="1"/>
  <c r="AN32" i="31"/>
  <c r="AM32" i="31" a="1"/>
  <c r="AM32" i="31"/>
  <c r="AL32" i="31" a="1"/>
  <c r="AL32" i="31"/>
  <c r="AK32" i="31" a="1"/>
  <c r="AK32" i="31"/>
  <c r="AJ32" i="31" a="1"/>
  <c r="AJ32" i="31"/>
  <c r="AI32" i="31" a="1"/>
  <c r="AI32" i="31"/>
  <c r="AH32" i="31" a="1"/>
  <c r="AH32" i="31"/>
  <c r="AG32" i="31" a="1"/>
  <c r="AG32" i="31"/>
  <c r="AF32" i="31" a="1"/>
  <c r="AF32" i="31"/>
  <c r="AE32" i="31" a="1"/>
  <c r="AE32" i="31"/>
  <c r="AD32" i="31" a="1"/>
  <c r="AD32" i="31"/>
  <c r="AC32" i="31" a="1"/>
  <c r="AC32" i="31"/>
  <c r="AB32" i="31" a="1"/>
  <c r="AB32" i="31"/>
  <c r="AA32" i="31" a="1"/>
  <c r="AA32" i="31"/>
  <c r="Z32" i="31" a="1"/>
  <c r="Z32" i="31"/>
  <c r="Y32" i="31" a="1"/>
  <c r="Y32" i="31"/>
  <c r="X32" i="31" a="1"/>
  <c r="X32" i="31"/>
  <c r="W32" i="31" a="1"/>
  <c r="W32" i="31"/>
  <c r="V32" i="31" a="1"/>
  <c r="V32" i="31"/>
  <c r="U32" i="31" a="1"/>
  <c r="U32" i="31"/>
  <c r="T32" i="31" a="1"/>
  <c r="T32" i="31"/>
  <c r="S32" i="31" a="1"/>
  <c r="S32" i="31"/>
  <c r="R32" i="31" a="1"/>
  <c r="R32" i="31"/>
  <c r="Q32" i="31" a="1"/>
  <c r="Q32" i="31"/>
  <c r="P32" i="31" a="1"/>
  <c r="P32" i="31"/>
  <c r="O32" i="31" a="1"/>
  <c r="O32" i="31"/>
  <c r="N32" i="31" a="1"/>
  <c r="N32" i="31"/>
  <c r="M32" i="31" a="1"/>
  <c r="M32" i="31"/>
  <c r="L32" i="31" a="1"/>
  <c r="L32" i="31"/>
  <c r="K32" i="31" a="1"/>
  <c r="K32" i="31"/>
  <c r="J32" i="31" a="1"/>
  <c r="J32" i="31"/>
  <c r="I32" i="31" a="1"/>
  <c r="I32" i="31"/>
  <c r="H32" i="31" a="1"/>
  <c r="H32" i="31"/>
  <c r="G32" i="31" a="1"/>
  <c r="G32" i="31"/>
  <c r="F32" i="31" a="1"/>
  <c r="F32" i="31"/>
  <c r="E32" i="31" a="1"/>
  <c r="E32" i="31"/>
  <c r="C32" i="31"/>
  <c r="BP31" i="31" a="1"/>
  <c r="BP31" i="31"/>
  <c r="BO31" i="31" a="1"/>
  <c r="BO31" i="31"/>
  <c r="BN31" i="31" a="1"/>
  <c r="BN31" i="31"/>
  <c r="BM31" i="31" a="1"/>
  <c r="BM31" i="31"/>
  <c r="BL31" i="31" a="1"/>
  <c r="BL31" i="31"/>
  <c r="BK31" i="31" a="1"/>
  <c r="BK31" i="31"/>
  <c r="BJ31" i="31" a="1"/>
  <c r="BJ31" i="31"/>
  <c r="BI31" i="31" a="1"/>
  <c r="BI31" i="31"/>
  <c r="BH31" i="31" a="1"/>
  <c r="BH31" i="31"/>
  <c r="BG31" i="31" a="1"/>
  <c r="BG31" i="31"/>
  <c r="BF31" i="31" a="1"/>
  <c r="BF31" i="31"/>
  <c r="BE31" i="31" a="1"/>
  <c r="BE31" i="31"/>
  <c r="BD31" i="31" a="1"/>
  <c r="BD31" i="31"/>
  <c r="BC31" i="31" a="1"/>
  <c r="BC31" i="31"/>
  <c r="BB31" i="31" a="1"/>
  <c r="BB31" i="31"/>
  <c r="BA31" i="31" a="1"/>
  <c r="BA31" i="31"/>
  <c r="AZ31" i="31" a="1"/>
  <c r="AZ31" i="31"/>
  <c r="AY31" i="31" a="1"/>
  <c r="AY31" i="31"/>
  <c r="AX31" i="31" a="1"/>
  <c r="AX31" i="31"/>
  <c r="AW31" i="31" a="1"/>
  <c r="AW31" i="31"/>
  <c r="AV31" i="31" a="1"/>
  <c r="AV31" i="31"/>
  <c r="AU31" i="31" a="1"/>
  <c r="AU31" i="31"/>
  <c r="AT31" i="31" a="1"/>
  <c r="AT31" i="31"/>
  <c r="AS31" i="31" a="1"/>
  <c r="AS31" i="31"/>
  <c r="AR31" i="31" a="1"/>
  <c r="AR31" i="31"/>
  <c r="AQ31" i="31" a="1"/>
  <c r="AQ31" i="31"/>
  <c r="AP31" i="31" a="1"/>
  <c r="AP31" i="31"/>
  <c r="AO31" i="31" a="1"/>
  <c r="AO31" i="31"/>
  <c r="AN31" i="31" a="1"/>
  <c r="AN31" i="31"/>
  <c r="AM31" i="31" a="1"/>
  <c r="AM31" i="31"/>
  <c r="AL31" i="31" a="1"/>
  <c r="AL31" i="31"/>
  <c r="AK31" i="31" a="1"/>
  <c r="AK31" i="31"/>
  <c r="AJ31" i="31" a="1"/>
  <c r="AJ31" i="31"/>
  <c r="AI31" i="31" a="1"/>
  <c r="AI31" i="31"/>
  <c r="AH31" i="31" a="1"/>
  <c r="AH31" i="31"/>
  <c r="AG31" i="31" a="1"/>
  <c r="AG31" i="31"/>
  <c r="AF31" i="31" a="1"/>
  <c r="AF31" i="31"/>
  <c r="AE31" i="31" a="1"/>
  <c r="AE31" i="31"/>
  <c r="AD31" i="31" a="1"/>
  <c r="AD31" i="31"/>
  <c r="AC31" i="31" a="1"/>
  <c r="AC31" i="31"/>
  <c r="AB31" i="31" a="1"/>
  <c r="AB31" i="31"/>
  <c r="AA31" i="31" a="1"/>
  <c r="AA31" i="31"/>
  <c r="Z31" i="31" a="1"/>
  <c r="Z31" i="31"/>
  <c r="Y31" i="31" a="1"/>
  <c r="Y31" i="31"/>
  <c r="X31" i="31" a="1"/>
  <c r="X31" i="31"/>
  <c r="W31" i="31" a="1"/>
  <c r="W31" i="31"/>
  <c r="V31" i="31" a="1"/>
  <c r="V31" i="31"/>
  <c r="U31" i="31" a="1"/>
  <c r="U31" i="31"/>
  <c r="T31" i="31" a="1"/>
  <c r="T31" i="31"/>
  <c r="S31" i="31" a="1"/>
  <c r="S31" i="31"/>
  <c r="R31" i="31" a="1"/>
  <c r="R31" i="31"/>
  <c r="Q31" i="31" a="1"/>
  <c r="Q31" i="31"/>
  <c r="P31" i="31" a="1"/>
  <c r="P31" i="31"/>
  <c r="O31" i="31" a="1"/>
  <c r="O31" i="31"/>
  <c r="N31" i="31" a="1"/>
  <c r="N31" i="31"/>
  <c r="M31" i="31" a="1"/>
  <c r="M31" i="31"/>
  <c r="L31" i="31" a="1"/>
  <c r="L31" i="31"/>
  <c r="K31" i="31" a="1"/>
  <c r="K31" i="31"/>
  <c r="J31" i="31" a="1"/>
  <c r="J31" i="31"/>
  <c r="I31" i="31" a="1"/>
  <c r="I31" i="31"/>
  <c r="H31" i="31" a="1"/>
  <c r="H31" i="31"/>
  <c r="G31" i="31" a="1"/>
  <c r="G31" i="31"/>
  <c r="F31" i="31" a="1"/>
  <c r="F31" i="31"/>
  <c r="E31" i="31" a="1"/>
  <c r="E31" i="31"/>
  <c r="C31" i="31"/>
  <c r="BP30" i="31" a="1"/>
  <c r="BP30" i="31"/>
  <c r="BO30" i="31" a="1"/>
  <c r="BO30" i="31"/>
  <c r="BN30" i="31" a="1"/>
  <c r="BN30" i="31"/>
  <c r="BM30" i="31" a="1"/>
  <c r="BM30" i="31"/>
  <c r="BL30" i="31" a="1"/>
  <c r="BL30" i="31"/>
  <c r="BK30" i="31" a="1"/>
  <c r="BK30" i="31"/>
  <c r="BJ30" i="31" a="1"/>
  <c r="BJ30" i="31"/>
  <c r="BI30" i="31" a="1"/>
  <c r="BI30" i="31"/>
  <c r="BH30" i="31" a="1"/>
  <c r="BH30" i="31"/>
  <c r="BG30" i="31" a="1"/>
  <c r="BG30" i="31"/>
  <c r="BF30" i="31" a="1"/>
  <c r="BF30" i="31"/>
  <c r="BE30" i="31" a="1"/>
  <c r="BE30" i="31"/>
  <c r="BD30" i="31" a="1"/>
  <c r="BD30" i="31"/>
  <c r="BC30" i="31" a="1"/>
  <c r="BC30" i="31"/>
  <c r="BB30" i="31" a="1"/>
  <c r="BB30" i="31"/>
  <c r="BA30" i="31" a="1"/>
  <c r="BA30" i="31"/>
  <c r="AZ30" i="31" a="1"/>
  <c r="AZ30" i="31"/>
  <c r="AY30" i="31" a="1"/>
  <c r="AY30" i="31"/>
  <c r="AX30" i="31" a="1"/>
  <c r="AX30" i="31"/>
  <c r="AW30" i="31" a="1"/>
  <c r="AW30" i="31"/>
  <c r="AV30" i="31" a="1"/>
  <c r="AV30" i="31"/>
  <c r="AU30" i="31" a="1"/>
  <c r="AU30" i="31"/>
  <c r="AT30" i="31" a="1"/>
  <c r="AT30" i="31"/>
  <c r="AS30" i="31" a="1"/>
  <c r="AS30" i="31"/>
  <c r="AR30" i="31" a="1"/>
  <c r="AR30" i="31"/>
  <c r="AQ30" i="31" a="1"/>
  <c r="AQ30" i="31"/>
  <c r="AP30" i="31" a="1"/>
  <c r="AP30" i="31"/>
  <c r="AO30" i="31" a="1"/>
  <c r="AO30" i="31"/>
  <c r="AN30" i="31" a="1"/>
  <c r="AN30" i="31"/>
  <c r="AM30" i="31" a="1"/>
  <c r="AM30" i="31"/>
  <c r="AL30" i="31" a="1"/>
  <c r="AL30" i="31"/>
  <c r="AK30" i="31" a="1"/>
  <c r="AK30" i="31"/>
  <c r="AJ30" i="31" a="1"/>
  <c r="AJ30" i="31"/>
  <c r="AI30" i="31" a="1"/>
  <c r="AI30" i="31"/>
  <c r="AH30" i="31" a="1"/>
  <c r="AH30" i="31"/>
  <c r="AG30" i="31" a="1"/>
  <c r="AG30" i="31"/>
  <c r="AF30" i="31" a="1"/>
  <c r="AF30" i="31"/>
  <c r="AE30" i="31" a="1"/>
  <c r="AE30" i="31"/>
  <c r="AD30" i="31" a="1"/>
  <c r="AD30" i="31"/>
  <c r="AC30" i="31" a="1"/>
  <c r="AC30" i="31"/>
  <c r="AB30" i="31" a="1"/>
  <c r="AB30" i="31"/>
  <c r="AA30" i="31" a="1"/>
  <c r="AA30" i="31"/>
  <c r="Z30" i="31" a="1"/>
  <c r="Z30" i="31"/>
  <c r="Y30" i="31" a="1"/>
  <c r="Y30" i="31"/>
  <c r="X30" i="31" a="1"/>
  <c r="X30" i="31"/>
  <c r="W30" i="31" a="1"/>
  <c r="W30" i="31"/>
  <c r="V30" i="31" a="1"/>
  <c r="V30" i="31"/>
  <c r="U30" i="31" a="1"/>
  <c r="U30" i="31"/>
  <c r="T30" i="31" a="1"/>
  <c r="T30" i="31"/>
  <c r="S30" i="31" a="1"/>
  <c r="S30" i="31"/>
  <c r="R30" i="31" a="1"/>
  <c r="R30" i="31"/>
  <c r="Q30" i="31" a="1"/>
  <c r="Q30" i="31"/>
  <c r="P30" i="31" a="1"/>
  <c r="P30" i="31"/>
  <c r="O30" i="31" a="1"/>
  <c r="O30" i="31"/>
  <c r="N30" i="31" a="1"/>
  <c r="N30" i="31"/>
  <c r="M30" i="31" a="1"/>
  <c r="M30" i="31"/>
  <c r="L30" i="31" a="1"/>
  <c r="L30" i="31"/>
  <c r="K30" i="31" a="1"/>
  <c r="K30" i="31"/>
  <c r="J30" i="31" a="1"/>
  <c r="J30" i="31"/>
  <c r="I30" i="31" a="1"/>
  <c r="I30" i="31"/>
  <c r="H30" i="31" a="1"/>
  <c r="H30" i="31"/>
  <c r="G30" i="31" a="1"/>
  <c r="G30" i="31"/>
  <c r="F30" i="31" a="1"/>
  <c r="F30" i="31"/>
  <c r="E30" i="31" a="1"/>
  <c r="E30" i="31"/>
  <c r="C30" i="31"/>
  <c r="AD25" i="31"/>
  <c r="AA17" i="31"/>
  <c r="AB17" i="31"/>
  <c r="W17" i="31"/>
  <c r="AA18" i="31"/>
  <c r="AB18" i="31"/>
  <c r="W18" i="31"/>
  <c r="AA19" i="31"/>
  <c r="AB19" i="31"/>
  <c r="W19" i="31"/>
  <c r="AA20" i="31"/>
  <c r="AB20" i="31"/>
  <c r="W20" i="31"/>
  <c r="Z25" i="31"/>
  <c r="X25" i="31"/>
  <c r="N25" i="31" a="1"/>
  <c r="N25" i="31"/>
  <c r="M25" i="31"/>
  <c r="AD24" i="31"/>
  <c r="Z24" i="31"/>
  <c r="X24" i="31"/>
  <c r="N24" i="31" a="1"/>
  <c r="N24" i="31"/>
  <c r="M24" i="31"/>
  <c r="AD23" i="31"/>
  <c r="Z23" i="31"/>
  <c r="X23" i="31"/>
  <c r="N23" i="31" a="1"/>
  <c r="N23" i="31"/>
  <c r="M23" i="31"/>
  <c r="AD22" i="31"/>
  <c r="Z22" i="31"/>
  <c r="X22" i="31"/>
  <c r="N22" i="31" a="1"/>
  <c r="N22" i="31"/>
  <c r="M22" i="31"/>
  <c r="AD21" i="31"/>
  <c r="Z21" i="31"/>
  <c r="X21" i="31"/>
  <c r="N21" i="31" a="1"/>
  <c r="N21" i="31"/>
  <c r="M21" i="31"/>
  <c r="Z20" i="31"/>
  <c r="X20" i="31"/>
  <c r="J20" i="31"/>
  <c r="I20" i="31"/>
  <c r="H20" i="31"/>
  <c r="K7" i="31"/>
  <c r="N7" i="31"/>
  <c r="G20" i="31"/>
  <c r="F20" i="31"/>
  <c r="E20" i="31"/>
  <c r="D20" i="31"/>
  <c r="Z19" i="31"/>
  <c r="X19" i="31"/>
  <c r="J19" i="31"/>
  <c r="I19" i="31"/>
  <c r="H19" i="31"/>
  <c r="K6" i="31"/>
  <c r="N6" i="31"/>
  <c r="G19" i="31"/>
  <c r="F19" i="31"/>
  <c r="E19" i="31"/>
  <c r="D19" i="31"/>
  <c r="Z18" i="31"/>
  <c r="X18" i="31"/>
  <c r="J18" i="31"/>
  <c r="I18" i="31"/>
  <c r="H18" i="31"/>
  <c r="K5" i="31"/>
  <c r="N5" i="31"/>
  <c r="G18" i="31"/>
  <c r="F18" i="31"/>
  <c r="E18" i="31"/>
  <c r="D18" i="31"/>
  <c r="Z17" i="31"/>
  <c r="X17" i="31"/>
  <c r="J17" i="31"/>
  <c r="I17" i="31"/>
  <c r="H17" i="31"/>
  <c r="F17" i="31"/>
  <c r="E17" i="31"/>
  <c r="K8" i="31"/>
  <c r="K9" i="31"/>
  <c r="K10" i="31"/>
  <c r="K11" i="31"/>
  <c r="K12" i="31"/>
  <c r="F13" i="31"/>
  <c r="B13" i="31"/>
  <c r="S12" i="31"/>
  <c r="N12" i="31"/>
  <c r="E12" i="31"/>
  <c r="D12" i="31"/>
  <c r="E4" i="31"/>
  <c r="D4" i="31"/>
  <c r="E5" i="31"/>
  <c r="D5" i="31"/>
  <c r="E6" i="31"/>
  <c r="D6" i="31"/>
  <c r="E7" i="31"/>
  <c r="D7" i="31"/>
  <c r="E8" i="31"/>
  <c r="D8" i="31"/>
  <c r="E9" i="31"/>
  <c r="D9" i="31"/>
  <c r="E10" i="31"/>
  <c r="D10" i="31"/>
  <c r="E11" i="31"/>
  <c r="D11" i="31"/>
  <c r="C12" i="31"/>
  <c r="S11" i="31"/>
  <c r="N11" i="31"/>
  <c r="C11" i="31"/>
  <c r="S10" i="31"/>
  <c r="N10" i="31"/>
  <c r="C10" i="31"/>
  <c r="S9" i="31"/>
  <c r="N9" i="31"/>
  <c r="C9" i="31"/>
  <c r="S8" i="31"/>
  <c r="N8" i="31"/>
  <c r="C8" i="31"/>
  <c r="S7" i="31"/>
  <c r="C7" i="31"/>
  <c r="S6" i="31"/>
  <c r="C6" i="31"/>
  <c r="S5" i="31"/>
  <c r="C5" i="31"/>
  <c r="S4" i="31"/>
  <c r="C4" i="31"/>
  <c r="C18" i="30"/>
  <c r="AD18" i="30"/>
  <c r="Y18" i="30"/>
  <c r="C19" i="30"/>
  <c r="AD19" i="30"/>
  <c r="Y19" i="30"/>
  <c r="C20" i="30"/>
  <c r="AD20" i="30"/>
  <c r="Y20" i="30"/>
  <c r="C17" i="30"/>
  <c r="AD17" i="30"/>
  <c r="Y17" i="30"/>
  <c r="AD21" i="30"/>
  <c r="AD22" i="30"/>
  <c r="AD23" i="30"/>
  <c r="AD24" i="30"/>
  <c r="AD25" i="30"/>
  <c r="I9" i="44"/>
  <c r="O3" i="17"/>
  <c r="P3" i="17"/>
  <c r="Q3" i="17"/>
  <c r="R3" i="17"/>
  <c r="S3" i="17"/>
  <c r="T3" i="17"/>
  <c r="U3" i="17"/>
  <c r="V3" i="17"/>
  <c r="O4" i="17"/>
  <c r="P4" i="17"/>
  <c r="Q4" i="17"/>
  <c r="R4" i="17"/>
  <c r="W3" i="17"/>
  <c r="W4" i="17"/>
  <c r="Y4" i="17"/>
  <c r="W5" i="17"/>
  <c r="Y5" i="17"/>
  <c r="W6" i="17"/>
  <c r="Z19" i="17"/>
  <c r="Y6" i="17"/>
  <c r="W7" i="17"/>
  <c r="Y7" i="17"/>
  <c r="W8" i="17"/>
  <c r="Z21" i="17"/>
  <c r="Y8" i="17"/>
  <c r="W9" i="17"/>
  <c r="Y9" i="17"/>
  <c r="W10" i="17"/>
  <c r="Y10" i="17"/>
  <c r="W11" i="17"/>
  <c r="Y11" i="17"/>
  <c r="W12" i="17"/>
  <c r="Y12" i="17"/>
  <c r="Z4" i="17"/>
  <c r="Z5" i="17"/>
  <c r="Z6" i="17"/>
  <c r="Z7" i="17"/>
  <c r="Z8" i="17"/>
  <c r="Z9" i="17"/>
  <c r="Z10" i="17"/>
  <c r="Z11" i="17"/>
  <c r="Z12" i="17"/>
  <c r="AA4" i="17"/>
  <c r="AA5" i="17"/>
  <c r="AA6" i="17"/>
  <c r="X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C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H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M4" i="17"/>
  <c r="AA7" i="17"/>
  <c r="AA8" i="17"/>
  <c r="X5" i="17"/>
  <c r="AF5" i="17"/>
  <c r="AC5" i="17"/>
  <c r="AK5" i="17"/>
  <c r="AH5" i="17"/>
  <c r="AP5" i="17"/>
  <c r="AM5" i="17"/>
  <c r="X6" i="17"/>
  <c r="AF6" i="17"/>
  <c r="AC6" i="17"/>
  <c r="AK6" i="17"/>
  <c r="AH6" i="17"/>
  <c r="AP6" i="17"/>
  <c r="AM6" i="17"/>
  <c r="X7" i="17"/>
  <c r="AF7" i="17"/>
  <c r="AC7" i="17"/>
  <c r="AK7" i="17"/>
  <c r="AH7" i="17"/>
  <c r="AP7" i="17"/>
  <c r="AM7" i="17"/>
  <c r="X8" i="17"/>
  <c r="AF8" i="17"/>
  <c r="AC8" i="17"/>
  <c r="AK8" i="17"/>
  <c r="AH8" i="17"/>
  <c r="AP8" i="17"/>
  <c r="AM8" i="17"/>
  <c r="AA9" i="17"/>
  <c r="X9" i="17"/>
  <c r="AF9" i="17"/>
  <c r="AC9" i="17"/>
  <c r="AK9" i="17"/>
  <c r="AH9" i="17"/>
  <c r="AP9" i="17"/>
  <c r="AM9" i="17"/>
  <c r="AA10" i="17"/>
  <c r="X10" i="17"/>
  <c r="AF10" i="17"/>
  <c r="AC10" i="17"/>
  <c r="AK10" i="17"/>
  <c r="AH10" i="17"/>
  <c r="AP10" i="17"/>
  <c r="AM10" i="17"/>
  <c r="AA11" i="17"/>
  <c r="X11" i="17"/>
  <c r="AF11" i="17"/>
  <c r="AC11" i="17"/>
  <c r="AK11" i="17"/>
  <c r="AH11" i="17"/>
  <c r="AP11" i="17"/>
  <c r="AM11" i="17"/>
  <c r="AA12" i="17"/>
  <c r="X12" i="17"/>
  <c r="AF12" i="17"/>
  <c r="AC12" i="17"/>
  <c r="AK12" i="17"/>
  <c r="AH12" i="17"/>
  <c r="AP12" i="17"/>
  <c r="AM12" i="17"/>
  <c r="H9" i="44"/>
  <c r="AK27" i="6"/>
  <c r="AK26" i="6"/>
  <c r="AK25" i="6"/>
  <c r="AK24" i="6"/>
  <c r="AK23" i="6"/>
  <c r="O3" i="25"/>
  <c r="P3" i="25"/>
  <c r="Q3" i="25"/>
  <c r="R3" i="25"/>
  <c r="S3" i="25"/>
  <c r="T3" i="25"/>
  <c r="U3" i="25"/>
  <c r="V3" i="25"/>
  <c r="O4" i="25"/>
  <c r="P4" i="25"/>
  <c r="Q4" i="25"/>
  <c r="R4" i="25"/>
  <c r="W3" i="25"/>
  <c r="W4" i="25"/>
  <c r="Y4" i="25"/>
  <c r="W5" i="25"/>
  <c r="Y5" i="25"/>
  <c r="W6" i="25"/>
  <c r="Z19" i="25"/>
  <c r="Y6" i="25"/>
  <c r="W7" i="25"/>
  <c r="Y7" i="25"/>
  <c r="W8" i="25"/>
  <c r="Z21" i="25"/>
  <c r="Y8" i="25"/>
  <c r="W9" i="25"/>
  <c r="Y9" i="25"/>
  <c r="W10" i="25"/>
  <c r="Y10" i="25"/>
  <c r="W11" i="25"/>
  <c r="Y11" i="25"/>
  <c r="W12" i="25"/>
  <c r="Y12" i="25"/>
  <c r="Z4" i="25"/>
  <c r="Z5" i="25"/>
  <c r="Z6" i="25"/>
  <c r="Z7" i="25"/>
  <c r="Z8" i="25"/>
  <c r="Z9" i="25"/>
  <c r="Z10" i="25"/>
  <c r="Z11" i="25"/>
  <c r="Z12" i="25"/>
  <c r="AA4" i="25"/>
  <c r="AA5" i="25"/>
  <c r="AA6" i="25"/>
  <c r="X4" i="25"/>
  <c r="AB3" i="25"/>
  <c r="AB4" i="25"/>
  <c r="AD4" i="25"/>
  <c r="AB5" i="25"/>
  <c r="AD5" i="25"/>
  <c r="AB6" i="25"/>
  <c r="AD6" i="25"/>
  <c r="AB7" i="25"/>
  <c r="AD7" i="25"/>
  <c r="AB8" i="25"/>
  <c r="AD8" i="25"/>
  <c r="AB9" i="25"/>
  <c r="AD9" i="25"/>
  <c r="AB10" i="25"/>
  <c r="AD10" i="25"/>
  <c r="AB11" i="25"/>
  <c r="AD11" i="25"/>
  <c r="AB12" i="25"/>
  <c r="AD12" i="25"/>
  <c r="AE4" i="25"/>
  <c r="AE5" i="25"/>
  <c r="AE6" i="25"/>
  <c r="AE7" i="25"/>
  <c r="AE8" i="25"/>
  <c r="AE9" i="25"/>
  <c r="AE10" i="25"/>
  <c r="AE11" i="25"/>
  <c r="AE12" i="25"/>
  <c r="AF4" i="25"/>
  <c r="AC4" i="25"/>
  <c r="AG3" i="25"/>
  <c r="AG4" i="25"/>
  <c r="AI4" i="25"/>
  <c r="AG5" i="25"/>
  <c r="AI5" i="25"/>
  <c r="AG6" i="25"/>
  <c r="AI6" i="25"/>
  <c r="AG7" i="25"/>
  <c r="AI7" i="25"/>
  <c r="AG8" i="25"/>
  <c r="AI8" i="25"/>
  <c r="AG9" i="25"/>
  <c r="AI9" i="25"/>
  <c r="AG10" i="25"/>
  <c r="AI10" i="25"/>
  <c r="AG11" i="25"/>
  <c r="AI11" i="25"/>
  <c r="AG12" i="25"/>
  <c r="AI12" i="25"/>
  <c r="AJ4" i="25"/>
  <c r="AJ5" i="25"/>
  <c r="AJ6" i="25"/>
  <c r="AJ7" i="25"/>
  <c r="AJ8" i="25"/>
  <c r="AJ9" i="25"/>
  <c r="AJ10" i="25"/>
  <c r="AJ11" i="25"/>
  <c r="AJ12" i="25"/>
  <c r="AK4" i="25"/>
  <c r="AH4" i="25"/>
  <c r="AL3" i="25"/>
  <c r="AL4" i="25"/>
  <c r="AN4" i="25"/>
  <c r="AL5" i="25"/>
  <c r="AN5" i="25"/>
  <c r="AL6" i="25"/>
  <c r="AN6" i="25"/>
  <c r="AL7" i="25"/>
  <c r="AN7" i="25"/>
  <c r="AL8" i="25"/>
  <c r="AN8" i="25"/>
  <c r="AL9" i="25"/>
  <c r="AN9" i="25"/>
  <c r="AL10" i="25"/>
  <c r="AN10" i="25"/>
  <c r="AL11" i="25"/>
  <c r="AN11" i="25"/>
  <c r="AL12" i="25"/>
  <c r="AN12" i="25"/>
  <c r="AO4" i="25"/>
  <c r="AO5" i="25"/>
  <c r="AO6" i="25"/>
  <c r="AO7" i="25"/>
  <c r="AO8" i="25"/>
  <c r="AO9" i="25"/>
  <c r="AO10" i="25"/>
  <c r="AO11" i="25"/>
  <c r="AO12" i="25"/>
  <c r="AP4" i="25"/>
  <c r="AM4" i="25"/>
  <c r="AA7" i="25"/>
  <c r="AA8" i="25"/>
  <c r="X5" i="25"/>
  <c r="AF5" i="25"/>
  <c r="AC5" i="25"/>
  <c r="AK5" i="25"/>
  <c r="AH5" i="25"/>
  <c r="AP5" i="25"/>
  <c r="AM5" i="25"/>
  <c r="X6" i="25"/>
  <c r="AF6" i="25"/>
  <c r="AC6" i="25"/>
  <c r="AK6" i="25"/>
  <c r="AH6" i="25"/>
  <c r="AP6" i="25"/>
  <c r="AM6" i="25"/>
  <c r="X7" i="25"/>
  <c r="AF7" i="25"/>
  <c r="AC7" i="25"/>
  <c r="AK7" i="25"/>
  <c r="AH7" i="25"/>
  <c r="AP7" i="25"/>
  <c r="AM7" i="25"/>
  <c r="X8" i="25"/>
  <c r="AF8" i="25"/>
  <c r="AC8" i="25"/>
  <c r="AK8" i="25"/>
  <c r="AH8" i="25"/>
  <c r="AP8" i="25"/>
  <c r="AM8" i="25"/>
  <c r="AA9" i="25"/>
  <c r="X9" i="25"/>
  <c r="AF9" i="25"/>
  <c r="AC9" i="25"/>
  <c r="AK9" i="25"/>
  <c r="AH9" i="25"/>
  <c r="AP9" i="25"/>
  <c r="AM9" i="25"/>
  <c r="AA10" i="25"/>
  <c r="X10" i="25"/>
  <c r="AF10" i="25"/>
  <c r="AC10" i="25"/>
  <c r="AK10" i="25"/>
  <c r="AH10" i="25"/>
  <c r="AP10" i="25"/>
  <c r="AM10" i="25"/>
  <c r="AA11" i="25"/>
  <c r="X11" i="25"/>
  <c r="AF11" i="25"/>
  <c r="AC11" i="25"/>
  <c r="AK11" i="25"/>
  <c r="AH11" i="25"/>
  <c r="AP11" i="25"/>
  <c r="AM11" i="25"/>
  <c r="AA12" i="25"/>
  <c r="X12" i="25"/>
  <c r="AF12" i="25"/>
  <c r="AC12" i="25"/>
  <c r="AK12" i="25"/>
  <c r="AH12" i="25"/>
  <c r="AP12" i="25"/>
  <c r="AM12" i="25"/>
  <c r="AK37" i="6"/>
  <c r="AK36" i="6"/>
  <c r="AK35" i="6"/>
  <c r="AK34" i="6"/>
  <c r="AK33" i="6"/>
  <c r="O3" i="35"/>
  <c r="P3" i="35"/>
  <c r="Q3" i="35"/>
  <c r="R3" i="35"/>
  <c r="S3" i="35"/>
  <c r="T3" i="35"/>
  <c r="U3" i="35"/>
  <c r="V3" i="35"/>
  <c r="O4" i="35"/>
  <c r="P4" i="35"/>
  <c r="Q4" i="35"/>
  <c r="R4" i="35"/>
  <c r="W3" i="35"/>
  <c r="W4" i="35"/>
  <c r="Y4" i="35"/>
  <c r="W5" i="35"/>
  <c r="Y5" i="35"/>
  <c r="W6" i="35"/>
  <c r="Y6" i="35"/>
  <c r="W7" i="35"/>
  <c r="Y7" i="35"/>
  <c r="W8" i="35"/>
  <c r="Y8" i="35"/>
  <c r="W9" i="35"/>
  <c r="Y9" i="35"/>
  <c r="W10" i="35"/>
  <c r="Y10" i="35"/>
  <c r="W11" i="35"/>
  <c r="Y11" i="35"/>
  <c r="W12" i="35"/>
  <c r="Y12" i="35"/>
  <c r="Z4" i="35"/>
  <c r="Z5" i="35"/>
  <c r="Z6" i="35"/>
  <c r="Z7" i="35"/>
  <c r="Z8" i="35"/>
  <c r="Z9" i="35"/>
  <c r="Z10" i="35"/>
  <c r="Z11" i="35"/>
  <c r="Z12" i="35"/>
  <c r="AA4" i="35"/>
  <c r="X4" i="35"/>
  <c r="AB3" i="35"/>
  <c r="AB4" i="35"/>
  <c r="AD4" i="35"/>
  <c r="AB5" i="35"/>
  <c r="AD5" i="35"/>
  <c r="AB6" i="35"/>
  <c r="AD6" i="35"/>
  <c r="AB7" i="35"/>
  <c r="AD7" i="35"/>
  <c r="AB8" i="35"/>
  <c r="AD8" i="35"/>
  <c r="AB9" i="35"/>
  <c r="AD9" i="35"/>
  <c r="AB10" i="35"/>
  <c r="AD10" i="35"/>
  <c r="AB11" i="35"/>
  <c r="AD11" i="35"/>
  <c r="AB12" i="35"/>
  <c r="AD12" i="35"/>
  <c r="AE4" i="35"/>
  <c r="AE5" i="35"/>
  <c r="AE6" i="35"/>
  <c r="AE7" i="35"/>
  <c r="AE8" i="35"/>
  <c r="AE9" i="35"/>
  <c r="AE10" i="35"/>
  <c r="AE11" i="35"/>
  <c r="AE12" i="35"/>
  <c r="AF4" i="35"/>
  <c r="AC4" i="35"/>
  <c r="AG3" i="35"/>
  <c r="AG4" i="35"/>
  <c r="AI4" i="35"/>
  <c r="AG5" i="35"/>
  <c r="AI5" i="35"/>
  <c r="AG6" i="35"/>
  <c r="AI6" i="35"/>
  <c r="AG7" i="35"/>
  <c r="AI7" i="35"/>
  <c r="AG8" i="35"/>
  <c r="AI8" i="35"/>
  <c r="AG9" i="35"/>
  <c r="AI9" i="35"/>
  <c r="AG10" i="35"/>
  <c r="AI10" i="35"/>
  <c r="AG11" i="35"/>
  <c r="AI11" i="35"/>
  <c r="AG12" i="35"/>
  <c r="AI12" i="35"/>
  <c r="AJ4" i="35"/>
  <c r="AJ5" i="35"/>
  <c r="AJ6" i="35"/>
  <c r="AJ7" i="35"/>
  <c r="AJ8" i="35"/>
  <c r="AJ9" i="35"/>
  <c r="AJ10" i="35"/>
  <c r="AJ11" i="35"/>
  <c r="AJ12" i="35"/>
  <c r="AK4" i="35"/>
  <c r="AH4" i="35"/>
  <c r="AL3" i="35"/>
  <c r="AL4" i="35"/>
  <c r="AN4" i="35"/>
  <c r="AL5" i="35"/>
  <c r="AN5" i="35"/>
  <c r="AL6" i="35"/>
  <c r="AN6" i="35"/>
  <c r="AL7" i="35"/>
  <c r="AN7" i="35"/>
  <c r="AL8" i="35"/>
  <c r="AN8" i="35"/>
  <c r="AL9" i="35"/>
  <c r="AN9" i="35"/>
  <c r="AL10" i="35"/>
  <c r="AN10" i="35"/>
  <c r="AL11" i="35"/>
  <c r="AN11" i="35"/>
  <c r="AL12" i="35"/>
  <c r="AN12" i="35"/>
  <c r="AO4" i="35"/>
  <c r="AO5" i="35"/>
  <c r="AO6" i="35"/>
  <c r="AO7" i="35"/>
  <c r="AO8" i="35"/>
  <c r="AO9" i="35"/>
  <c r="AO10" i="35"/>
  <c r="AO11" i="35"/>
  <c r="AO12" i="35"/>
  <c r="AP4" i="35"/>
  <c r="AM4" i="35"/>
  <c r="AA5" i="35"/>
  <c r="X5" i="35"/>
  <c r="AF5" i="35"/>
  <c r="AC5" i="35"/>
  <c r="AK5" i="35"/>
  <c r="AH5" i="35"/>
  <c r="AP5" i="35"/>
  <c r="AM5" i="35"/>
  <c r="AA6" i="35"/>
  <c r="X6" i="35"/>
  <c r="AF6" i="35"/>
  <c r="AC6" i="35"/>
  <c r="AK6" i="35"/>
  <c r="AH6" i="35"/>
  <c r="AP6" i="35"/>
  <c r="AM6" i="35"/>
  <c r="AA7" i="35"/>
  <c r="X7" i="35"/>
  <c r="AF7" i="35"/>
  <c r="AC7" i="35"/>
  <c r="AK7" i="35"/>
  <c r="AH7" i="35"/>
  <c r="AP7" i="35"/>
  <c r="AM7" i="35"/>
  <c r="AA8" i="35"/>
  <c r="X8" i="35"/>
  <c r="AF8" i="35"/>
  <c r="AC8" i="35"/>
  <c r="AK8" i="35"/>
  <c r="AH8" i="35"/>
  <c r="AP8" i="35"/>
  <c r="AM8" i="35"/>
  <c r="AA9" i="35"/>
  <c r="X9" i="35"/>
  <c r="AF9" i="35"/>
  <c r="AC9" i="35"/>
  <c r="AK9" i="35"/>
  <c r="AH9" i="35"/>
  <c r="AP9" i="35"/>
  <c r="AM9" i="35"/>
  <c r="AA10" i="35"/>
  <c r="X10" i="35"/>
  <c r="AF10" i="35"/>
  <c r="AC10" i="35"/>
  <c r="AK10" i="35"/>
  <c r="AH10" i="35"/>
  <c r="AP10" i="35"/>
  <c r="AM10" i="35"/>
  <c r="AA11" i="35"/>
  <c r="X11" i="35"/>
  <c r="AF11" i="35"/>
  <c r="AC11" i="35"/>
  <c r="AK11" i="35"/>
  <c r="AH11" i="35"/>
  <c r="AP11" i="35"/>
  <c r="AM11" i="35"/>
  <c r="AA12" i="35"/>
  <c r="X12" i="35"/>
  <c r="AF12" i="35"/>
  <c r="AC12" i="35"/>
  <c r="AK12" i="35"/>
  <c r="AH12" i="35"/>
  <c r="AP12" i="35"/>
  <c r="AM12" i="35"/>
  <c r="AK47" i="6"/>
  <c r="AK46" i="6"/>
  <c r="AK45" i="6"/>
  <c r="AK44" i="6"/>
  <c r="AK43" i="6"/>
  <c r="AK42" i="6"/>
  <c r="AK32" i="6"/>
  <c r="AK22" i="6"/>
  <c r="O3" i="3"/>
  <c r="P3" i="3"/>
  <c r="Q3" i="3"/>
  <c r="R3" i="3"/>
  <c r="S3" i="3"/>
  <c r="T3" i="3"/>
  <c r="U3" i="3"/>
  <c r="V3" i="3"/>
  <c r="O4" i="3"/>
  <c r="P4" i="3"/>
  <c r="Q4" i="3"/>
  <c r="R4" i="3"/>
  <c r="W3" i="3"/>
  <c r="W4" i="3"/>
  <c r="Y4" i="3"/>
  <c r="W5" i="3"/>
  <c r="Y5" i="3"/>
  <c r="W6" i="3"/>
  <c r="Z19" i="3"/>
  <c r="Y6" i="3"/>
  <c r="W7" i="3"/>
  <c r="Y7" i="3"/>
  <c r="W8" i="3"/>
  <c r="Z21" i="3"/>
  <c r="Y8" i="3"/>
  <c r="W9" i="3"/>
  <c r="Y9" i="3"/>
  <c r="W10" i="3"/>
  <c r="Y10" i="3"/>
  <c r="W11" i="3"/>
  <c r="Y11" i="3"/>
  <c r="W12" i="3"/>
  <c r="Y12" i="3"/>
  <c r="Z4" i="3"/>
  <c r="Z5" i="3"/>
  <c r="Z6" i="3"/>
  <c r="Z7" i="3"/>
  <c r="Z8" i="3"/>
  <c r="Z9" i="3"/>
  <c r="Z10" i="3"/>
  <c r="Z11" i="3"/>
  <c r="Z12" i="3"/>
  <c r="AA4" i="3"/>
  <c r="AA5" i="3"/>
  <c r="AA6" i="3"/>
  <c r="X4" i="3"/>
  <c r="AB3" i="3"/>
  <c r="AB4" i="3"/>
  <c r="AD4" i="3"/>
  <c r="AB5" i="3"/>
  <c r="AD5" i="3"/>
  <c r="AB6" i="3"/>
  <c r="AD6" i="3"/>
  <c r="AB7" i="3"/>
  <c r="AD7" i="3"/>
  <c r="AB8" i="3"/>
  <c r="AD8" i="3"/>
  <c r="AB9" i="3"/>
  <c r="AD9" i="3"/>
  <c r="AB10" i="3"/>
  <c r="AD10" i="3"/>
  <c r="AB11" i="3"/>
  <c r="AD11" i="3"/>
  <c r="AB12" i="3"/>
  <c r="AD12" i="3"/>
  <c r="AE4" i="3"/>
  <c r="AE5" i="3"/>
  <c r="AE6" i="3"/>
  <c r="AE7" i="3"/>
  <c r="AE8" i="3"/>
  <c r="AE9" i="3"/>
  <c r="AE10" i="3"/>
  <c r="AE11" i="3"/>
  <c r="AE12" i="3"/>
  <c r="AF4" i="3"/>
  <c r="AC4" i="3"/>
  <c r="AG3" i="3"/>
  <c r="AG4" i="3"/>
  <c r="AI4" i="3"/>
  <c r="AG5" i="3"/>
  <c r="AI5" i="3"/>
  <c r="AG6" i="3"/>
  <c r="AI6" i="3"/>
  <c r="AG7" i="3"/>
  <c r="AI7" i="3"/>
  <c r="AG8" i="3"/>
  <c r="AI8" i="3"/>
  <c r="AG9" i="3"/>
  <c r="AI9" i="3"/>
  <c r="AG10" i="3"/>
  <c r="AI10" i="3"/>
  <c r="AG11" i="3"/>
  <c r="AI11" i="3"/>
  <c r="AG12" i="3"/>
  <c r="AI12" i="3"/>
  <c r="AJ4" i="3"/>
  <c r="AJ5" i="3"/>
  <c r="AJ6" i="3"/>
  <c r="AJ7" i="3"/>
  <c r="AJ8" i="3"/>
  <c r="AJ9" i="3"/>
  <c r="AJ10" i="3"/>
  <c r="AJ11" i="3"/>
  <c r="AJ12" i="3"/>
  <c r="AK4" i="3"/>
  <c r="AH4" i="3"/>
  <c r="AL3" i="3"/>
  <c r="AL4" i="3"/>
  <c r="AN4" i="3"/>
  <c r="AL5" i="3"/>
  <c r="AN5" i="3"/>
  <c r="AL6" i="3"/>
  <c r="AN6" i="3"/>
  <c r="AL7" i="3"/>
  <c r="AN7" i="3"/>
  <c r="AL8" i="3"/>
  <c r="AN8" i="3"/>
  <c r="AL9" i="3"/>
  <c r="AN9" i="3"/>
  <c r="AL10" i="3"/>
  <c r="AN10" i="3"/>
  <c r="AL11" i="3"/>
  <c r="AN11" i="3"/>
  <c r="AL12" i="3"/>
  <c r="AN12" i="3"/>
  <c r="AO4" i="3"/>
  <c r="AO5" i="3"/>
  <c r="AO6" i="3"/>
  <c r="AO7" i="3"/>
  <c r="AO8" i="3"/>
  <c r="AO9" i="3"/>
  <c r="AO10" i="3"/>
  <c r="AO11" i="3"/>
  <c r="AO12" i="3"/>
  <c r="AP4" i="3"/>
  <c r="AM4" i="3"/>
  <c r="AA7" i="3"/>
  <c r="AA8" i="3"/>
  <c r="X5" i="3"/>
  <c r="AF5" i="3"/>
  <c r="AC5" i="3"/>
  <c r="AK5" i="3"/>
  <c r="AH5" i="3"/>
  <c r="AP5" i="3"/>
  <c r="AM5" i="3"/>
  <c r="X6" i="3"/>
  <c r="AF6" i="3"/>
  <c r="AC6" i="3"/>
  <c r="AK6" i="3"/>
  <c r="AH6" i="3"/>
  <c r="AP6" i="3"/>
  <c r="AM6" i="3"/>
  <c r="X7" i="3"/>
  <c r="AF7" i="3"/>
  <c r="AC7" i="3"/>
  <c r="AK7" i="3"/>
  <c r="AH7" i="3"/>
  <c r="AP7" i="3"/>
  <c r="AM7" i="3"/>
  <c r="X8" i="3"/>
  <c r="AF8" i="3"/>
  <c r="AC8" i="3"/>
  <c r="AK8" i="3"/>
  <c r="AH8" i="3"/>
  <c r="AP8" i="3"/>
  <c r="AM8" i="3"/>
  <c r="AA9" i="3"/>
  <c r="X9" i="3"/>
  <c r="AF9" i="3"/>
  <c r="AC9" i="3"/>
  <c r="AK9" i="3"/>
  <c r="AH9" i="3"/>
  <c r="AP9" i="3"/>
  <c r="AM9" i="3"/>
  <c r="AA10" i="3"/>
  <c r="X10" i="3"/>
  <c r="AF10" i="3"/>
  <c r="AC10" i="3"/>
  <c r="AK10" i="3"/>
  <c r="AH10" i="3"/>
  <c r="AP10" i="3"/>
  <c r="AM10" i="3"/>
  <c r="AA11" i="3"/>
  <c r="X11" i="3"/>
  <c r="AF11" i="3"/>
  <c r="AC11" i="3"/>
  <c r="AK11" i="3"/>
  <c r="AH11" i="3"/>
  <c r="AP11" i="3"/>
  <c r="AM11" i="3"/>
  <c r="AA12" i="3"/>
  <c r="X12" i="3"/>
  <c r="AF12" i="3"/>
  <c r="AC12" i="3"/>
  <c r="AK12" i="3"/>
  <c r="AH12" i="3"/>
  <c r="AP12" i="3"/>
  <c r="AM12" i="3"/>
  <c r="AK17" i="6"/>
  <c r="AK16" i="6"/>
  <c r="AK15" i="6"/>
  <c r="AK14" i="6"/>
  <c r="AK13" i="6"/>
  <c r="AK12" i="6"/>
  <c r="AN18" i="49"/>
  <c r="AG22" i="49"/>
  <c r="AG21" i="49"/>
  <c r="AG20" i="49"/>
  <c r="P5" i="30"/>
  <c r="Q5" i="30"/>
  <c r="R5" i="30"/>
  <c r="G5" i="30"/>
  <c r="H5" i="30"/>
  <c r="I5" i="30"/>
  <c r="S5" i="30"/>
  <c r="T5" i="30"/>
  <c r="G4" i="30"/>
  <c r="H4" i="30"/>
  <c r="I4" i="30"/>
  <c r="T4" i="30"/>
  <c r="G6" i="30"/>
  <c r="H6" i="30"/>
  <c r="I6" i="30"/>
  <c r="T6" i="30"/>
  <c r="G7" i="30"/>
  <c r="H7" i="30"/>
  <c r="I7" i="30"/>
  <c r="T7" i="30"/>
  <c r="G8" i="30"/>
  <c r="H8" i="30"/>
  <c r="I8" i="30"/>
  <c r="T8" i="30"/>
  <c r="G9" i="30"/>
  <c r="H9" i="30"/>
  <c r="I9" i="30"/>
  <c r="T9" i="30"/>
  <c r="G10" i="30"/>
  <c r="H10" i="30"/>
  <c r="I10" i="30"/>
  <c r="T10" i="30"/>
  <c r="G11" i="30"/>
  <c r="H11" i="30"/>
  <c r="I11" i="30"/>
  <c r="T11" i="30"/>
  <c r="G12" i="30"/>
  <c r="H12" i="30"/>
  <c r="I12" i="30"/>
  <c r="T12" i="30"/>
  <c r="U5" i="30"/>
  <c r="P6" i="30"/>
  <c r="Q6" i="30"/>
  <c r="R6" i="30"/>
  <c r="S6" i="30"/>
  <c r="U6" i="30"/>
  <c r="P7" i="30"/>
  <c r="Q7" i="30"/>
  <c r="R7" i="30"/>
  <c r="S7" i="30"/>
  <c r="U7" i="30"/>
  <c r="P8" i="30"/>
  <c r="Q8" i="30"/>
  <c r="R8" i="30"/>
  <c r="S8" i="30"/>
  <c r="U8" i="30"/>
  <c r="P9" i="30"/>
  <c r="Q9" i="30"/>
  <c r="R9" i="30"/>
  <c r="S9" i="30"/>
  <c r="U9" i="30"/>
  <c r="P10" i="30"/>
  <c r="Q10" i="30"/>
  <c r="R10" i="30"/>
  <c r="S10" i="30"/>
  <c r="U10" i="30"/>
  <c r="P11" i="30"/>
  <c r="Q11" i="30"/>
  <c r="R11" i="30"/>
  <c r="S11" i="30"/>
  <c r="U11" i="30"/>
  <c r="P12" i="30"/>
  <c r="Q12" i="30"/>
  <c r="R12" i="30"/>
  <c r="S12" i="30"/>
  <c r="U12" i="30"/>
  <c r="Q4" i="30"/>
  <c r="P4" i="30"/>
  <c r="U4" i="30"/>
  <c r="S4" i="30"/>
  <c r="R4" i="30"/>
  <c r="AB99" i="42"/>
  <c r="AB98" i="42"/>
  <c r="AB97" i="42"/>
  <c r="AB96" i="42"/>
  <c r="AB95" i="42"/>
  <c r="AB94" i="42"/>
  <c r="AB93" i="42"/>
  <c r="AB92" i="42"/>
  <c r="AB91" i="42"/>
  <c r="AB90" i="42"/>
  <c r="AB89" i="42"/>
  <c r="AB88" i="42"/>
  <c r="AB87" i="42"/>
  <c r="AB86" i="42"/>
  <c r="AB85" i="42"/>
  <c r="AB84" i="42"/>
  <c r="AB83" i="42"/>
  <c r="AB82" i="42"/>
  <c r="AB81" i="42"/>
  <c r="AB80" i="42"/>
  <c r="AB79" i="42"/>
  <c r="AB78" i="42"/>
  <c r="AB77" i="42"/>
  <c r="AB76" i="42"/>
  <c r="AB75" i="42"/>
  <c r="AB74" i="42"/>
  <c r="AB73" i="42"/>
  <c r="AB72" i="42"/>
  <c r="AB71" i="42"/>
  <c r="AB70" i="42"/>
  <c r="AB69" i="42"/>
  <c r="AB68" i="42"/>
  <c r="AB67" i="42"/>
  <c r="AB66" i="42"/>
  <c r="AB65" i="42"/>
  <c r="AB64" i="42"/>
  <c r="AC64" i="42"/>
  <c r="AM99" i="42"/>
  <c r="AL99" i="42"/>
  <c r="AM98" i="42"/>
  <c r="AL98" i="42"/>
  <c r="AM97" i="42"/>
  <c r="AL97" i="42"/>
  <c r="AM96" i="42"/>
  <c r="AL96" i="42"/>
  <c r="AM95" i="42"/>
  <c r="AL95" i="42"/>
  <c r="AM94" i="42"/>
  <c r="AL94" i="42"/>
  <c r="AM93" i="42"/>
  <c r="AL93" i="42"/>
  <c r="AM92" i="42"/>
  <c r="AL92" i="42"/>
  <c r="AM91" i="42"/>
  <c r="AL91" i="42"/>
  <c r="AM90" i="42"/>
  <c r="AL90" i="42"/>
  <c r="AM89" i="42"/>
  <c r="AL89" i="42"/>
  <c r="AM88" i="42"/>
  <c r="AL88" i="42"/>
  <c r="AM87" i="42"/>
  <c r="AL87" i="42"/>
  <c r="AM86" i="42"/>
  <c r="AL86" i="42"/>
  <c r="AM85" i="42"/>
  <c r="AL85" i="42"/>
  <c r="AM84" i="42"/>
  <c r="AL84" i="42"/>
  <c r="AM83" i="42"/>
  <c r="AL83" i="42"/>
  <c r="AM82" i="42"/>
  <c r="AL82" i="42"/>
  <c r="AM81" i="42"/>
  <c r="AL81" i="42"/>
  <c r="AM80" i="42"/>
  <c r="AL80" i="42"/>
  <c r="AM79" i="42"/>
  <c r="AL79" i="42"/>
  <c r="AM78" i="42"/>
  <c r="AL78" i="42"/>
  <c r="AM77" i="42"/>
  <c r="AL77" i="42"/>
  <c r="AM76" i="42"/>
  <c r="AL76" i="42"/>
  <c r="AM75" i="42"/>
  <c r="AL75" i="42"/>
  <c r="AM74" i="42"/>
  <c r="AL74" i="42"/>
  <c r="AM73" i="42"/>
  <c r="AL73" i="42"/>
  <c r="AM72" i="42"/>
  <c r="AL72" i="42"/>
  <c r="AM71" i="42"/>
  <c r="AL71" i="42"/>
  <c r="AM70" i="42"/>
  <c r="AL70" i="42"/>
  <c r="AM69" i="42"/>
  <c r="AL69" i="42"/>
  <c r="AM68" i="42"/>
  <c r="AL68" i="42"/>
  <c r="AM67" i="42"/>
  <c r="AL67" i="42"/>
  <c r="AM66" i="42"/>
  <c r="AL66" i="42"/>
  <c r="AM65" i="42"/>
  <c r="AL65" i="42"/>
  <c r="AM64" i="42"/>
  <c r="AL64" i="42"/>
  <c r="B11" i="49"/>
  <c r="J5" i="49"/>
  <c r="J4" i="49"/>
  <c r="J3" i="49"/>
  <c r="J2" i="49"/>
  <c r="AZ13" i="49"/>
  <c r="BA13" i="49"/>
  <c r="BB13" i="49"/>
  <c r="AZ14" i="49"/>
  <c r="BA14" i="49"/>
  <c r="BB14" i="49"/>
  <c r="AZ15" i="49"/>
  <c r="BA15" i="49"/>
  <c r="BB15" i="49"/>
  <c r="AZ16" i="49"/>
  <c r="BA16" i="49"/>
  <c r="BB16" i="49"/>
  <c r="AZ17" i="49"/>
  <c r="BA17" i="49"/>
  <c r="BB17" i="49"/>
  <c r="AZ18" i="49"/>
  <c r="BA18" i="49"/>
  <c r="BB18" i="49"/>
  <c r="AZ19" i="49"/>
  <c r="BA19" i="49"/>
  <c r="BB19" i="49"/>
  <c r="AZ20" i="49"/>
  <c r="BA20" i="49"/>
  <c r="BB20" i="49"/>
  <c r="AZ21" i="49"/>
  <c r="BA21" i="49"/>
  <c r="BB21" i="49"/>
  <c r="AZ22" i="49"/>
  <c r="BA22" i="49"/>
  <c r="BB22" i="49"/>
  <c r="AZ23" i="49"/>
  <c r="BA23" i="49"/>
  <c r="BB23" i="49"/>
  <c r="AZ24" i="49"/>
  <c r="BA24" i="49"/>
  <c r="BB24" i="49"/>
  <c r="AZ25" i="49"/>
  <c r="BA25" i="49"/>
  <c r="BB25" i="49"/>
  <c r="AZ26" i="49"/>
  <c r="BA26" i="49"/>
  <c r="BB26" i="49"/>
  <c r="AZ27" i="49"/>
  <c r="BA27" i="49"/>
  <c r="BB27" i="49"/>
  <c r="AZ28" i="49"/>
  <c r="BA28" i="49"/>
  <c r="BB28" i="49"/>
  <c r="AZ29" i="49"/>
  <c r="BA29" i="49"/>
  <c r="BB29" i="49"/>
  <c r="AZ30" i="49"/>
  <c r="BA30" i="49"/>
  <c r="BB30" i="49"/>
  <c r="AZ31" i="49"/>
  <c r="BA31" i="49"/>
  <c r="BB31" i="49"/>
  <c r="AZ32" i="49"/>
  <c r="BA32" i="49"/>
  <c r="BB32" i="49"/>
  <c r="AZ33" i="49"/>
  <c r="BA33" i="49"/>
  <c r="BB33" i="49"/>
  <c r="AZ34" i="49"/>
  <c r="BA34" i="49"/>
  <c r="BB34" i="49"/>
  <c r="AZ35" i="49"/>
  <c r="BA35" i="49"/>
  <c r="BB35" i="49"/>
  <c r="AZ36" i="49"/>
  <c r="BA36" i="49"/>
  <c r="BB36" i="49"/>
  <c r="AZ37" i="49"/>
  <c r="BA37" i="49"/>
  <c r="BB37" i="49"/>
  <c r="AZ38" i="49"/>
  <c r="BA38" i="49"/>
  <c r="BB38" i="49"/>
  <c r="AZ39" i="49"/>
  <c r="BA39" i="49"/>
  <c r="BB39" i="49"/>
  <c r="AZ40" i="49"/>
  <c r="BA40" i="49"/>
  <c r="BB40" i="49"/>
  <c r="AZ41" i="49"/>
  <c r="BA41" i="49"/>
  <c r="BB41" i="49"/>
  <c r="AZ42" i="49"/>
  <c r="BA42" i="49"/>
  <c r="BB42" i="49"/>
  <c r="AZ43" i="49"/>
  <c r="BA43" i="49"/>
  <c r="BB43" i="49"/>
  <c r="AZ44" i="49"/>
  <c r="BA44" i="49"/>
  <c r="BB44" i="49"/>
  <c r="AZ45" i="49"/>
  <c r="BA45" i="49"/>
  <c r="BB45" i="49"/>
  <c r="AZ46" i="49"/>
  <c r="BA46" i="49"/>
  <c r="BB46" i="49"/>
  <c r="AZ47" i="49"/>
  <c r="BA47" i="49"/>
  <c r="BB47" i="49"/>
  <c r="BB12" i="49"/>
  <c r="BA12" i="49"/>
  <c r="AZ12" i="49"/>
  <c r="T11" i="49"/>
  <c r="Q11" i="49"/>
  <c r="U12" i="49"/>
  <c r="R47" i="49"/>
  <c r="R46" i="49"/>
  <c r="R45" i="49"/>
  <c r="R44" i="49"/>
  <c r="R43" i="49"/>
  <c r="R42" i="49"/>
  <c r="R41" i="49"/>
  <c r="R40" i="49"/>
  <c r="R39" i="49"/>
  <c r="R38" i="49"/>
  <c r="R37" i="49"/>
  <c r="R36" i="49"/>
  <c r="R35" i="49"/>
  <c r="R34" i="49"/>
  <c r="R33" i="49"/>
  <c r="R32" i="49"/>
  <c r="R31" i="49"/>
  <c r="R30" i="49"/>
  <c r="R29" i="49"/>
  <c r="R28" i="49"/>
  <c r="R27" i="49"/>
  <c r="R26" i="49"/>
  <c r="R25" i="49"/>
  <c r="R24" i="49"/>
  <c r="R23" i="49"/>
  <c r="R22" i="49"/>
  <c r="R21" i="49"/>
  <c r="R20" i="49"/>
  <c r="R19" i="49"/>
  <c r="R18" i="49"/>
  <c r="R17" i="49"/>
  <c r="R16" i="49"/>
  <c r="R15" i="49"/>
  <c r="R14" i="49"/>
  <c r="R13" i="49"/>
  <c r="R12" i="49"/>
  <c r="AM135" i="42"/>
  <c r="AL135" i="42"/>
  <c r="AM134" i="42"/>
  <c r="AL134" i="42"/>
  <c r="AM133" i="42"/>
  <c r="AL133" i="42"/>
  <c r="AM132" i="42"/>
  <c r="AL132" i="42"/>
  <c r="AM131" i="42"/>
  <c r="AL131" i="42"/>
  <c r="AM130" i="42"/>
  <c r="AL130" i="42"/>
  <c r="AM129" i="42"/>
  <c r="AL129" i="42"/>
  <c r="AM128" i="42"/>
  <c r="AL128" i="42"/>
  <c r="AM127" i="42"/>
  <c r="AL127" i="42"/>
  <c r="AM126" i="42"/>
  <c r="AL126" i="42"/>
  <c r="AM125" i="42"/>
  <c r="AL125" i="42"/>
  <c r="AM124" i="42"/>
  <c r="AL124" i="42"/>
  <c r="AM123" i="42"/>
  <c r="AL123" i="42"/>
  <c r="AM122" i="42"/>
  <c r="AL122" i="42"/>
  <c r="AM121" i="42"/>
  <c r="AL121" i="42"/>
  <c r="AM120" i="42"/>
  <c r="AL120" i="42"/>
  <c r="AM119" i="42"/>
  <c r="AL119" i="42"/>
  <c r="AM118" i="42"/>
  <c r="AL118" i="42"/>
  <c r="AM117" i="42"/>
  <c r="AL117" i="42"/>
  <c r="AM116" i="42"/>
  <c r="AL116" i="42"/>
  <c r="AM115" i="42"/>
  <c r="AL115" i="42"/>
  <c r="AM114" i="42"/>
  <c r="AL114" i="42"/>
  <c r="AM113" i="42"/>
  <c r="AL113" i="42"/>
  <c r="AM112" i="42"/>
  <c r="AL112" i="42"/>
  <c r="AM111" i="42"/>
  <c r="AL111" i="42"/>
  <c r="AM110" i="42"/>
  <c r="AL110" i="42"/>
  <c r="AM109" i="42"/>
  <c r="AL109" i="42"/>
  <c r="AM108" i="42"/>
  <c r="AL108" i="42"/>
  <c r="AM107" i="42"/>
  <c r="AL107" i="42"/>
  <c r="AM106" i="42"/>
  <c r="AL106" i="42"/>
  <c r="AM105" i="42"/>
  <c r="AL105" i="42"/>
  <c r="AM104" i="42"/>
  <c r="AL104" i="42"/>
  <c r="AM103" i="42"/>
  <c r="AL103" i="42"/>
  <c r="AM102" i="42"/>
  <c r="AL102" i="42"/>
  <c r="AM101" i="42"/>
  <c r="AL101" i="42"/>
  <c r="AM100" i="42"/>
  <c r="AL100" i="42"/>
  <c r="AI135" i="42"/>
  <c r="AH135" i="42"/>
  <c r="AI134" i="42"/>
  <c r="AH134" i="42"/>
  <c r="AI133" i="42"/>
  <c r="AH133" i="42"/>
  <c r="AI132" i="42"/>
  <c r="AH132" i="42"/>
  <c r="AI131" i="42"/>
  <c r="AH131" i="42"/>
  <c r="AI130" i="42"/>
  <c r="AH130" i="42"/>
  <c r="AI129" i="42"/>
  <c r="AH129" i="42"/>
  <c r="AI128" i="42"/>
  <c r="AH128" i="42"/>
  <c r="AI127" i="42"/>
  <c r="AH127" i="42"/>
  <c r="AI126" i="42"/>
  <c r="AH126" i="42"/>
  <c r="AI125" i="42"/>
  <c r="AH125" i="42"/>
  <c r="AI124" i="42"/>
  <c r="AH124" i="42"/>
  <c r="AI123" i="42"/>
  <c r="AH123" i="42"/>
  <c r="AI122" i="42"/>
  <c r="AH122" i="42"/>
  <c r="AI121" i="42"/>
  <c r="AH121" i="42"/>
  <c r="AI120" i="42"/>
  <c r="AH120" i="42"/>
  <c r="AI119" i="42"/>
  <c r="AH119" i="42"/>
  <c r="AI118" i="42"/>
  <c r="AH118" i="42"/>
  <c r="AI117" i="42"/>
  <c r="AH117" i="42"/>
  <c r="AI116" i="42"/>
  <c r="AH116" i="42"/>
  <c r="AI115" i="42"/>
  <c r="AH115" i="42"/>
  <c r="AI114" i="42"/>
  <c r="AH114" i="42"/>
  <c r="AI113" i="42"/>
  <c r="AH113" i="42"/>
  <c r="AI112" i="42"/>
  <c r="AH112" i="42"/>
  <c r="AI111" i="42"/>
  <c r="AH111" i="42"/>
  <c r="AI110" i="42"/>
  <c r="AH110" i="42"/>
  <c r="AI109" i="42"/>
  <c r="AH109" i="42"/>
  <c r="AI108" i="42"/>
  <c r="AH108" i="42"/>
  <c r="AI107" i="42"/>
  <c r="AH107" i="42"/>
  <c r="AI106" i="42"/>
  <c r="AH106" i="42"/>
  <c r="AI105" i="42"/>
  <c r="AH105" i="42"/>
  <c r="AI104" i="42"/>
  <c r="AH104" i="42"/>
  <c r="AI103" i="42"/>
  <c r="AH103" i="42"/>
  <c r="AI102" i="42"/>
  <c r="AH102" i="42"/>
  <c r="AI101" i="42"/>
  <c r="AH101" i="42"/>
  <c r="AI100" i="42"/>
  <c r="AH100" i="42"/>
  <c r="AG135" i="42"/>
  <c r="AF135" i="42"/>
  <c r="AG134" i="42"/>
  <c r="AF134" i="42"/>
  <c r="AG133" i="42"/>
  <c r="AF133" i="42"/>
  <c r="AG132" i="42"/>
  <c r="AF132" i="42"/>
  <c r="AG131" i="42"/>
  <c r="AF131" i="42"/>
  <c r="AG130" i="42"/>
  <c r="AF130" i="42"/>
  <c r="AG129" i="42"/>
  <c r="AF129" i="42"/>
  <c r="AG128" i="42"/>
  <c r="AF128" i="42"/>
  <c r="AG127" i="42"/>
  <c r="AF127" i="42"/>
  <c r="AG126" i="42"/>
  <c r="AF126" i="42"/>
  <c r="AG125" i="42"/>
  <c r="AF125" i="42"/>
  <c r="AG124" i="42"/>
  <c r="AF124" i="42"/>
  <c r="AG123" i="42"/>
  <c r="AF123" i="42"/>
  <c r="AG122" i="42"/>
  <c r="AF122" i="42"/>
  <c r="AG121" i="42"/>
  <c r="AF121" i="42"/>
  <c r="AG120" i="42"/>
  <c r="AF120" i="42"/>
  <c r="AG119" i="42"/>
  <c r="AF119" i="42"/>
  <c r="AG118" i="42"/>
  <c r="AF118" i="42"/>
  <c r="AG117" i="42"/>
  <c r="AF117" i="42"/>
  <c r="AG116" i="42"/>
  <c r="AF116" i="42"/>
  <c r="AG115" i="42"/>
  <c r="AF115" i="42"/>
  <c r="AG114" i="42"/>
  <c r="AF114" i="42"/>
  <c r="AG113" i="42"/>
  <c r="AF113" i="42"/>
  <c r="AG112" i="42"/>
  <c r="AF112" i="42"/>
  <c r="AG111" i="42"/>
  <c r="AF111" i="42"/>
  <c r="AG110" i="42"/>
  <c r="AF110" i="42"/>
  <c r="AG109" i="42"/>
  <c r="AF109" i="42"/>
  <c r="AG108" i="42"/>
  <c r="AF108" i="42"/>
  <c r="AG107" i="42"/>
  <c r="AF107" i="42"/>
  <c r="AG106" i="42"/>
  <c r="AF106" i="42"/>
  <c r="AG105" i="42"/>
  <c r="AF105" i="42"/>
  <c r="AG104" i="42"/>
  <c r="AF104" i="42"/>
  <c r="AG103" i="42"/>
  <c r="AF103" i="42"/>
  <c r="AG102" i="42"/>
  <c r="AF102" i="42"/>
  <c r="AG101" i="42"/>
  <c r="AF101" i="42"/>
  <c r="AG100" i="42"/>
  <c r="AF100" i="42"/>
  <c r="C12" i="49"/>
  <c r="B47" i="49" a="1"/>
  <c r="B47" i="49"/>
  <c r="B12" i="49" a="1"/>
  <c r="B12" i="49"/>
  <c r="C47" i="49" a="1"/>
  <c r="C47" i="49"/>
  <c r="I50" i="49"/>
  <c r="S18" i="22"/>
  <c r="H52" i="49"/>
  <c r="G52" i="49"/>
  <c r="B50" i="49"/>
  <c r="O47" i="49"/>
  <c r="L47" i="49"/>
  <c r="AN46" i="49"/>
  <c r="AM46" i="49"/>
  <c r="AJ46" i="49"/>
  <c r="AI46" i="49"/>
  <c r="AF46" i="49"/>
  <c r="AE46" i="49"/>
  <c r="AD46" i="49"/>
  <c r="AC46" i="49"/>
  <c r="AB46" i="49"/>
  <c r="O46" i="49"/>
  <c r="L46" i="49"/>
  <c r="Z45" i="49"/>
  <c r="O45" i="49"/>
  <c r="L45" i="49"/>
  <c r="AQ44" i="49"/>
  <c r="O44" i="49"/>
  <c r="L44" i="49"/>
  <c r="O43" i="49"/>
  <c r="L43" i="49"/>
  <c r="O42" i="49"/>
  <c r="L42" i="49"/>
  <c r="O41" i="49"/>
  <c r="L41" i="49"/>
  <c r="O40" i="49"/>
  <c r="L40" i="49"/>
  <c r="AN39" i="49"/>
  <c r="AM39" i="49"/>
  <c r="AJ39" i="49"/>
  <c r="AI39" i="49"/>
  <c r="AF39" i="49"/>
  <c r="AE39" i="49"/>
  <c r="AD39" i="49"/>
  <c r="AC39" i="49"/>
  <c r="AB39" i="49"/>
  <c r="O39" i="49"/>
  <c r="L39" i="49"/>
  <c r="Z38" i="49"/>
  <c r="O38" i="49"/>
  <c r="L38" i="49"/>
  <c r="AQ37" i="49"/>
  <c r="O37" i="49"/>
  <c r="L37" i="49"/>
  <c r="O36" i="49"/>
  <c r="L36" i="49"/>
  <c r="O35" i="49"/>
  <c r="L35" i="49"/>
  <c r="O34" i="49"/>
  <c r="L34" i="49"/>
  <c r="O33" i="49"/>
  <c r="L33" i="49"/>
  <c r="AN32" i="49"/>
  <c r="AM32" i="49"/>
  <c r="AJ32" i="49"/>
  <c r="AI32" i="49"/>
  <c r="AF32" i="49"/>
  <c r="AE32" i="49"/>
  <c r="AD32" i="49"/>
  <c r="AC32" i="49"/>
  <c r="AB32" i="49"/>
  <c r="O32" i="49"/>
  <c r="L32" i="49"/>
  <c r="Z31" i="49"/>
  <c r="O31" i="49"/>
  <c r="L31" i="49"/>
  <c r="AQ30" i="49"/>
  <c r="O30" i="49"/>
  <c r="L30" i="49"/>
  <c r="O29" i="49"/>
  <c r="L29" i="49"/>
  <c r="O28" i="49"/>
  <c r="L28" i="49"/>
  <c r="O27" i="49"/>
  <c r="L27" i="49"/>
  <c r="O26" i="49"/>
  <c r="L26" i="49"/>
  <c r="AN25" i="49"/>
  <c r="AM25" i="49"/>
  <c r="AJ25" i="49"/>
  <c r="AI25" i="49"/>
  <c r="AF25" i="49"/>
  <c r="AE25" i="49"/>
  <c r="AD25" i="49"/>
  <c r="AC25" i="49"/>
  <c r="AB25" i="49"/>
  <c r="O25" i="49"/>
  <c r="L25" i="49"/>
  <c r="Z24" i="49"/>
  <c r="O24" i="49"/>
  <c r="L24" i="49"/>
  <c r="AQ23" i="49"/>
  <c r="O23" i="49"/>
  <c r="L23" i="49"/>
  <c r="AK22" i="49"/>
  <c r="O22" i="49"/>
  <c r="L22" i="49"/>
  <c r="AK21" i="49"/>
  <c r="O21" i="49"/>
  <c r="L21" i="49"/>
  <c r="AK20" i="49"/>
  <c r="O20" i="49"/>
  <c r="L20" i="49"/>
  <c r="AK19" i="49"/>
  <c r="AG19" i="49"/>
  <c r="O19" i="49"/>
  <c r="L19" i="49"/>
  <c r="AM18" i="49"/>
  <c r="AJ18" i="49"/>
  <c r="AI18" i="49"/>
  <c r="AF18" i="49"/>
  <c r="AE18" i="49"/>
  <c r="AD18" i="49"/>
  <c r="AC18" i="49"/>
  <c r="AB18" i="49"/>
  <c r="O18" i="49"/>
  <c r="L18" i="49"/>
  <c r="Z17" i="49"/>
  <c r="O17" i="49"/>
  <c r="L17" i="49"/>
  <c r="AQ16" i="49"/>
  <c r="O16" i="49"/>
  <c r="L16" i="49"/>
  <c r="O15" i="49"/>
  <c r="L15" i="49"/>
  <c r="O14" i="49"/>
  <c r="L14" i="49"/>
  <c r="O13" i="49"/>
  <c r="L13" i="49"/>
  <c r="B13" i="49" a="1"/>
  <c r="B13" i="49"/>
  <c r="D13" i="49"/>
  <c r="C13" i="49" a="1"/>
  <c r="C13" i="49"/>
  <c r="O12" i="49"/>
  <c r="L12" i="49"/>
  <c r="D12" i="49"/>
  <c r="AQ11" i="49"/>
  <c r="AN11" i="49"/>
  <c r="AM11" i="49"/>
  <c r="AJ11" i="49"/>
  <c r="AI11" i="49"/>
  <c r="AF11" i="49"/>
  <c r="AE11" i="49"/>
  <c r="AD11" i="49"/>
  <c r="AC11" i="49"/>
  <c r="AB11" i="49"/>
  <c r="W11" i="49"/>
  <c r="N11" i="49"/>
  <c r="K11" i="49"/>
  <c r="H11" i="49"/>
  <c r="D11" i="49"/>
  <c r="C11" i="49"/>
  <c r="AS10" i="49"/>
  <c r="AP10" i="49"/>
  <c r="Z10" i="49"/>
  <c r="X10" i="49"/>
  <c r="B10" i="49"/>
  <c r="K7" i="49"/>
  <c r="X12" i="41"/>
  <c r="Y12" i="41"/>
  <c r="Z12" i="41"/>
  <c r="AA12" i="41"/>
  <c r="AD23" i="3"/>
  <c r="AD24" i="3"/>
  <c r="AD25" i="3"/>
  <c r="C40" i="36"/>
  <c r="B40" i="36"/>
  <c r="C39" i="36"/>
  <c r="B39" i="36"/>
  <c r="C38" i="36"/>
  <c r="B38" i="36"/>
  <c r="C37" i="36"/>
  <c r="B37" i="36"/>
  <c r="C36" i="36"/>
  <c r="B36" i="36"/>
  <c r="C35" i="36"/>
  <c r="B35" i="36"/>
  <c r="C31" i="36"/>
  <c r="B31" i="36"/>
  <c r="C30" i="36"/>
  <c r="B30" i="36"/>
  <c r="C29" i="36"/>
  <c r="B29" i="36"/>
  <c r="C28" i="36"/>
  <c r="B28" i="36"/>
  <c r="C27" i="36"/>
  <c r="B27" i="36"/>
  <c r="C26" i="36"/>
  <c r="B26" i="36"/>
  <c r="C22" i="36"/>
  <c r="B22" i="36"/>
  <c r="C21" i="36"/>
  <c r="B21" i="36"/>
  <c r="C20" i="36"/>
  <c r="B20" i="36"/>
  <c r="C19" i="36"/>
  <c r="B19" i="36"/>
  <c r="C18" i="36"/>
  <c r="B18" i="36"/>
  <c r="C17" i="36"/>
  <c r="B17" i="36"/>
  <c r="C13" i="36"/>
  <c r="B13" i="36"/>
  <c r="C12" i="36"/>
  <c r="B12" i="36"/>
  <c r="C11" i="36"/>
  <c r="B11" i="36"/>
  <c r="C10" i="36"/>
  <c r="B10" i="36"/>
  <c r="C9" i="36"/>
  <c r="W12" i="6"/>
  <c r="W13" i="6"/>
  <c r="W14" i="6"/>
  <c r="B9" i="36"/>
  <c r="C8" i="36"/>
  <c r="B8" i="36"/>
  <c r="AD23" i="17"/>
  <c r="AD24" i="17"/>
  <c r="AD25" i="17"/>
  <c r="C40" i="46"/>
  <c r="B40" i="46"/>
  <c r="C39" i="46"/>
  <c r="B39" i="46"/>
  <c r="C38" i="46"/>
  <c r="B38" i="46"/>
  <c r="C37" i="46"/>
  <c r="B37" i="46"/>
  <c r="C36" i="46"/>
  <c r="B36" i="46"/>
  <c r="C35" i="46"/>
  <c r="B35" i="46"/>
  <c r="C31" i="46"/>
  <c r="B31" i="46"/>
  <c r="C30" i="46"/>
  <c r="B30" i="46"/>
  <c r="C29" i="46"/>
  <c r="B29" i="46"/>
  <c r="C28" i="46"/>
  <c r="B28" i="46"/>
  <c r="C27" i="46"/>
  <c r="B27" i="46"/>
  <c r="C26" i="46"/>
  <c r="B26" i="46"/>
  <c r="C22" i="46"/>
  <c r="B22" i="46"/>
  <c r="C21" i="46"/>
  <c r="B21" i="46"/>
  <c r="C20" i="46"/>
  <c r="B20" i="46"/>
  <c r="C19" i="46"/>
  <c r="B19" i="46"/>
  <c r="C18" i="46"/>
  <c r="B18" i="46"/>
  <c r="C17" i="46"/>
  <c r="B17" i="46"/>
  <c r="C13" i="46"/>
  <c r="B13" i="46"/>
  <c r="C12" i="46"/>
  <c r="B12" i="46"/>
  <c r="C11" i="46"/>
  <c r="B11" i="46"/>
  <c r="C10" i="46"/>
  <c r="B10" i="46"/>
  <c r="C9" i="46"/>
  <c r="W22" i="6"/>
  <c r="W23" i="6"/>
  <c r="W24" i="6"/>
  <c r="W25" i="6"/>
  <c r="W26" i="6"/>
  <c r="B9" i="46"/>
  <c r="C8" i="46"/>
  <c r="B8" i="46"/>
  <c r="AD23" i="35"/>
  <c r="AD24" i="35"/>
  <c r="AD25" i="35"/>
  <c r="C40" i="48"/>
  <c r="B40" i="48"/>
  <c r="C39" i="48"/>
  <c r="B39" i="48"/>
  <c r="C38" i="48"/>
  <c r="B38" i="48"/>
  <c r="C37" i="48"/>
  <c r="B37" i="48"/>
  <c r="C36" i="48"/>
  <c r="B36" i="48"/>
  <c r="C35" i="48"/>
  <c r="B35" i="48"/>
  <c r="C31" i="48"/>
  <c r="B31" i="48"/>
  <c r="C30" i="48"/>
  <c r="B30" i="48"/>
  <c r="C29" i="48"/>
  <c r="B29" i="48"/>
  <c r="C28" i="48"/>
  <c r="B28" i="48"/>
  <c r="C27" i="48"/>
  <c r="B27" i="48"/>
  <c r="C26" i="48"/>
  <c r="B26" i="48"/>
  <c r="C22" i="48"/>
  <c r="B22" i="48"/>
  <c r="C21" i="48"/>
  <c r="B21" i="48"/>
  <c r="C20" i="48"/>
  <c r="B20" i="48"/>
  <c r="C19" i="48"/>
  <c r="B19" i="48"/>
  <c r="C18" i="48"/>
  <c r="B18" i="48"/>
  <c r="C17" i="48"/>
  <c r="B17" i="48"/>
  <c r="C13" i="48"/>
  <c r="B13" i="48"/>
  <c r="C12" i="48"/>
  <c r="B12" i="48"/>
  <c r="C11" i="48"/>
  <c r="B11" i="48"/>
  <c r="C10" i="48"/>
  <c r="B10" i="48"/>
  <c r="C9" i="48"/>
  <c r="B9" i="48"/>
  <c r="C8" i="48"/>
  <c r="B8" i="48"/>
  <c r="AD23" i="25"/>
  <c r="AD24" i="25"/>
  <c r="AD25" i="25"/>
  <c r="C40" i="47"/>
  <c r="B40" i="47"/>
  <c r="C39" i="47"/>
  <c r="B39" i="47"/>
  <c r="C38" i="47"/>
  <c r="B38" i="47"/>
  <c r="C37" i="47"/>
  <c r="B37" i="47"/>
  <c r="C36" i="47"/>
  <c r="B36" i="47"/>
  <c r="C35" i="47"/>
  <c r="B35" i="47"/>
  <c r="C31" i="47"/>
  <c r="B31" i="47"/>
  <c r="C30" i="47"/>
  <c r="B30" i="47"/>
  <c r="C29" i="47"/>
  <c r="B29" i="47"/>
  <c r="C28" i="47"/>
  <c r="B28" i="47"/>
  <c r="C27" i="47"/>
  <c r="B27" i="47"/>
  <c r="C26" i="47"/>
  <c r="B26" i="47"/>
  <c r="C22" i="47"/>
  <c r="B22" i="47"/>
  <c r="C21" i="47"/>
  <c r="B21" i="47"/>
  <c r="C20" i="47"/>
  <c r="B20" i="47"/>
  <c r="C19" i="47"/>
  <c r="B19" i="47"/>
  <c r="C18" i="47"/>
  <c r="B18" i="47"/>
  <c r="C17" i="47"/>
  <c r="B17" i="47"/>
  <c r="C13" i="47"/>
  <c r="B13" i="47"/>
  <c r="C12" i="47"/>
  <c r="B12" i="47"/>
  <c r="C11" i="47"/>
  <c r="B11" i="47"/>
  <c r="C10" i="47"/>
  <c r="B10" i="47"/>
  <c r="C9" i="47"/>
  <c r="W32" i="6"/>
  <c r="W33" i="6"/>
  <c r="W34" i="6"/>
  <c r="W35" i="6"/>
  <c r="B9" i="47"/>
  <c r="C8" i="47"/>
  <c r="B8" i="47"/>
  <c r="G40" i="47"/>
  <c r="F40" i="47"/>
  <c r="E40" i="47"/>
  <c r="D40" i="47"/>
  <c r="G39" i="47"/>
  <c r="F39" i="47"/>
  <c r="E39" i="47"/>
  <c r="D39" i="47"/>
  <c r="G38" i="47"/>
  <c r="F38" i="47"/>
  <c r="E38" i="47"/>
  <c r="D38" i="47"/>
  <c r="G37" i="47"/>
  <c r="F37" i="47"/>
  <c r="E37" i="47"/>
  <c r="D37" i="47"/>
  <c r="G36" i="47"/>
  <c r="F36" i="47"/>
  <c r="E36" i="47"/>
  <c r="D36" i="47"/>
  <c r="G35" i="47"/>
  <c r="F35" i="47"/>
  <c r="E35" i="47"/>
  <c r="D35" i="47"/>
  <c r="G31" i="47"/>
  <c r="F31" i="47"/>
  <c r="E31" i="47"/>
  <c r="D31" i="47"/>
  <c r="G30" i="47"/>
  <c r="F30" i="47"/>
  <c r="E30" i="47"/>
  <c r="D30" i="47"/>
  <c r="G29" i="47"/>
  <c r="F29" i="47"/>
  <c r="E29" i="47"/>
  <c r="D29" i="47"/>
  <c r="G28" i="47"/>
  <c r="F28" i="47"/>
  <c r="E28" i="47"/>
  <c r="D28" i="47"/>
  <c r="G27" i="47"/>
  <c r="F27" i="47"/>
  <c r="E27" i="47"/>
  <c r="D27" i="47"/>
  <c r="G26" i="47"/>
  <c r="F26" i="47"/>
  <c r="E26" i="47"/>
  <c r="D26" i="47"/>
  <c r="G22" i="47"/>
  <c r="F22" i="47"/>
  <c r="E22" i="47"/>
  <c r="D22" i="47"/>
  <c r="G21" i="47"/>
  <c r="F21" i="47"/>
  <c r="E21" i="47"/>
  <c r="D21" i="47"/>
  <c r="G20" i="47"/>
  <c r="F20" i="47"/>
  <c r="E20" i="47"/>
  <c r="D20" i="47"/>
  <c r="G19" i="47"/>
  <c r="F19" i="47"/>
  <c r="E19" i="47"/>
  <c r="D19" i="47"/>
  <c r="G18" i="47"/>
  <c r="F18" i="47"/>
  <c r="E18" i="47"/>
  <c r="D18" i="47"/>
  <c r="G17" i="47"/>
  <c r="F17" i="47"/>
  <c r="E17" i="47"/>
  <c r="D17" i="47"/>
  <c r="G13" i="47"/>
  <c r="F13" i="47"/>
  <c r="E13" i="47"/>
  <c r="D13" i="47"/>
  <c r="G12" i="47"/>
  <c r="F12" i="47"/>
  <c r="E12" i="47"/>
  <c r="D12" i="47"/>
  <c r="G11" i="47"/>
  <c r="F11" i="47"/>
  <c r="E11" i="47"/>
  <c r="D11" i="47"/>
  <c r="G10" i="47"/>
  <c r="F10" i="47"/>
  <c r="E10" i="47"/>
  <c r="D10" i="47"/>
  <c r="G9" i="47"/>
  <c r="F9" i="47"/>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E9" i="47"/>
  <c r="D9" i="47"/>
  <c r="G8" i="47"/>
  <c r="F8" i="47"/>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E8" i="47"/>
  <c r="D8" i="47"/>
  <c r="L34" i="48"/>
  <c r="L40" i="48"/>
  <c r="K34" i="48"/>
  <c r="K40" i="48"/>
  <c r="J34" i="48"/>
  <c r="J40" i="48"/>
  <c r="I34" i="48"/>
  <c r="I40" i="48"/>
  <c r="H34" i="48"/>
  <c r="H40" i="48"/>
  <c r="G40" i="48"/>
  <c r="F40" i="48"/>
  <c r="E40" i="48"/>
  <c r="D40" i="48"/>
  <c r="M34" i="48"/>
  <c r="M39" i="48"/>
  <c r="K39" i="48"/>
  <c r="J39" i="48"/>
  <c r="I39" i="48"/>
  <c r="H39" i="48"/>
  <c r="G39" i="48"/>
  <c r="F39" i="48"/>
  <c r="E39" i="48"/>
  <c r="D39" i="48"/>
  <c r="M38" i="48"/>
  <c r="L38" i="48"/>
  <c r="J38" i="48"/>
  <c r="I38" i="48"/>
  <c r="H38" i="48"/>
  <c r="G38" i="48"/>
  <c r="F38" i="48"/>
  <c r="E38" i="48"/>
  <c r="D38" i="48"/>
  <c r="M37" i="48"/>
  <c r="L37" i="48"/>
  <c r="K37" i="48"/>
  <c r="I37" i="48"/>
  <c r="H37" i="48"/>
  <c r="G37" i="48"/>
  <c r="F37" i="48"/>
  <c r="E37" i="48"/>
  <c r="D37" i="48"/>
  <c r="M36" i="48"/>
  <c r="L36" i="48"/>
  <c r="K36" i="48"/>
  <c r="J36" i="48"/>
  <c r="H36" i="48"/>
  <c r="G36" i="48"/>
  <c r="F36" i="48"/>
  <c r="E36" i="48"/>
  <c r="D36" i="48"/>
  <c r="M35" i="48"/>
  <c r="L35" i="48"/>
  <c r="K35" i="48"/>
  <c r="J35" i="48"/>
  <c r="I35" i="48"/>
  <c r="G35" i="48"/>
  <c r="F35" i="48"/>
  <c r="E35" i="48"/>
  <c r="D35" i="48"/>
  <c r="L25" i="48"/>
  <c r="L31" i="48"/>
  <c r="K25" i="48"/>
  <c r="K31" i="48"/>
  <c r="J25" i="48"/>
  <c r="J31" i="48"/>
  <c r="I25" i="48"/>
  <c r="I31" i="48"/>
  <c r="H25" i="48"/>
  <c r="H31" i="48"/>
  <c r="G31" i="48"/>
  <c r="F31" i="48"/>
  <c r="E31" i="48"/>
  <c r="D31" i="48"/>
  <c r="M25" i="48"/>
  <c r="M30" i="48"/>
  <c r="K30" i="48"/>
  <c r="J30" i="48"/>
  <c r="I30" i="48"/>
  <c r="H30" i="48"/>
  <c r="G30" i="48"/>
  <c r="F30" i="48"/>
  <c r="E30" i="48"/>
  <c r="D30" i="48"/>
  <c r="M29" i="48"/>
  <c r="L29" i="48"/>
  <c r="J29" i="48"/>
  <c r="I29" i="48"/>
  <c r="H29" i="48"/>
  <c r="G29" i="48"/>
  <c r="F29" i="48"/>
  <c r="E29" i="48"/>
  <c r="D29" i="48"/>
  <c r="M28" i="48"/>
  <c r="L28" i="48"/>
  <c r="K28" i="48"/>
  <c r="I28" i="48"/>
  <c r="H28" i="48"/>
  <c r="G28" i="48"/>
  <c r="F28" i="48"/>
  <c r="E28" i="48"/>
  <c r="D28" i="48"/>
  <c r="M27" i="48"/>
  <c r="L27" i="48"/>
  <c r="K27" i="48"/>
  <c r="J27" i="48"/>
  <c r="H27" i="48"/>
  <c r="G27" i="48"/>
  <c r="F27" i="48"/>
  <c r="E27" i="48"/>
  <c r="D27" i="48"/>
  <c r="M26" i="48"/>
  <c r="L26" i="48"/>
  <c r="K26" i="48"/>
  <c r="J26" i="48"/>
  <c r="I26" i="48"/>
  <c r="G26" i="48"/>
  <c r="F26" i="48"/>
  <c r="E26" i="48"/>
  <c r="D26" i="48"/>
  <c r="L16" i="48"/>
  <c r="L22" i="48"/>
  <c r="K16" i="48"/>
  <c r="K22" i="48"/>
  <c r="J16" i="48"/>
  <c r="J22" i="48"/>
  <c r="I16" i="48"/>
  <c r="I22" i="48"/>
  <c r="H16" i="48"/>
  <c r="H22" i="48"/>
  <c r="G22" i="48"/>
  <c r="F22" i="48"/>
  <c r="E22" i="48"/>
  <c r="D22" i="48"/>
  <c r="M16" i="48"/>
  <c r="M21" i="48"/>
  <c r="K21" i="48"/>
  <c r="J21" i="48"/>
  <c r="I21" i="48"/>
  <c r="H21" i="48"/>
  <c r="G21" i="48"/>
  <c r="F21" i="48"/>
  <c r="E21" i="48"/>
  <c r="D21" i="48"/>
  <c r="M20" i="48"/>
  <c r="L20" i="48"/>
  <c r="J20" i="48"/>
  <c r="I20" i="48"/>
  <c r="H20" i="48"/>
  <c r="G20" i="48"/>
  <c r="F20" i="48"/>
  <c r="E20" i="48"/>
  <c r="D20" i="48"/>
  <c r="M19" i="48"/>
  <c r="L19" i="48"/>
  <c r="K19" i="48"/>
  <c r="I19" i="48"/>
  <c r="H19" i="48"/>
  <c r="G19" i="48"/>
  <c r="F19" i="48"/>
  <c r="E19" i="48"/>
  <c r="D19" i="48"/>
  <c r="M18" i="48"/>
  <c r="L18" i="48"/>
  <c r="K18" i="48"/>
  <c r="J18" i="48"/>
  <c r="H18" i="48"/>
  <c r="G18" i="48"/>
  <c r="F18" i="48"/>
  <c r="E18" i="48"/>
  <c r="D18" i="48"/>
  <c r="M17" i="48"/>
  <c r="L17" i="48"/>
  <c r="K17" i="48"/>
  <c r="J17" i="48"/>
  <c r="I17" i="48"/>
  <c r="G17" i="48"/>
  <c r="F17" i="48"/>
  <c r="E17" i="48"/>
  <c r="D17" i="48"/>
  <c r="L7" i="48"/>
  <c r="L13" i="48"/>
  <c r="K7" i="48"/>
  <c r="K13" i="48"/>
  <c r="J7" i="48"/>
  <c r="J13" i="48"/>
  <c r="I7" i="48"/>
  <c r="I13" i="48"/>
  <c r="H7" i="48"/>
  <c r="H13" i="48"/>
  <c r="G13" i="48"/>
  <c r="F13" i="48"/>
  <c r="E13" i="48"/>
  <c r="D13" i="48"/>
  <c r="M7" i="48"/>
  <c r="M12" i="48"/>
  <c r="K12" i="48"/>
  <c r="J12" i="48"/>
  <c r="I12" i="48"/>
  <c r="H12" i="48"/>
  <c r="G12" i="48"/>
  <c r="F12" i="48"/>
  <c r="E12" i="48"/>
  <c r="D12" i="48"/>
  <c r="M11" i="48"/>
  <c r="L11" i="48"/>
  <c r="J11" i="48"/>
  <c r="I11" i="48"/>
  <c r="H11" i="48"/>
  <c r="G11" i="48"/>
  <c r="F11" i="48"/>
  <c r="E11" i="48"/>
  <c r="D11" i="48"/>
  <c r="M10" i="48"/>
  <c r="L10" i="48"/>
  <c r="K10" i="48"/>
  <c r="I10" i="48"/>
  <c r="H10" i="48"/>
  <c r="G10" i="48"/>
  <c r="F10" i="48"/>
  <c r="E10" i="48"/>
  <c r="D10" i="48"/>
  <c r="M9" i="48"/>
  <c r="L9" i="48"/>
  <c r="K9" i="48"/>
  <c r="J9" i="48"/>
  <c r="H9" i="48"/>
  <c r="G9" i="48"/>
  <c r="F9" i="48"/>
  <c r="E9" i="48"/>
  <c r="D9" i="48"/>
  <c r="M8" i="48"/>
  <c r="L8" i="48"/>
  <c r="K8" i="48"/>
  <c r="J8" i="48"/>
  <c r="I8" i="48"/>
  <c r="G8" i="48"/>
  <c r="F8" i="48"/>
  <c r="E8" i="48"/>
  <c r="D8" i="48"/>
  <c r="L34" i="47"/>
  <c r="L40" i="47"/>
  <c r="K34" i="47"/>
  <c r="K40" i="47"/>
  <c r="J34" i="47"/>
  <c r="J40" i="47"/>
  <c r="I34" i="47"/>
  <c r="I40" i="47"/>
  <c r="H34" i="47"/>
  <c r="H40" i="47"/>
  <c r="M34" i="47"/>
  <c r="M39" i="47"/>
  <c r="K39" i="47"/>
  <c r="J39" i="47"/>
  <c r="I39" i="47"/>
  <c r="H39" i="47"/>
  <c r="M38" i="47"/>
  <c r="L38" i="47"/>
  <c r="J38" i="47"/>
  <c r="I38" i="47"/>
  <c r="H38" i="47"/>
  <c r="M37" i="47"/>
  <c r="L37" i="47"/>
  <c r="K37" i="47"/>
  <c r="I37" i="47"/>
  <c r="H37" i="47"/>
  <c r="M36" i="47"/>
  <c r="L36" i="47"/>
  <c r="K36" i="47"/>
  <c r="J36" i="47"/>
  <c r="H36" i="47"/>
  <c r="M35" i="47"/>
  <c r="L35" i="47"/>
  <c r="K35" i="47"/>
  <c r="J35" i="47"/>
  <c r="I35" i="47"/>
  <c r="L25" i="47"/>
  <c r="L31" i="47"/>
  <c r="K25" i="47"/>
  <c r="K31" i="47"/>
  <c r="J25" i="47"/>
  <c r="J31" i="47"/>
  <c r="I25" i="47"/>
  <c r="I31" i="47"/>
  <c r="H25" i="47"/>
  <c r="H31" i="47"/>
  <c r="M25" i="47"/>
  <c r="M30" i="47"/>
  <c r="K30" i="47"/>
  <c r="J30" i="47"/>
  <c r="I30" i="47"/>
  <c r="H30" i="47"/>
  <c r="M29" i="47"/>
  <c r="L29" i="47"/>
  <c r="J29" i="47"/>
  <c r="I29" i="47"/>
  <c r="H29" i="47"/>
  <c r="M28" i="47"/>
  <c r="L28" i="47"/>
  <c r="K28" i="47"/>
  <c r="I28" i="47"/>
  <c r="H28" i="47"/>
  <c r="M27" i="47"/>
  <c r="L27" i="47"/>
  <c r="K27" i="47"/>
  <c r="J27" i="47"/>
  <c r="H27" i="47"/>
  <c r="M26" i="47"/>
  <c r="L26" i="47"/>
  <c r="K26" i="47"/>
  <c r="J26" i="47"/>
  <c r="I26" i="47"/>
  <c r="L16" i="47"/>
  <c r="L22" i="47"/>
  <c r="K16" i="47"/>
  <c r="K22" i="47"/>
  <c r="J16" i="47"/>
  <c r="J22" i="47"/>
  <c r="I16" i="47"/>
  <c r="I22" i="47"/>
  <c r="H16" i="47"/>
  <c r="H22" i="47"/>
  <c r="M16" i="47"/>
  <c r="M21" i="47"/>
  <c r="K21" i="47"/>
  <c r="J21" i="47"/>
  <c r="I21" i="47"/>
  <c r="H21" i="47"/>
  <c r="M20" i="47"/>
  <c r="L20" i="47"/>
  <c r="J20" i="47"/>
  <c r="I20" i="47"/>
  <c r="H20" i="47"/>
  <c r="M19" i="47"/>
  <c r="L19" i="47"/>
  <c r="K19" i="47"/>
  <c r="I19" i="47"/>
  <c r="H19" i="47"/>
  <c r="M18" i="47"/>
  <c r="L18" i="47"/>
  <c r="K18" i="47"/>
  <c r="J18" i="47"/>
  <c r="H18" i="47"/>
  <c r="M17" i="47"/>
  <c r="L17" i="47"/>
  <c r="K17" i="47"/>
  <c r="J17" i="47"/>
  <c r="I17" i="47"/>
  <c r="L7" i="47"/>
  <c r="L13" i="47"/>
  <c r="K7" i="47"/>
  <c r="K13" i="47"/>
  <c r="J7" i="47"/>
  <c r="J13" i="47"/>
  <c r="I7" i="47"/>
  <c r="I13" i="47"/>
  <c r="H7" i="47"/>
  <c r="H13" i="47"/>
  <c r="M7" i="47"/>
  <c r="M12" i="47"/>
  <c r="K12" i="47"/>
  <c r="J12" i="47"/>
  <c r="I12" i="47"/>
  <c r="H12" i="47"/>
  <c r="M11" i="47"/>
  <c r="L11" i="47"/>
  <c r="J11" i="47"/>
  <c r="I11" i="47"/>
  <c r="H11" i="47"/>
  <c r="M10" i="47"/>
  <c r="L10" i="47"/>
  <c r="K10" i="47"/>
  <c r="I10" i="47"/>
  <c r="H10" i="47"/>
  <c r="M9" i="47"/>
  <c r="L9" i="47"/>
  <c r="K9" i="47"/>
  <c r="J9" i="47"/>
  <c r="H9" i="47"/>
  <c r="M8" i="47"/>
  <c r="L8" i="47"/>
  <c r="K8" i="47"/>
  <c r="J8" i="47"/>
  <c r="I8" i="47"/>
  <c r="N40" i="48"/>
  <c r="Z64" i="3"/>
  <c r="Z65" i="3"/>
  <c r="Z66" i="3"/>
  <c r="AB64" i="3"/>
  <c r="AB65"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36" i="3"/>
  <c r="AA136" i="3"/>
  <c r="Z137" i="3"/>
  <c r="AA137" i="3"/>
  <c r="Z138" i="3"/>
  <c r="AA138" i="3"/>
  <c r="Z139" i="3"/>
  <c r="AA139" i="3"/>
  <c r="Z140" i="3"/>
  <c r="AA140" i="3"/>
  <c r="Z141" i="3"/>
  <c r="AA141" i="3"/>
  <c r="Z142" i="3"/>
  <c r="AA142" i="3"/>
  <c r="Z143" i="3"/>
  <c r="AA143" i="3"/>
  <c r="Z144" i="3"/>
  <c r="AA144" i="3"/>
  <c r="Z145" i="3"/>
  <c r="AA145" i="3"/>
  <c r="Z146" i="3"/>
  <c r="AA146" i="3"/>
  <c r="Z147" i="3"/>
  <c r="AA147" i="3"/>
  <c r="Z148" i="3"/>
  <c r="AA148" i="3"/>
  <c r="Z149" i="3"/>
  <c r="AA149" i="3"/>
  <c r="Z150" i="3"/>
  <c r="AA150" i="3"/>
  <c r="Z151" i="3"/>
  <c r="AA151" i="3"/>
  <c r="Z152" i="3"/>
  <c r="AA152" i="3"/>
  <c r="Z153" i="3"/>
  <c r="AA153" i="3"/>
  <c r="Z154" i="3"/>
  <c r="AA154" i="3"/>
  <c r="Z155" i="3"/>
  <c r="AA155" i="3"/>
  <c r="Z156" i="3"/>
  <c r="AA156" i="3"/>
  <c r="Z157" i="3"/>
  <c r="AA157" i="3"/>
  <c r="Z158" i="3"/>
  <c r="AA158" i="3"/>
  <c r="Z159" i="3"/>
  <c r="AA159" i="3"/>
  <c r="Z160" i="3"/>
  <c r="AA160" i="3"/>
  <c r="Z161" i="3"/>
  <c r="AA161" i="3"/>
  <c r="Z162" i="3"/>
  <c r="AA162" i="3"/>
  <c r="Z163" i="3"/>
  <c r="AA163" i="3"/>
  <c r="Z164" i="3"/>
  <c r="AA164" i="3"/>
  <c r="Z165" i="3"/>
  <c r="AA165" i="3"/>
  <c r="Z166" i="3"/>
  <c r="AA166" i="3"/>
  <c r="Z167" i="3"/>
  <c r="AA167" i="3"/>
  <c r="Z168" i="3"/>
  <c r="AA168" i="3"/>
  <c r="Z169" i="3"/>
  <c r="AA169" i="3"/>
  <c r="Z170" i="3"/>
  <c r="AA170" i="3"/>
  <c r="Z171" i="3"/>
  <c r="AA171" i="3"/>
  <c r="Z172" i="3"/>
  <c r="AA172" i="3"/>
  <c r="Z173" i="3"/>
  <c r="AA173" i="3"/>
  <c r="Z174" i="3"/>
  <c r="AA174" i="3"/>
  <c r="Z175" i="3"/>
  <c r="AA175" i="3"/>
  <c r="Z176" i="3"/>
  <c r="AA176" i="3"/>
  <c r="Z177" i="3"/>
  <c r="AA177" i="3"/>
  <c r="Z178" i="3"/>
  <c r="AA178" i="3"/>
  <c r="Z179" i="3"/>
  <c r="AA179" i="3"/>
  <c r="Z180" i="3"/>
  <c r="AA180" i="3"/>
  <c r="Z181" i="3"/>
  <c r="AA181" i="3"/>
  <c r="Z182" i="3"/>
  <c r="AA182" i="3"/>
  <c r="Z183" i="3"/>
  <c r="AA183" i="3"/>
  <c r="Z184" i="3"/>
  <c r="AA184" i="3"/>
  <c r="Z185" i="3"/>
  <c r="AA185" i="3"/>
  <c r="Z186" i="3"/>
  <c r="AA186" i="3"/>
  <c r="Z187" i="3"/>
  <c r="AA187" i="3"/>
  <c r="Z188" i="3"/>
  <c r="AA188" i="3"/>
  <c r="Z189" i="3"/>
  <c r="AA189" i="3"/>
  <c r="Z190" i="3"/>
  <c r="AA190" i="3"/>
  <c r="Z191" i="3"/>
  <c r="AA191" i="3"/>
  <c r="Z192" i="3"/>
  <c r="AA192" i="3"/>
  <c r="Z193" i="3"/>
  <c r="AA193" i="3"/>
  <c r="Z194" i="3"/>
  <c r="AA194" i="3"/>
  <c r="Z195" i="3"/>
  <c r="AA195" i="3"/>
  <c r="N39" i="48"/>
  <c r="N38" i="48"/>
  <c r="N37" i="48"/>
  <c r="N36" i="48"/>
  <c r="N35" i="48"/>
  <c r="G34" i="48"/>
  <c r="F34" i="48"/>
  <c r="E34" i="48"/>
  <c r="D34" i="48"/>
  <c r="C34" i="48"/>
  <c r="M33" i="48"/>
  <c r="L33" i="48"/>
  <c r="K33" i="48"/>
  <c r="J33" i="48"/>
  <c r="I33" i="48"/>
  <c r="H33" i="48"/>
  <c r="N31" i="48"/>
  <c r="N30" i="48"/>
  <c r="N29" i="48"/>
  <c r="N28" i="48"/>
  <c r="N27" i="48"/>
  <c r="N26" i="48"/>
  <c r="G25" i="48"/>
  <c r="F25" i="48"/>
  <c r="E25" i="48"/>
  <c r="D25" i="48"/>
  <c r="C25" i="48"/>
  <c r="M24" i="48"/>
  <c r="L24" i="48"/>
  <c r="K24" i="48"/>
  <c r="J24" i="48"/>
  <c r="I24" i="48"/>
  <c r="H24" i="48"/>
  <c r="N22" i="48"/>
  <c r="N21" i="48"/>
  <c r="N20" i="48"/>
  <c r="N19" i="48"/>
  <c r="N18" i="48"/>
  <c r="N17" i="48"/>
  <c r="G16" i="48"/>
  <c r="F16" i="48"/>
  <c r="E16" i="48"/>
  <c r="D16" i="48"/>
  <c r="C16" i="48"/>
  <c r="M15" i="48"/>
  <c r="L15" i="48"/>
  <c r="K15" i="48"/>
  <c r="J15" i="48"/>
  <c r="I15" i="48"/>
  <c r="H15" i="48"/>
  <c r="N13" i="48"/>
  <c r="N12" i="48"/>
  <c r="N11" i="48"/>
  <c r="N10" i="48"/>
  <c r="N9" i="48"/>
  <c r="N8" i="48"/>
  <c r="G7" i="48"/>
  <c r="F7" i="48"/>
  <c r="E7" i="48"/>
  <c r="D7" i="48"/>
  <c r="C7" i="48"/>
  <c r="M6" i="48"/>
  <c r="L6" i="48"/>
  <c r="K6" i="48"/>
  <c r="J6" i="48"/>
  <c r="I6" i="48"/>
  <c r="H6" i="48"/>
  <c r="B4" i="48"/>
  <c r="B2" i="48"/>
  <c r="N40" i="47"/>
  <c r="N39" i="47"/>
  <c r="N38" i="47"/>
  <c r="N37" i="47"/>
  <c r="N36" i="47"/>
  <c r="N35" i="47"/>
  <c r="G34" i="47"/>
  <c r="F34" i="47"/>
  <c r="E34" i="47"/>
  <c r="D34" i="47"/>
  <c r="C34" i="47"/>
  <c r="M33" i="47"/>
  <c r="L33" i="47"/>
  <c r="K33" i="47"/>
  <c r="J33" i="47"/>
  <c r="I33" i="47"/>
  <c r="H33" i="47"/>
  <c r="N31" i="47"/>
  <c r="N30" i="47"/>
  <c r="N29" i="47"/>
  <c r="N28" i="47"/>
  <c r="N27" i="47"/>
  <c r="N26" i="47"/>
  <c r="G25" i="47"/>
  <c r="F25" i="47"/>
  <c r="E25" i="47"/>
  <c r="D25" i="47"/>
  <c r="C25" i="47"/>
  <c r="M24" i="47"/>
  <c r="L24" i="47"/>
  <c r="K24" i="47"/>
  <c r="J24" i="47"/>
  <c r="I24" i="47"/>
  <c r="H24" i="47"/>
  <c r="N22" i="47"/>
  <c r="N21" i="47"/>
  <c r="N20" i="47"/>
  <c r="N19" i="47"/>
  <c r="N18" i="47"/>
  <c r="N17" i="47"/>
  <c r="G16" i="47"/>
  <c r="F16" i="47"/>
  <c r="E16" i="47"/>
  <c r="D16" i="47"/>
  <c r="C16" i="47"/>
  <c r="M15" i="47"/>
  <c r="L15" i="47"/>
  <c r="K15" i="47"/>
  <c r="J15" i="47"/>
  <c r="I15" i="47"/>
  <c r="H15" i="47"/>
  <c r="N13" i="47"/>
  <c r="N12" i="47"/>
  <c r="N11" i="47"/>
  <c r="N10" i="47"/>
  <c r="N9" i="47"/>
  <c r="N8" i="47"/>
  <c r="G7" i="47"/>
  <c r="F7" i="47"/>
  <c r="E7" i="47"/>
  <c r="D7" i="47"/>
  <c r="C7" i="47"/>
  <c r="M6" i="47"/>
  <c r="L6" i="47"/>
  <c r="K6" i="47"/>
  <c r="J6" i="47"/>
  <c r="I6" i="47"/>
  <c r="H6" i="47"/>
  <c r="B4" i="47"/>
  <c r="B2" i="47"/>
  <c r="L34" i="46"/>
  <c r="L40" i="46"/>
  <c r="K34" i="46"/>
  <c r="K40" i="46"/>
  <c r="J34" i="46"/>
  <c r="J40" i="46"/>
  <c r="I34" i="46"/>
  <c r="I40" i="46"/>
  <c r="H34" i="46"/>
  <c r="H40" i="46"/>
  <c r="G40" i="46"/>
  <c r="F40" i="46"/>
  <c r="E40" i="46"/>
  <c r="D40" i="46"/>
  <c r="M34" i="46"/>
  <c r="M39" i="46"/>
  <c r="K39" i="46"/>
  <c r="J39" i="46"/>
  <c r="I39" i="46"/>
  <c r="H39" i="46"/>
  <c r="G39" i="46"/>
  <c r="F39" i="46"/>
  <c r="E39" i="46"/>
  <c r="D39" i="46"/>
  <c r="M38" i="46"/>
  <c r="L38" i="46"/>
  <c r="J38" i="46"/>
  <c r="I38" i="46"/>
  <c r="H38" i="46"/>
  <c r="G38" i="46"/>
  <c r="F38" i="46"/>
  <c r="E38" i="46"/>
  <c r="D38" i="46"/>
  <c r="M37" i="46"/>
  <c r="L37" i="46"/>
  <c r="K37" i="46"/>
  <c r="I37" i="46"/>
  <c r="H37" i="46"/>
  <c r="G37" i="46"/>
  <c r="F37" i="46"/>
  <c r="E37" i="46"/>
  <c r="D37" i="46"/>
  <c r="M36" i="46"/>
  <c r="L36" i="46"/>
  <c r="K36" i="46"/>
  <c r="J36" i="46"/>
  <c r="H36" i="46"/>
  <c r="G36" i="46"/>
  <c r="F36" i="46"/>
  <c r="E36" i="46"/>
  <c r="D36" i="46"/>
  <c r="M35" i="46"/>
  <c r="L35" i="46"/>
  <c r="K35" i="46"/>
  <c r="J35" i="46"/>
  <c r="I35" i="46"/>
  <c r="G35" i="46"/>
  <c r="F35" i="46"/>
  <c r="E35" i="46"/>
  <c r="D35" i="46"/>
  <c r="L25" i="46"/>
  <c r="L31" i="46"/>
  <c r="K25" i="46"/>
  <c r="K31" i="46"/>
  <c r="J25" i="46"/>
  <c r="J31" i="46"/>
  <c r="I25" i="46"/>
  <c r="I31" i="46"/>
  <c r="H25" i="46"/>
  <c r="H31" i="46"/>
  <c r="G31" i="46"/>
  <c r="F31" i="46"/>
  <c r="E31" i="46"/>
  <c r="D31" i="46"/>
  <c r="M25" i="46"/>
  <c r="M30" i="46"/>
  <c r="K30" i="46"/>
  <c r="J30" i="46"/>
  <c r="I30" i="46"/>
  <c r="H30" i="46"/>
  <c r="G30" i="46"/>
  <c r="F30" i="46"/>
  <c r="E30" i="46"/>
  <c r="D30" i="46"/>
  <c r="M29" i="46"/>
  <c r="L29" i="46"/>
  <c r="J29" i="46"/>
  <c r="I29" i="46"/>
  <c r="H29" i="46"/>
  <c r="G29" i="46"/>
  <c r="F29" i="46"/>
  <c r="E29" i="46"/>
  <c r="D29" i="46"/>
  <c r="M28" i="46"/>
  <c r="L28" i="46"/>
  <c r="K28" i="46"/>
  <c r="I28" i="46"/>
  <c r="H28" i="46"/>
  <c r="G28" i="46"/>
  <c r="F28" i="46"/>
  <c r="E28" i="46"/>
  <c r="D28" i="46"/>
  <c r="M27" i="46"/>
  <c r="L27" i="46"/>
  <c r="K27" i="46"/>
  <c r="J27" i="46"/>
  <c r="H27" i="46"/>
  <c r="G27" i="46"/>
  <c r="F27" i="46"/>
  <c r="E27" i="46"/>
  <c r="D27" i="46"/>
  <c r="M26" i="46"/>
  <c r="L26" i="46"/>
  <c r="K26" i="46"/>
  <c r="J26" i="46"/>
  <c r="I26" i="46"/>
  <c r="G26" i="46"/>
  <c r="F26" i="46"/>
  <c r="E26" i="46"/>
  <c r="D26" i="46"/>
  <c r="L16" i="46"/>
  <c r="L22" i="46"/>
  <c r="K16" i="46"/>
  <c r="K22" i="46"/>
  <c r="J16" i="46"/>
  <c r="J22" i="46"/>
  <c r="I16" i="46"/>
  <c r="I22" i="46"/>
  <c r="H16" i="46"/>
  <c r="H22" i="46"/>
  <c r="G22" i="46"/>
  <c r="F22" i="46"/>
  <c r="E22" i="46"/>
  <c r="D22" i="46"/>
  <c r="M16" i="46"/>
  <c r="M21" i="46"/>
  <c r="K21" i="46"/>
  <c r="J21" i="46"/>
  <c r="I21" i="46"/>
  <c r="H21" i="46"/>
  <c r="G21" i="46"/>
  <c r="F21" i="46"/>
  <c r="E21" i="46"/>
  <c r="D21" i="46"/>
  <c r="M20" i="46"/>
  <c r="L20" i="46"/>
  <c r="J20" i="46"/>
  <c r="I20" i="46"/>
  <c r="H20" i="46"/>
  <c r="G20" i="46"/>
  <c r="F20" i="46"/>
  <c r="E20" i="46"/>
  <c r="D20" i="46"/>
  <c r="M19" i="46"/>
  <c r="L19" i="46"/>
  <c r="K19" i="46"/>
  <c r="I19" i="46"/>
  <c r="H19" i="46"/>
  <c r="G19" i="46"/>
  <c r="F19" i="46"/>
  <c r="E19" i="46"/>
  <c r="D19" i="46"/>
  <c r="M18" i="46"/>
  <c r="L18" i="46"/>
  <c r="K18" i="46"/>
  <c r="J18" i="46"/>
  <c r="H18" i="46"/>
  <c r="G18" i="46"/>
  <c r="F18" i="46"/>
  <c r="E18" i="46"/>
  <c r="D18" i="46"/>
  <c r="M17" i="46"/>
  <c r="L17" i="46"/>
  <c r="K17" i="46"/>
  <c r="J17" i="46"/>
  <c r="I17" i="46"/>
  <c r="G17" i="46"/>
  <c r="F17" i="46"/>
  <c r="E17" i="46"/>
  <c r="D17" i="46"/>
  <c r="L7" i="46"/>
  <c r="L13" i="46"/>
  <c r="K7" i="46"/>
  <c r="K13" i="46"/>
  <c r="J7" i="46"/>
  <c r="J13" i="46"/>
  <c r="I7" i="46"/>
  <c r="I13" i="46"/>
  <c r="H7" i="46"/>
  <c r="H13" i="46"/>
  <c r="G13" i="46"/>
  <c r="F13" i="46"/>
  <c r="E13" i="46"/>
  <c r="D13" i="46"/>
  <c r="M7" i="46"/>
  <c r="M12" i="46"/>
  <c r="K12" i="46"/>
  <c r="J12" i="46"/>
  <c r="I12" i="46"/>
  <c r="H12" i="46"/>
  <c r="G12" i="46"/>
  <c r="F12" i="46"/>
  <c r="E12" i="46"/>
  <c r="D12" i="46"/>
  <c r="M11" i="46"/>
  <c r="L11" i="46"/>
  <c r="J11" i="46"/>
  <c r="I11" i="46"/>
  <c r="H11" i="46"/>
  <c r="G11" i="46"/>
  <c r="F11" i="46"/>
  <c r="E11" i="46"/>
  <c r="D11" i="46"/>
  <c r="M10" i="46"/>
  <c r="L10" i="46"/>
  <c r="K10" i="46"/>
  <c r="I10" i="46"/>
  <c r="H10" i="46"/>
  <c r="G10" i="46"/>
  <c r="F10" i="46"/>
  <c r="E10" i="46"/>
  <c r="D10" i="46"/>
  <c r="M9" i="46"/>
  <c r="L9" i="46"/>
  <c r="K9" i="46"/>
  <c r="J9" i="46"/>
  <c r="H9" i="46"/>
  <c r="G9" i="46"/>
  <c r="F9" i="46"/>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E9" i="46"/>
  <c r="D9" i="46"/>
  <c r="M8" i="46"/>
  <c r="L8" i="46"/>
  <c r="K8" i="46"/>
  <c r="J8" i="46"/>
  <c r="I8" i="46"/>
  <c r="G8" i="46"/>
  <c r="F8" i="46"/>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E8" i="46"/>
  <c r="D8" i="46"/>
  <c r="B3" i="46"/>
  <c r="N40" i="46"/>
  <c r="N39" i="46"/>
  <c r="N38" i="46"/>
  <c r="N37" i="46"/>
  <c r="N36" i="46"/>
  <c r="N35" i="46"/>
  <c r="G34" i="46"/>
  <c r="F34" i="46"/>
  <c r="E34" i="46"/>
  <c r="D34" i="46"/>
  <c r="C34" i="46"/>
  <c r="M33" i="46"/>
  <c r="L33" i="46"/>
  <c r="K33" i="46"/>
  <c r="J33" i="46"/>
  <c r="I33" i="46"/>
  <c r="H33" i="46"/>
  <c r="N31" i="46"/>
  <c r="N30" i="46"/>
  <c r="N29" i="46"/>
  <c r="N28" i="46"/>
  <c r="N27" i="46"/>
  <c r="N26" i="46"/>
  <c r="G25" i="46"/>
  <c r="F25" i="46"/>
  <c r="E25" i="46"/>
  <c r="D25" i="46"/>
  <c r="C25" i="46"/>
  <c r="M24" i="46"/>
  <c r="L24" i="46"/>
  <c r="K24" i="46"/>
  <c r="J24" i="46"/>
  <c r="I24" i="46"/>
  <c r="H24" i="46"/>
  <c r="N22" i="46"/>
  <c r="N21" i="46"/>
  <c r="N20" i="46"/>
  <c r="N19" i="46"/>
  <c r="N18" i="46"/>
  <c r="N17" i="46"/>
  <c r="G16" i="46"/>
  <c r="F16" i="46"/>
  <c r="E16" i="46"/>
  <c r="D16" i="46"/>
  <c r="C16" i="46"/>
  <c r="M15" i="46"/>
  <c r="L15" i="46"/>
  <c r="K15" i="46"/>
  <c r="J15" i="46"/>
  <c r="I15" i="46"/>
  <c r="H15" i="46"/>
  <c r="N13" i="46"/>
  <c r="N12" i="46"/>
  <c r="N11" i="46"/>
  <c r="N10" i="46"/>
  <c r="N9" i="46"/>
  <c r="N8" i="46"/>
  <c r="G7" i="46"/>
  <c r="F7" i="46"/>
  <c r="E7" i="46"/>
  <c r="D7" i="46"/>
  <c r="C7" i="46"/>
  <c r="M6" i="46"/>
  <c r="L6" i="46"/>
  <c r="K6" i="46"/>
  <c r="J6" i="46"/>
  <c r="I6" i="46"/>
  <c r="H6" i="46"/>
  <c r="B4" i="46"/>
  <c r="B2" i="46"/>
  <c r="G40" i="36"/>
  <c r="G39" i="36"/>
  <c r="G38" i="36"/>
  <c r="G37" i="36"/>
  <c r="G36" i="36"/>
  <c r="G35" i="36"/>
  <c r="G31" i="36"/>
  <c r="G30" i="36"/>
  <c r="G29" i="36"/>
  <c r="G28" i="36"/>
  <c r="G27" i="36"/>
  <c r="G26" i="36"/>
  <c r="G22" i="36"/>
  <c r="G21" i="36"/>
  <c r="G20" i="36"/>
  <c r="G19" i="36"/>
  <c r="G18" i="36"/>
  <c r="G17" i="36"/>
  <c r="G13" i="36"/>
  <c r="G12" i="36"/>
  <c r="G11" i="36"/>
  <c r="G10" i="36"/>
  <c r="G9" i="36"/>
  <c r="G8" i="36"/>
  <c r="E40" i="36"/>
  <c r="E39" i="36"/>
  <c r="E38" i="36"/>
  <c r="E37" i="36"/>
  <c r="E36" i="36"/>
  <c r="E35" i="36"/>
  <c r="E31" i="36"/>
  <c r="E30" i="36"/>
  <c r="E29" i="36"/>
  <c r="E28" i="36"/>
  <c r="E27" i="36"/>
  <c r="E26" i="36"/>
  <c r="E22" i="36"/>
  <c r="E21" i="36"/>
  <c r="E20" i="36"/>
  <c r="E19" i="36"/>
  <c r="E18" i="36"/>
  <c r="E17" i="36"/>
  <c r="E13" i="36"/>
  <c r="E12" i="36"/>
  <c r="E11" i="36"/>
  <c r="E10" i="36"/>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F9" i="36"/>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E9" i="36"/>
  <c r="F8" i="36"/>
  <c r="E8" i="36"/>
  <c r="E34" i="36"/>
  <c r="D34" i="36"/>
  <c r="E25" i="36"/>
  <c r="D25" i="36"/>
  <c r="E16" i="36"/>
  <c r="D16" i="36"/>
  <c r="E7" i="36"/>
  <c r="D7" i="36"/>
  <c r="M34" i="36"/>
  <c r="M33" i="36"/>
  <c r="L34" i="36"/>
  <c r="L33" i="36"/>
  <c r="K34" i="36"/>
  <c r="K33" i="36"/>
  <c r="J34" i="36"/>
  <c r="J33" i="36"/>
  <c r="I34" i="36"/>
  <c r="I33" i="36"/>
  <c r="H34" i="36"/>
  <c r="H33" i="36"/>
  <c r="M25" i="36"/>
  <c r="M24" i="36"/>
  <c r="L25" i="36"/>
  <c r="L24" i="36"/>
  <c r="K25" i="36"/>
  <c r="K24" i="36"/>
  <c r="J25" i="36"/>
  <c r="J24" i="36"/>
  <c r="I25" i="36"/>
  <c r="I24" i="36"/>
  <c r="H25" i="36"/>
  <c r="H24" i="36"/>
  <c r="M16" i="36"/>
  <c r="M15" i="36"/>
  <c r="L16" i="36"/>
  <c r="L15" i="36"/>
  <c r="K16" i="36"/>
  <c r="K15" i="36"/>
  <c r="J16" i="36"/>
  <c r="J15" i="36"/>
  <c r="I16" i="36"/>
  <c r="I15" i="36"/>
  <c r="H16" i="36"/>
  <c r="H15" i="36"/>
  <c r="M7" i="36"/>
  <c r="M6" i="36"/>
  <c r="L7" i="36"/>
  <c r="L6" i="36"/>
  <c r="K7" i="36"/>
  <c r="K6" i="36"/>
  <c r="J7" i="36"/>
  <c r="J6" i="36"/>
  <c r="I7" i="36"/>
  <c r="I6" i="36"/>
  <c r="H7" i="36"/>
  <c r="H6" i="36"/>
  <c r="AV4" i="35"/>
  <c r="AV5" i="35"/>
  <c r="AV6" i="35"/>
  <c r="AV7" i="35"/>
  <c r="AV8" i="35"/>
  <c r="AV9" i="35"/>
  <c r="AV10" i="35"/>
  <c r="AV11" i="35"/>
  <c r="AV12" i="35"/>
  <c r="AJ47" i="6"/>
  <c r="AJ46" i="6"/>
  <c r="AJ45" i="6"/>
  <c r="AJ44" i="6"/>
  <c r="AJ43" i="6"/>
  <c r="AJ42" i="6"/>
  <c r="AV4" i="25"/>
  <c r="AV5" i="25"/>
  <c r="AV6" i="25"/>
  <c r="AV7" i="25"/>
  <c r="AV8" i="25"/>
  <c r="AV9" i="25"/>
  <c r="AV10" i="25"/>
  <c r="AV11" i="25"/>
  <c r="AV12" i="25"/>
  <c r="AJ37" i="6"/>
  <c r="AJ36" i="6"/>
  <c r="AJ35" i="6"/>
  <c r="AJ34" i="6"/>
  <c r="AJ33" i="6"/>
  <c r="AJ32" i="6"/>
  <c r="AC47" i="6"/>
  <c r="AC46" i="6"/>
  <c r="AC45" i="6"/>
  <c r="AC44" i="6"/>
  <c r="AC43" i="6"/>
  <c r="AC42" i="6"/>
  <c r="AC37" i="6"/>
  <c r="AC36" i="6"/>
  <c r="AC35" i="6"/>
  <c r="AC34" i="6"/>
  <c r="AC33" i="6"/>
  <c r="AC32" i="6"/>
  <c r="Q69" i="35"/>
  <c r="Q68" i="35"/>
  <c r="Q67" i="35"/>
  <c r="Q66" i="35"/>
  <c r="Q65" i="35"/>
  <c r="Q64" i="35"/>
  <c r="Q69" i="25"/>
  <c r="Q68" i="25"/>
  <c r="Q67" i="25"/>
  <c r="Q66" i="25"/>
  <c r="Q65" i="25"/>
  <c r="Q64" i="25"/>
  <c r="AB207" i="35"/>
  <c r="Z207" i="35"/>
  <c r="AB206" i="35"/>
  <c r="Z206" i="35"/>
  <c r="AB205" i="35"/>
  <c r="Z205" i="35"/>
  <c r="AB204" i="35"/>
  <c r="Z204" i="35"/>
  <c r="AB203" i="35"/>
  <c r="Z203" i="35"/>
  <c r="AB202" i="35"/>
  <c r="Z202" i="35"/>
  <c r="AB201" i="35"/>
  <c r="Z201" i="35"/>
  <c r="AB200" i="35"/>
  <c r="Z200" i="35"/>
  <c r="AB199" i="35"/>
  <c r="Z199" i="35"/>
  <c r="AB198" i="35"/>
  <c r="Z198" i="35"/>
  <c r="AB197" i="35"/>
  <c r="Z197" i="35"/>
  <c r="AB196" i="35"/>
  <c r="Z196" i="35"/>
  <c r="F4" i="35"/>
  <c r="F5" i="35"/>
  <c r="F6" i="35"/>
  <c r="F7" i="35"/>
  <c r="F8" i="35"/>
  <c r="F9" i="35"/>
  <c r="Q70" i="35"/>
  <c r="F10" i="35"/>
  <c r="Q71" i="35"/>
  <c r="F11" i="35"/>
  <c r="Q72" i="35"/>
  <c r="F12" i="35"/>
  <c r="F13" i="35"/>
  <c r="F4" i="25"/>
  <c r="F5" i="25"/>
  <c r="F6" i="25"/>
  <c r="F7" i="25"/>
  <c r="F8" i="25"/>
  <c r="F9" i="25"/>
  <c r="F13" i="25"/>
  <c r="F14" i="3"/>
  <c r="AM135" i="35"/>
  <c r="AL135" i="35"/>
  <c r="AI135" i="35"/>
  <c r="AH135" i="35"/>
  <c r="AG135" i="35"/>
  <c r="AF135" i="35"/>
  <c r="AE135" i="35"/>
  <c r="AD135" i="35"/>
  <c r="AB135" i="35"/>
  <c r="Z135" i="35"/>
  <c r="Y135" i="35"/>
  <c r="X135" i="35"/>
  <c r="W135" i="35"/>
  <c r="V135" i="35"/>
  <c r="AM134" i="35"/>
  <c r="AL134" i="35"/>
  <c r="AI134" i="35"/>
  <c r="AH134" i="35"/>
  <c r="AG134" i="35"/>
  <c r="AF134" i="35"/>
  <c r="AE134" i="35"/>
  <c r="AD134" i="35"/>
  <c r="AB134" i="35"/>
  <c r="Z134" i="35"/>
  <c r="Y134" i="35"/>
  <c r="X134" i="35"/>
  <c r="W134" i="35"/>
  <c r="V134" i="35"/>
  <c r="AM133" i="35"/>
  <c r="AL133" i="35"/>
  <c r="AI133" i="35"/>
  <c r="AH133" i="35"/>
  <c r="AG133" i="35"/>
  <c r="AF133" i="35"/>
  <c r="AE133" i="35"/>
  <c r="AD133" i="35"/>
  <c r="AB133" i="35"/>
  <c r="Z133" i="35"/>
  <c r="Y133" i="35"/>
  <c r="X133" i="35"/>
  <c r="W133" i="35"/>
  <c r="V133" i="35"/>
  <c r="AM132" i="35"/>
  <c r="AL132" i="35"/>
  <c r="AI132" i="35"/>
  <c r="AH132" i="35"/>
  <c r="AG132" i="35"/>
  <c r="AF132" i="35"/>
  <c r="AE132" i="35"/>
  <c r="AD132" i="35"/>
  <c r="AB132" i="35"/>
  <c r="Z132" i="35"/>
  <c r="Y132" i="35"/>
  <c r="X132" i="35"/>
  <c r="W132" i="35"/>
  <c r="V132" i="35"/>
  <c r="AM131" i="35"/>
  <c r="AL131" i="35"/>
  <c r="AI131" i="35"/>
  <c r="AH131" i="35"/>
  <c r="AG131" i="35"/>
  <c r="AF131" i="35"/>
  <c r="AE131" i="35"/>
  <c r="AD131" i="35"/>
  <c r="AB131" i="35"/>
  <c r="Z131" i="35"/>
  <c r="Y131" i="35"/>
  <c r="X131" i="35"/>
  <c r="W131" i="35"/>
  <c r="V131" i="35"/>
  <c r="AM130" i="35"/>
  <c r="AL130" i="35"/>
  <c r="AI130" i="35"/>
  <c r="AH130" i="35"/>
  <c r="AG130" i="35"/>
  <c r="AF130" i="35"/>
  <c r="AE130" i="35"/>
  <c r="AD130" i="35"/>
  <c r="AB130" i="35"/>
  <c r="Z130" i="35"/>
  <c r="Y130" i="35"/>
  <c r="X130" i="35"/>
  <c r="W130" i="35"/>
  <c r="V130" i="35"/>
  <c r="AM129" i="35"/>
  <c r="AL129" i="35"/>
  <c r="AI129" i="35"/>
  <c r="AH129" i="35"/>
  <c r="AG129" i="35"/>
  <c r="AF129" i="35"/>
  <c r="AE129" i="35"/>
  <c r="AD129" i="35"/>
  <c r="AB129" i="35"/>
  <c r="Z129" i="35"/>
  <c r="Y129" i="35"/>
  <c r="X129" i="35"/>
  <c r="W129" i="35"/>
  <c r="V129" i="35"/>
  <c r="AM128" i="35"/>
  <c r="AL128" i="35"/>
  <c r="AI128" i="35"/>
  <c r="AH128" i="35"/>
  <c r="AG128" i="35"/>
  <c r="AF128" i="35"/>
  <c r="AE128" i="35"/>
  <c r="AD128" i="35"/>
  <c r="AB128" i="35"/>
  <c r="Z128" i="35"/>
  <c r="Y128" i="35"/>
  <c r="X128" i="35"/>
  <c r="W128" i="35"/>
  <c r="V128" i="35"/>
  <c r="AM127" i="35"/>
  <c r="AL127" i="35"/>
  <c r="AI127" i="35"/>
  <c r="AH127" i="35"/>
  <c r="AG127" i="35"/>
  <c r="AF127" i="35"/>
  <c r="AE127" i="35"/>
  <c r="AD127" i="35"/>
  <c r="AB127" i="35"/>
  <c r="Z127" i="35"/>
  <c r="Y127" i="35"/>
  <c r="X127" i="35"/>
  <c r="W127" i="35"/>
  <c r="V127" i="35"/>
  <c r="AM126" i="35"/>
  <c r="AL126" i="35"/>
  <c r="AI126" i="35"/>
  <c r="AH126" i="35"/>
  <c r="AG126" i="35"/>
  <c r="AF126" i="35"/>
  <c r="AE126" i="35"/>
  <c r="AD126" i="35"/>
  <c r="AB126" i="35"/>
  <c r="Z126" i="35"/>
  <c r="Y126" i="35"/>
  <c r="X126" i="35"/>
  <c r="W126" i="35"/>
  <c r="V126" i="35"/>
  <c r="AM125" i="35"/>
  <c r="AL125" i="35"/>
  <c r="AI125" i="35"/>
  <c r="AH125" i="35"/>
  <c r="AG125" i="35"/>
  <c r="AF125" i="35"/>
  <c r="AE125" i="35"/>
  <c r="AD125" i="35"/>
  <c r="AB125" i="35"/>
  <c r="Z125" i="35"/>
  <c r="Y125" i="35"/>
  <c r="X125" i="35"/>
  <c r="W125" i="35"/>
  <c r="V125" i="35"/>
  <c r="AM124" i="35"/>
  <c r="AL124" i="35"/>
  <c r="AI124" i="35"/>
  <c r="AH124" i="35"/>
  <c r="AG124" i="35"/>
  <c r="AF124" i="35"/>
  <c r="AE124" i="35"/>
  <c r="AD124" i="35"/>
  <c r="AB124" i="35"/>
  <c r="Z124" i="35"/>
  <c r="Y124" i="35"/>
  <c r="X124" i="35"/>
  <c r="W124" i="35"/>
  <c r="V124" i="35"/>
  <c r="AM123" i="35"/>
  <c r="AL123" i="35"/>
  <c r="AM122" i="35"/>
  <c r="AL122" i="35"/>
  <c r="AM121" i="35"/>
  <c r="AL121" i="35"/>
  <c r="AM120" i="35"/>
  <c r="AL120" i="35"/>
  <c r="AM119" i="35"/>
  <c r="AL119" i="35"/>
  <c r="AM118" i="35"/>
  <c r="AL118" i="35"/>
  <c r="AM117" i="35"/>
  <c r="AL117" i="35"/>
  <c r="AM116" i="35"/>
  <c r="AL116" i="35"/>
  <c r="AM115" i="35"/>
  <c r="AL115" i="35"/>
  <c r="AM114" i="35"/>
  <c r="AL114" i="35"/>
  <c r="AM113" i="35"/>
  <c r="AL113" i="35"/>
  <c r="AM112" i="35"/>
  <c r="AL112" i="35"/>
  <c r="AM111" i="35"/>
  <c r="AL111" i="35"/>
  <c r="AM110" i="35"/>
  <c r="AL110" i="35"/>
  <c r="AM109" i="35"/>
  <c r="AL109" i="35"/>
  <c r="AM108" i="35"/>
  <c r="AL108" i="35"/>
  <c r="AM107" i="35"/>
  <c r="AL107" i="35"/>
  <c r="AM106" i="35"/>
  <c r="AL106" i="35"/>
  <c r="AM105" i="35"/>
  <c r="AL105" i="35"/>
  <c r="AM104" i="35"/>
  <c r="AL104" i="35"/>
  <c r="AM103" i="35"/>
  <c r="AL103" i="35"/>
  <c r="AM102" i="35"/>
  <c r="AL102" i="35"/>
  <c r="AM101" i="35"/>
  <c r="AL101" i="35"/>
  <c r="AM100" i="35"/>
  <c r="AL100" i="35"/>
  <c r="AM99" i="35"/>
  <c r="AL99" i="35"/>
  <c r="AM98" i="35"/>
  <c r="AL98" i="35"/>
  <c r="AM97" i="35"/>
  <c r="AL97" i="35"/>
  <c r="AM96" i="35"/>
  <c r="AL96" i="35"/>
  <c r="AM95" i="35"/>
  <c r="AL95" i="35"/>
  <c r="AM94" i="35"/>
  <c r="AL94" i="35"/>
  <c r="AM93" i="35"/>
  <c r="AL93" i="35"/>
  <c r="AM92" i="35"/>
  <c r="AL92" i="35"/>
  <c r="AM91" i="35"/>
  <c r="AL91" i="35"/>
  <c r="AM90" i="35"/>
  <c r="AL90" i="35"/>
  <c r="AM89" i="35"/>
  <c r="AL89" i="35"/>
  <c r="AM88" i="35"/>
  <c r="AL88" i="35"/>
  <c r="AM87" i="35"/>
  <c r="AL87" i="35"/>
  <c r="AM86" i="35"/>
  <c r="AL86" i="35"/>
  <c r="AM85" i="35"/>
  <c r="AL85" i="35"/>
  <c r="AM84" i="35"/>
  <c r="AL84" i="35"/>
  <c r="AM83" i="35"/>
  <c r="AL83" i="35"/>
  <c r="AM82" i="35"/>
  <c r="AL82" i="35"/>
  <c r="AM81" i="35"/>
  <c r="AL81" i="35"/>
  <c r="AM80" i="35"/>
  <c r="AL80" i="35"/>
  <c r="AM79" i="35"/>
  <c r="AL79" i="35"/>
  <c r="AM78" i="35"/>
  <c r="AL78" i="35"/>
  <c r="AM77" i="35"/>
  <c r="AL77" i="35"/>
  <c r="AM76" i="35"/>
  <c r="AL76" i="35"/>
  <c r="AM75" i="35"/>
  <c r="AL75" i="35"/>
  <c r="AM74" i="35"/>
  <c r="AL74" i="35"/>
  <c r="AM73" i="35"/>
  <c r="AL73" i="35"/>
  <c r="AM72" i="35"/>
  <c r="AL72" i="35"/>
  <c r="AM71" i="35"/>
  <c r="AL71" i="35"/>
  <c r="AM70" i="35"/>
  <c r="AL70" i="35"/>
  <c r="AM69" i="35"/>
  <c r="AL69" i="35"/>
  <c r="AM68" i="35"/>
  <c r="AL68" i="35"/>
  <c r="AM67" i="35"/>
  <c r="AL67" i="35"/>
  <c r="AM66" i="35"/>
  <c r="AL66" i="35"/>
  <c r="AM65" i="35"/>
  <c r="AL65" i="35"/>
  <c r="AM64" i="35"/>
  <c r="AL64" i="35"/>
  <c r="BR60" i="35"/>
  <c r="BZ51" i="35"/>
  <c r="BY51" i="35"/>
  <c r="BX51" i="35"/>
  <c r="BW51" i="35"/>
  <c r="BV51" i="35"/>
  <c r="BU51" i="35"/>
  <c r="BT51" i="35"/>
  <c r="BS51" i="35"/>
  <c r="C25" i="35"/>
  <c r="BR59" i="35"/>
  <c r="CA51" i="35"/>
  <c r="C24" i="35"/>
  <c r="BR58" i="35"/>
  <c r="C23" i="35"/>
  <c r="BR57" i="35"/>
  <c r="C22" i="35"/>
  <c r="BR56" i="35"/>
  <c r="C21" i="35"/>
  <c r="BP56" i="35" a="1"/>
  <c r="BP56" i="35"/>
  <c r="BO56" i="35" a="1"/>
  <c r="BO56" i="35"/>
  <c r="BN56" i="35" a="1"/>
  <c r="BN56" i="35"/>
  <c r="BM56" i="35" a="1"/>
  <c r="BM56" i="35"/>
  <c r="BL56" i="35" a="1"/>
  <c r="BL56" i="35"/>
  <c r="BK56" i="35" a="1"/>
  <c r="BK56" i="35"/>
  <c r="BJ56" i="35" a="1"/>
  <c r="BJ56" i="35"/>
  <c r="BI56" i="35" a="1"/>
  <c r="BI56" i="35"/>
  <c r="BH56" i="35" a="1"/>
  <c r="BH56" i="35"/>
  <c r="BG56" i="35" a="1"/>
  <c r="BG56" i="35"/>
  <c r="BF56" i="35" a="1"/>
  <c r="BF56" i="35"/>
  <c r="BE56" i="35" a="1"/>
  <c r="BE56" i="35"/>
  <c r="BD56" i="35" a="1"/>
  <c r="BD56" i="35"/>
  <c r="BC56" i="35" a="1"/>
  <c r="BC56" i="35"/>
  <c r="BB56" i="35" a="1"/>
  <c r="BB56" i="35"/>
  <c r="BA56" i="35" a="1"/>
  <c r="BA56" i="35"/>
  <c r="AZ56" i="35" a="1"/>
  <c r="AZ56" i="35"/>
  <c r="AY56" i="35" a="1"/>
  <c r="AY56" i="35"/>
  <c r="AX56" i="35" a="1"/>
  <c r="AX56" i="35"/>
  <c r="AW56" i="35" a="1"/>
  <c r="AW56" i="35"/>
  <c r="AV56" i="35" a="1"/>
  <c r="AV56" i="35"/>
  <c r="AU56" i="35" a="1"/>
  <c r="AU56" i="35"/>
  <c r="AT56" i="35" a="1"/>
  <c r="AT56" i="35"/>
  <c r="AS56" i="35" a="1"/>
  <c r="AS56" i="35"/>
  <c r="AR56" i="35" a="1"/>
  <c r="AR56" i="35"/>
  <c r="AQ56" i="35" a="1"/>
  <c r="AQ56" i="35"/>
  <c r="AP56" i="35" a="1"/>
  <c r="AP56" i="35"/>
  <c r="AO56" i="35" a="1"/>
  <c r="AO56" i="35"/>
  <c r="AN56" i="35" a="1"/>
  <c r="AN56" i="35"/>
  <c r="AM56" i="35" a="1"/>
  <c r="AM56" i="35"/>
  <c r="AL56" i="35" a="1"/>
  <c r="AL56" i="35"/>
  <c r="AK56" i="35" a="1"/>
  <c r="AK56" i="35"/>
  <c r="AJ56" i="35" a="1"/>
  <c r="AJ56" i="35"/>
  <c r="AI56" i="35" a="1"/>
  <c r="AI56" i="35"/>
  <c r="AH56" i="35" a="1"/>
  <c r="AH56" i="35"/>
  <c r="AG56" i="35" a="1"/>
  <c r="AG56" i="35"/>
  <c r="AF56" i="35" a="1"/>
  <c r="AF56" i="35"/>
  <c r="AE56" i="35" a="1"/>
  <c r="AE56" i="35"/>
  <c r="AD56" i="35" a="1"/>
  <c r="AD56" i="35"/>
  <c r="AC56" i="35" a="1"/>
  <c r="AC56" i="35"/>
  <c r="AB56" i="35" a="1"/>
  <c r="AB56" i="35"/>
  <c r="AA56" i="35" a="1"/>
  <c r="AA56" i="35"/>
  <c r="Z56" i="35" a="1"/>
  <c r="Z56" i="35"/>
  <c r="Y56" i="35" a="1"/>
  <c r="Y56" i="35"/>
  <c r="X56" i="35" a="1"/>
  <c r="X56" i="35"/>
  <c r="W56" i="35" a="1"/>
  <c r="W56" i="35"/>
  <c r="V56" i="35" a="1"/>
  <c r="V56" i="35"/>
  <c r="U56" i="35" a="1"/>
  <c r="U56" i="35"/>
  <c r="T56" i="35" a="1"/>
  <c r="T56" i="35"/>
  <c r="S56" i="35" a="1"/>
  <c r="S56" i="35"/>
  <c r="R56" i="35" a="1"/>
  <c r="R56" i="35"/>
  <c r="Q56" i="35" a="1"/>
  <c r="Q56" i="35"/>
  <c r="P56" i="35" a="1"/>
  <c r="P56" i="35"/>
  <c r="O56" i="35" a="1"/>
  <c r="O56" i="35"/>
  <c r="N56" i="35" a="1"/>
  <c r="N56" i="35"/>
  <c r="M56" i="35" a="1"/>
  <c r="M56" i="35"/>
  <c r="L56" i="35" a="1"/>
  <c r="L56" i="35"/>
  <c r="K56" i="35" a="1"/>
  <c r="K56" i="35"/>
  <c r="J56" i="35" a="1"/>
  <c r="J56" i="35"/>
  <c r="I56" i="35" a="1"/>
  <c r="I56" i="35"/>
  <c r="H56" i="35" a="1"/>
  <c r="H56" i="35"/>
  <c r="G56" i="35" a="1"/>
  <c r="G56" i="35"/>
  <c r="F56" i="35" a="1"/>
  <c r="F56" i="35"/>
  <c r="E56" i="35" a="1"/>
  <c r="E56" i="35"/>
  <c r="BR55" i="35"/>
  <c r="C20" i="35"/>
  <c r="BP55" i="35" a="1"/>
  <c r="BP55" i="35"/>
  <c r="BO55" i="35" a="1"/>
  <c r="BO55" i="35"/>
  <c r="BN55" i="35" a="1"/>
  <c r="BN55" i="35"/>
  <c r="BM55" i="35" a="1"/>
  <c r="BM55" i="35"/>
  <c r="BL55" i="35" a="1"/>
  <c r="BL55" i="35"/>
  <c r="BK55" i="35" a="1"/>
  <c r="BK55" i="35"/>
  <c r="BJ55" i="35" a="1"/>
  <c r="BJ55" i="35"/>
  <c r="BI55" i="35" a="1"/>
  <c r="BI55" i="35"/>
  <c r="BH55" i="35" a="1"/>
  <c r="BH55" i="35"/>
  <c r="BG55" i="35" a="1"/>
  <c r="BG55" i="35"/>
  <c r="BF55" i="35" a="1"/>
  <c r="BF55" i="35"/>
  <c r="BE55" i="35" a="1"/>
  <c r="BE55" i="35"/>
  <c r="BD55" i="35" a="1"/>
  <c r="BD55" i="35"/>
  <c r="BC55" i="35" a="1"/>
  <c r="BC55" i="35"/>
  <c r="BB55" i="35" a="1"/>
  <c r="BB55" i="35"/>
  <c r="BA55" i="35" a="1"/>
  <c r="BA55" i="35"/>
  <c r="AZ55" i="35" a="1"/>
  <c r="AZ55" i="35"/>
  <c r="AY55" i="35" a="1"/>
  <c r="AY55" i="35"/>
  <c r="AX55" i="35" a="1"/>
  <c r="AX55" i="35"/>
  <c r="AW55" i="35" a="1"/>
  <c r="AW55" i="35"/>
  <c r="AV55" i="35" a="1"/>
  <c r="AV55" i="35"/>
  <c r="AU55" i="35" a="1"/>
  <c r="AU55" i="35"/>
  <c r="AT55" i="35" a="1"/>
  <c r="AT55" i="35"/>
  <c r="AS55" i="35" a="1"/>
  <c r="AS55" i="35"/>
  <c r="AR55" i="35" a="1"/>
  <c r="AR55" i="35"/>
  <c r="AQ55" i="35" a="1"/>
  <c r="AQ55" i="35"/>
  <c r="AP55" i="35" a="1"/>
  <c r="AP55" i="35"/>
  <c r="AO55" i="35" a="1"/>
  <c r="AO55" i="35"/>
  <c r="AN55" i="35" a="1"/>
  <c r="AN55" i="35"/>
  <c r="AM55" i="35" a="1"/>
  <c r="AM55" i="35"/>
  <c r="AL55" i="35" a="1"/>
  <c r="AL55" i="35"/>
  <c r="AK55" i="35" a="1"/>
  <c r="AK55" i="35"/>
  <c r="AJ55" i="35" a="1"/>
  <c r="AJ55" i="35"/>
  <c r="AI55" i="35" a="1"/>
  <c r="AI55" i="35"/>
  <c r="AH55" i="35" a="1"/>
  <c r="AH55" i="35"/>
  <c r="AG55" i="35" a="1"/>
  <c r="AG55" i="35"/>
  <c r="AF55" i="35" a="1"/>
  <c r="AF55" i="35"/>
  <c r="AE55" i="35" a="1"/>
  <c r="AE55" i="35"/>
  <c r="AD55" i="35" a="1"/>
  <c r="AD55" i="35"/>
  <c r="AC55" i="35" a="1"/>
  <c r="AC55" i="35"/>
  <c r="AB55" i="35" a="1"/>
  <c r="AB55" i="35"/>
  <c r="AA55" i="35" a="1"/>
  <c r="AA55" i="35"/>
  <c r="Z55" i="35" a="1"/>
  <c r="Z55" i="35"/>
  <c r="Y55" i="35" a="1"/>
  <c r="Y55" i="35"/>
  <c r="X55" i="35" a="1"/>
  <c r="X55" i="35"/>
  <c r="W55" i="35" a="1"/>
  <c r="W55" i="35"/>
  <c r="V55" i="35" a="1"/>
  <c r="V55" i="35"/>
  <c r="U55" i="35" a="1"/>
  <c r="U55" i="35"/>
  <c r="T55" i="35" a="1"/>
  <c r="T55" i="35"/>
  <c r="S55" i="35" a="1"/>
  <c r="S55" i="35"/>
  <c r="R55" i="35" a="1"/>
  <c r="R55" i="35"/>
  <c r="Q55" i="35" a="1"/>
  <c r="Q55" i="35"/>
  <c r="P55" i="35" a="1"/>
  <c r="P55" i="35"/>
  <c r="O55" i="35" a="1"/>
  <c r="O55" i="35"/>
  <c r="N55" i="35" a="1"/>
  <c r="N55" i="35"/>
  <c r="M55" i="35" a="1"/>
  <c r="M55" i="35"/>
  <c r="L55" i="35" a="1"/>
  <c r="L55" i="35"/>
  <c r="K55" i="35" a="1"/>
  <c r="K55" i="35"/>
  <c r="J55" i="35" a="1"/>
  <c r="J55" i="35"/>
  <c r="I55" i="35" a="1"/>
  <c r="I55" i="35"/>
  <c r="H55" i="35" a="1"/>
  <c r="H55" i="35"/>
  <c r="G55" i="35" a="1"/>
  <c r="G55" i="35"/>
  <c r="F55" i="35" a="1"/>
  <c r="F55" i="35"/>
  <c r="E55" i="35" a="1"/>
  <c r="E55" i="35"/>
  <c r="BR54" i="35"/>
  <c r="C19" i="35"/>
  <c r="BP54" i="35" a="1"/>
  <c r="BP54" i="35"/>
  <c r="BO54" i="35" a="1"/>
  <c r="BO54" i="35"/>
  <c r="BN54" i="35" a="1"/>
  <c r="BN54" i="35"/>
  <c r="BM54" i="35" a="1"/>
  <c r="BM54" i="35"/>
  <c r="BL54" i="35" a="1"/>
  <c r="BL54" i="35"/>
  <c r="BK54" i="35" a="1"/>
  <c r="BK54" i="35"/>
  <c r="BJ54" i="35" a="1"/>
  <c r="BJ54" i="35"/>
  <c r="BI54" i="35" a="1"/>
  <c r="BI54" i="35"/>
  <c r="BH54" i="35" a="1"/>
  <c r="BH54" i="35"/>
  <c r="BG54" i="35" a="1"/>
  <c r="BG54" i="35"/>
  <c r="BF54" i="35" a="1"/>
  <c r="BF54" i="35"/>
  <c r="BE54" i="35" a="1"/>
  <c r="BE54" i="35"/>
  <c r="BD54" i="35" a="1"/>
  <c r="BD54" i="35"/>
  <c r="BC54" i="35" a="1"/>
  <c r="BC54" i="35"/>
  <c r="BB54" i="35" a="1"/>
  <c r="BB54" i="35"/>
  <c r="BA54" i="35" a="1"/>
  <c r="BA54" i="35"/>
  <c r="AZ54" i="35" a="1"/>
  <c r="AZ54" i="35"/>
  <c r="AY54" i="35" a="1"/>
  <c r="AY54" i="35"/>
  <c r="AX54" i="35" a="1"/>
  <c r="AX54" i="35"/>
  <c r="AW54" i="35" a="1"/>
  <c r="AW54" i="35"/>
  <c r="AV54" i="35" a="1"/>
  <c r="AV54" i="35"/>
  <c r="AU54" i="35" a="1"/>
  <c r="AU54" i="35"/>
  <c r="AT54" i="35" a="1"/>
  <c r="AT54" i="35"/>
  <c r="AS54" i="35" a="1"/>
  <c r="AS54" i="35"/>
  <c r="AR54" i="35" a="1"/>
  <c r="AR54" i="35"/>
  <c r="AQ54" i="35" a="1"/>
  <c r="AQ54" i="35"/>
  <c r="AP54" i="35" a="1"/>
  <c r="AP54" i="35"/>
  <c r="AO54" i="35" a="1"/>
  <c r="AO54" i="35"/>
  <c r="AN54" i="35" a="1"/>
  <c r="AN54" i="35"/>
  <c r="AM54" i="35" a="1"/>
  <c r="AM54" i="35"/>
  <c r="AL54" i="35" a="1"/>
  <c r="AL54" i="35"/>
  <c r="AK54" i="35" a="1"/>
  <c r="AK54" i="35"/>
  <c r="AJ54" i="35" a="1"/>
  <c r="AJ54" i="35"/>
  <c r="AI54" i="35" a="1"/>
  <c r="AI54" i="35"/>
  <c r="AH54" i="35" a="1"/>
  <c r="AH54" i="35"/>
  <c r="AG54" i="35" a="1"/>
  <c r="AG54" i="35"/>
  <c r="AF54" i="35" a="1"/>
  <c r="AF54" i="35"/>
  <c r="AE54" i="35" a="1"/>
  <c r="AE54" i="35"/>
  <c r="AD54" i="35" a="1"/>
  <c r="AD54" i="35"/>
  <c r="AC54" i="35" a="1"/>
  <c r="AC54" i="35"/>
  <c r="AB54" i="35" a="1"/>
  <c r="AB54" i="35"/>
  <c r="AA54" i="35" a="1"/>
  <c r="AA54" i="35"/>
  <c r="Z54" i="35" a="1"/>
  <c r="Z54" i="35"/>
  <c r="Y54" i="35" a="1"/>
  <c r="Y54" i="35"/>
  <c r="X54" i="35" a="1"/>
  <c r="X54" i="35"/>
  <c r="W54" i="35" a="1"/>
  <c r="W54" i="35"/>
  <c r="V54" i="35" a="1"/>
  <c r="V54" i="35"/>
  <c r="U54" i="35" a="1"/>
  <c r="U54" i="35"/>
  <c r="T54" i="35" a="1"/>
  <c r="T54" i="35"/>
  <c r="S54" i="35" a="1"/>
  <c r="S54" i="35"/>
  <c r="R54" i="35" a="1"/>
  <c r="R54" i="35"/>
  <c r="Q54" i="35" a="1"/>
  <c r="Q54" i="35"/>
  <c r="P54" i="35" a="1"/>
  <c r="P54" i="35"/>
  <c r="O54" i="35" a="1"/>
  <c r="O54" i="35"/>
  <c r="N54" i="35" a="1"/>
  <c r="N54" i="35"/>
  <c r="M54" i="35" a="1"/>
  <c r="M54" i="35"/>
  <c r="L54" i="35" a="1"/>
  <c r="L54" i="35"/>
  <c r="K54" i="35" a="1"/>
  <c r="K54" i="35"/>
  <c r="J54" i="35" a="1"/>
  <c r="J54" i="35"/>
  <c r="I54" i="35" a="1"/>
  <c r="I54" i="35"/>
  <c r="H54" i="35" a="1"/>
  <c r="H54" i="35"/>
  <c r="G54" i="35" a="1"/>
  <c r="G54" i="35"/>
  <c r="F54" i="35" a="1"/>
  <c r="F54" i="35"/>
  <c r="E54" i="35" a="1"/>
  <c r="E54" i="35"/>
  <c r="BR53" i="35"/>
  <c r="C18" i="35"/>
  <c r="BP53" i="35" a="1"/>
  <c r="BP53" i="35"/>
  <c r="BO53" i="35" a="1"/>
  <c r="BO53" i="35"/>
  <c r="BN53" i="35" a="1"/>
  <c r="BN53" i="35"/>
  <c r="BM53" i="35" a="1"/>
  <c r="BM53" i="35"/>
  <c r="BL53" i="35" a="1"/>
  <c r="BL53" i="35"/>
  <c r="BK53" i="35" a="1"/>
  <c r="BK53" i="35"/>
  <c r="BJ53" i="35" a="1"/>
  <c r="BJ53" i="35"/>
  <c r="BI53" i="35" a="1"/>
  <c r="BI53" i="35"/>
  <c r="BH53" i="35" a="1"/>
  <c r="BH53" i="35"/>
  <c r="BG53" i="35" a="1"/>
  <c r="BG53" i="35"/>
  <c r="BF53" i="35" a="1"/>
  <c r="BF53" i="35"/>
  <c r="BE53" i="35" a="1"/>
  <c r="BE53" i="35"/>
  <c r="BD53" i="35" a="1"/>
  <c r="BD53" i="35"/>
  <c r="BC53" i="35" a="1"/>
  <c r="BC53" i="35"/>
  <c r="BB53" i="35" a="1"/>
  <c r="BB53" i="35"/>
  <c r="BA53" i="35" a="1"/>
  <c r="BA53" i="35"/>
  <c r="AZ53" i="35" a="1"/>
  <c r="AZ53" i="35"/>
  <c r="AY53" i="35" a="1"/>
  <c r="AY53" i="35"/>
  <c r="AX53" i="35" a="1"/>
  <c r="AX53" i="35"/>
  <c r="AW53" i="35" a="1"/>
  <c r="AW53" i="35"/>
  <c r="AV53" i="35" a="1"/>
  <c r="AV53" i="35"/>
  <c r="AU53" i="35" a="1"/>
  <c r="AU53" i="35"/>
  <c r="AT53" i="35" a="1"/>
  <c r="AT53" i="35"/>
  <c r="AS53" i="35" a="1"/>
  <c r="AS53" i="35"/>
  <c r="AR53" i="35" a="1"/>
  <c r="AR53" i="35"/>
  <c r="AQ53" i="35" a="1"/>
  <c r="AQ53" i="35"/>
  <c r="AP53" i="35" a="1"/>
  <c r="AP53" i="35"/>
  <c r="AO53" i="35" a="1"/>
  <c r="AO53" i="35"/>
  <c r="AN53" i="35" a="1"/>
  <c r="AN53" i="35"/>
  <c r="AM53" i="35" a="1"/>
  <c r="AM53" i="35"/>
  <c r="AL53" i="35" a="1"/>
  <c r="AL53" i="35"/>
  <c r="AK53" i="35" a="1"/>
  <c r="AK53" i="35"/>
  <c r="AJ53" i="35" a="1"/>
  <c r="AJ53" i="35"/>
  <c r="AI53" i="35" a="1"/>
  <c r="AI53" i="35"/>
  <c r="AH53" i="35" a="1"/>
  <c r="AH53" i="35"/>
  <c r="AG53" i="35" a="1"/>
  <c r="AG53" i="35"/>
  <c r="AF53" i="35" a="1"/>
  <c r="AF53" i="35"/>
  <c r="AE53" i="35" a="1"/>
  <c r="AE53" i="35"/>
  <c r="AD53" i="35" a="1"/>
  <c r="AD53" i="35"/>
  <c r="AC53" i="35" a="1"/>
  <c r="AC53" i="35"/>
  <c r="AB53" i="35" a="1"/>
  <c r="AB53" i="35"/>
  <c r="AA53" i="35" a="1"/>
  <c r="AA53" i="35"/>
  <c r="Z53" i="35" a="1"/>
  <c r="Z53" i="35"/>
  <c r="Y53" i="35" a="1"/>
  <c r="Y53" i="35"/>
  <c r="X53" i="35" a="1"/>
  <c r="X53" i="35"/>
  <c r="W53" i="35" a="1"/>
  <c r="W53" i="35"/>
  <c r="V53" i="35" a="1"/>
  <c r="V53" i="35"/>
  <c r="U53" i="35" a="1"/>
  <c r="U53" i="35"/>
  <c r="T53" i="35" a="1"/>
  <c r="T53" i="35"/>
  <c r="S53" i="35" a="1"/>
  <c r="S53" i="35"/>
  <c r="R53" i="35" a="1"/>
  <c r="R53" i="35"/>
  <c r="Q53" i="35" a="1"/>
  <c r="Q53" i="35"/>
  <c r="P53" i="35" a="1"/>
  <c r="P53" i="35"/>
  <c r="O53" i="35" a="1"/>
  <c r="O53" i="35"/>
  <c r="N53" i="35" a="1"/>
  <c r="N53" i="35"/>
  <c r="M53" i="35" a="1"/>
  <c r="M53" i="35"/>
  <c r="L53" i="35" a="1"/>
  <c r="L53" i="35"/>
  <c r="K53" i="35" a="1"/>
  <c r="K53" i="35"/>
  <c r="J53" i="35" a="1"/>
  <c r="J53" i="35"/>
  <c r="I53" i="35" a="1"/>
  <c r="I53" i="35"/>
  <c r="H53" i="35" a="1"/>
  <c r="H53" i="35"/>
  <c r="G53" i="35" a="1"/>
  <c r="G53" i="35"/>
  <c r="F53" i="35" a="1"/>
  <c r="F53" i="35"/>
  <c r="E53" i="35" a="1"/>
  <c r="E53" i="35"/>
  <c r="BR52" i="35"/>
  <c r="C17" i="35"/>
  <c r="BP52" i="35" a="1"/>
  <c r="BP52" i="35"/>
  <c r="BO52" i="35" a="1"/>
  <c r="BO52" i="35"/>
  <c r="BN52" i="35" a="1"/>
  <c r="BN52" i="35"/>
  <c r="BM52" i="35" a="1"/>
  <c r="BM52" i="35"/>
  <c r="BL52" i="35" a="1"/>
  <c r="BL52" i="35"/>
  <c r="BK52" i="35" a="1"/>
  <c r="BK52" i="35"/>
  <c r="BJ52" i="35" a="1"/>
  <c r="BJ52" i="35"/>
  <c r="BI52" i="35" a="1"/>
  <c r="BI52" i="35"/>
  <c r="BH52" i="35" a="1"/>
  <c r="BH52" i="35"/>
  <c r="BG52" i="35" a="1"/>
  <c r="BG52" i="35"/>
  <c r="BF52" i="35" a="1"/>
  <c r="BF52" i="35"/>
  <c r="BE52" i="35" a="1"/>
  <c r="BE52" i="35"/>
  <c r="BD52" i="35" a="1"/>
  <c r="BD52" i="35"/>
  <c r="BC52" i="35" a="1"/>
  <c r="BC52" i="35"/>
  <c r="BB52" i="35" a="1"/>
  <c r="BB52" i="35"/>
  <c r="BA52" i="35" a="1"/>
  <c r="BA52" i="35"/>
  <c r="AZ52" i="35" a="1"/>
  <c r="AZ52" i="35"/>
  <c r="AY52" i="35" a="1"/>
  <c r="AY52" i="35"/>
  <c r="AX52" i="35" a="1"/>
  <c r="AX52" i="35"/>
  <c r="AW52" i="35" a="1"/>
  <c r="AW52" i="35"/>
  <c r="AV52" i="35" a="1"/>
  <c r="AV52" i="35"/>
  <c r="AU52" i="35" a="1"/>
  <c r="AU52" i="35"/>
  <c r="AT52" i="35" a="1"/>
  <c r="AT52" i="35"/>
  <c r="AS52" i="35" a="1"/>
  <c r="AS52" i="35"/>
  <c r="AR52" i="35" a="1"/>
  <c r="AR52" i="35"/>
  <c r="AQ52" i="35" a="1"/>
  <c r="AQ52" i="35"/>
  <c r="AP52" i="35" a="1"/>
  <c r="AP52" i="35"/>
  <c r="AO52" i="35" a="1"/>
  <c r="AO52" i="35"/>
  <c r="AN52" i="35" a="1"/>
  <c r="AN52" i="35"/>
  <c r="AM52" i="35" a="1"/>
  <c r="AM52" i="35"/>
  <c r="AL52" i="35" a="1"/>
  <c r="AL52" i="35"/>
  <c r="AK52" i="35" a="1"/>
  <c r="AK52" i="35"/>
  <c r="AJ52" i="35" a="1"/>
  <c r="AJ52" i="35"/>
  <c r="AI52" i="35" a="1"/>
  <c r="AI52" i="35"/>
  <c r="AH52" i="35" a="1"/>
  <c r="AH52" i="35"/>
  <c r="AG52" i="35" a="1"/>
  <c r="AG52" i="35"/>
  <c r="AF52" i="35" a="1"/>
  <c r="AF52" i="35"/>
  <c r="AE52" i="35" a="1"/>
  <c r="AE52" i="35"/>
  <c r="AD52" i="35" a="1"/>
  <c r="AD52" i="35"/>
  <c r="AC52" i="35" a="1"/>
  <c r="AC52" i="35"/>
  <c r="AB52" i="35" a="1"/>
  <c r="AB52" i="35"/>
  <c r="AA52" i="35" a="1"/>
  <c r="AA52" i="35"/>
  <c r="Z52" i="35" a="1"/>
  <c r="Z52" i="35"/>
  <c r="Y52" i="35" a="1"/>
  <c r="Y52" i="35"/>
  <c r="X52" i="35" a="1"/>
  <c r="X52" i="35"/>
  <c r="W52" i="35" a="1"/>
  <c r="W52" i="35"/>
  <c r="V52" i="35" a="1"/>
  <c r="V52" i="35"/>
  <c r="U52" i="35" a="1"/>
  <c r="U52" i="35"/>
  <c r="T52" i="35" a="1"/>
  <c r="T52" i="35"/>
  <c r="S52" i="35" a="1"/>
  <c r="S52" i="35"/>
  <c r="R52" i="35" a="1"/>
  <c r="R52" i="35"/>
  <c r="Q52" i="35" a="1"/>
  <c r="Q52" i="35"/>
  <c r="P52" i="35" a="1"/>
  <c r="P52" i="35"/>
  <c r="O52" i="35" a="1"/>
  <c r="O52" i="35"/>
  <c r="N52" i="35" a="1"/>
  <c r="N52" i="35"/>
  <c r="M52" i="35" a="1"/>
  <c r="M52" i="35"/>
  <c r="L52" i="35" a="1"/>
  <c r="L52" i="35"/>
  <c r="K52" i="35" a="1"/>
  <c r="K52" i="35"/>
  <c r="J52" i="35" a="1"/>
  <c r="J52" i="35"/>
  <c r="I52" i="35" a="1"/>
  <c r="I52" i="35"/>
  <c r="H52" i="35" a="1"/>
  <c r="H52" i="35"/>
  <c r="G52" i="35" a="1"/>
  <c r="G52" i="35"/>
  <c r="F52" i="35" a="1"/>
  <c r="F52" i="35"/>
  <c r="E52" i="35" a="1"/>
  <c r="E52" i="35"/>
  <c r="BR49" i="35"/>
  <c r="BR48" i="35"/>
  <c r="BR47" i="35"/>
  <c r="BR46" i="35"/>
  <c r="BR45" i="35"/>
  <c r="BR44" i="35"/>
  <c r="BR43" i="35"/>
  <c r="BR42" i="35"/>
  <c r="BR41" i="35"/>
  <c r="CA40" i="35"/>
  <c r="BZ40" i="35"/>
  <c r="BY40" i="35"/>
  <c r="BX40" i="35"/>
  <c r="BW40" i="35"/>
  <c r="BV40" i="35"/>
  <c r="BU40" i="35"/>
  <c r="BT40" i="35"/>
  <c r="BS40" i="35"/>
  <c r="C38" i="35"/>
  <c r="C37" i="35"/>
  <c r="C36" i="35"/>
  <c r="C35" i="35"/>
  <c r="C34" i="35"/>
  <c r="C33" i="35"/>
  <c r="C32" i="35"/>
  <c r="C31" i="35"/>
  <c r="C30" i="35"/>
  <c r="J25" i="35"/>
  <c r="I25" i="35"/>
  <c r="H25" i="35"/>
  <c r="G25" i="35"/>
  <c r="F25" i="35"/>
  <c r="E25" i="35"/>
  <c r="D25" i="35"/>
  <c r="J24" i="35"/>
  <c r="I24" i="35"/>
  <c r="H24" i="35"/>
  <c r="G24" i="35"/>
  <c r="F24" i="35"/>
  <c r="E24" i="35"/>
  <c r="D24" i="35"/>
  <c r="J23" i="35"/>
  <c r="I23" i="35"/>
  <c r="H23" i="35"/>
  <c r="G23" i="35"/>
  <c r="F23" i="35"/>
  <c r="E23" i="35"/>
  <c r="D23" i="35"/>
  <c r="J22" i="35"/>
  <c r="I22" i="35"/>
  <c r="H22" i="35"/>
  <c r="G22" i="35"/>
  <c r="F22" i="35"/>
  <c r="E22" i="35"/>
  <c r="D22" i="35"/>
  <c r="AC21" i="35"/>
  <c r="J21" i="35"/>
  <c r="I21" i="35"/>
  <c r="H21" i="35"/>
  <c r="G21" i="35"/>
  <c r="F21" i="35"/>
  <c r="E21" i="35"/>
  <c r="D21" i="35"/>
  <c r="AC20" i="35"/>
  <c r="J20" i="35"/>
  <c r="I20" i="35"/>
  <c r="H20" i="35"/>
  <c r="G20" i="35"/>
  <c r="F20" i="35"/>
  <c r="E20" i="35"/>
  <c r="D20" i="35"/>
  <c r="AC19" i="35"/>
  <c r="J19" i="35"/>
  <c r="I19" i="35"/>
  <c r="H19" i="35"/>
  <c r="G19" i="35"/>
  <c r="F19" i="35"/>
  <c r="E19" i="35"/>
  <c r="D19" i="35"/>
  <c r="AC18" i="35"/>
  <c r="J18" i="35"/>
  <c r="I18" i="35"/>
  <c r="H18" i="35"/>
  <c r="G18" i="35"/>
  <c r="F18" i="35"/>
  <c r="E18" i="35"/>
  <c r="D18" i="35"/>
  <c r="AC17" i="35"/>
  <c r="J17" i="35"/>
  <c r="I17" i="35"/>
  <c r="H17" i="35"/>
  <c r="G17" i="35"/>
  <c r="F17" i="35"/>
  <c r="E17" i="35"/>
  <c r="D17" i="35"/>
  <c r="B13" i="35"/>
  <c r="B13" i="25"/>
  <c r="AB207" i="25"/>
  <c r="Z207" i="25"/>
  <c r="AB206" i="25"/>
  <c r="Z206" i="25"/>
  <c r="AB205" i="25"/>
  <c r="Z205" i="25"/>
  <c r="AB204" i="25"/>
  <c r="Z204" i="25"/>
  <c r="AB203" i="25"/>
  <c r="Z203" i="25"/>
  <c r="AB202" i="25"/>
  <c r="Z202" i="25"/>
  <c r="AB201" i="25"/>
  <c r="Z201" i="25"/>
  <c r="AB200" i="25"/>
  <c r="Z200" i="25"/>
  <c r="AB199" i="25"/>
  <c r="Z199" i="25"/>
  <c r="AB198" i="25"/>
  <c r="Z198" i="25"/>
  <c r="AB197" i="25"/>
  <c r="Z197" i="25"/>
  <c r="AB196" i="25"/>
  <c r="Z196" i="25"/>
  <c r="Q70" i="25"/>
  <c r="F10" i="25"/>
  <c r="Q71" i="25"/>
  <c r="F11" i="25"/>
  <c r="Q72" i="25"/>
  <c r="F12" i="25"/>
  <c r="AM135" i="25"/>
  <c r="AL135" i="25"/>
  <c r="AI135" i="25"/>
  <c r="AH135" i="25"/>
  <c r="AG135" i="25"/>
  <c r="AF135" i="25"/>
  <c r="AE135" i="25"/>
  <c r="AD135" i="25"/>
  <c r="AB135" i="25"/>
  <c r="Z135" i="25"/>
  <c r="Y135" i="25"/>
  <c r="X135" i="25"/>
  <c r="W135" i="25"/>
  <c r="V135" i="25"/>
  <c r="AM134" i="25"/>
  <c r="AL134" i="25"/>
  <c r="AI134" i="25"/>
  <c r="AH134" i="25"/>
  <c r="AG134" i="25"/>
  <c r="AF134" i="25"/>
  <c r="AE134" i="25"/>
  <c r="AD134" i="25"/>
  <c r="AB134" i="25"/>
  <c r="Z134" i="25"/>
  <c r="Y134" i="25"/>
  <c r="X134" i="25"/>
  <c r="W134" i="25"/>
  <c r="V134" i="25"/>
  <c r="AM133" i="25"/>
  <c r="AL133" i="25"/>
  <c r="AI133" i="25"/>
  <c r="AH133" i="25"/>
  <c r="AG133" i="25"/>
  <c r="AF133" i="25"/>
  <c r="AE133" i="25"/>
  <c r="AD133" i="25"/>
  <c r="AB133" i="25"/>
  <c r="Z133" i="25"/>
  <c r="Y133" i="25"/>
  <c r="X133" i="25"/>
  <c r="W133" i="25"/>
  <c r="V133" i="25"/>
  <c r="AM132" i="25"/>
  <c r="AL132" i="25"/>
  <c r="AI132" i="25"/>
  <c r="AH132" i="25"/>
  <c r="AG132" i="25"/>
  <c r="AF132" i="25"/>
  <c r="AE132" i="25"/>
  <c r="AD132" i="25"/>
  <c r="AB132" i="25"/>
  <c r="Z132" i="25"/>
  <c r="Y132" i="25"/>
  <c r="X132" i="25"/>
  <c r="W132" i="25"/>
  <c r="V132" i="25"/>
  <c r="AM131" i="25"/>
  <c r="AL131" i="25"/>
  <c r="AI131" i="25"/>
  <c r="AH131" i="25"/>
  <c r="AG131" i="25"/>
  <c r="AF131" i="25"/>
  <c r="AE131" i="25"/>
  <c r="AD131" i="25"/>
  <c r="AB131" i="25"/>
  <c r="Z131" i="25"/>
  <c r="Y131" i="25"/>
  <c r="X131" i="25"/>
  <c r="W131" i="25"/>
  <c r="V131" i="25"/>
  <c r="AM130" i="25"/>
  <c r="AL130" i="25"/>
  <c r="AI130" i="25"/>
  <c r="AH130" i="25"/>
  <c r="AG130" i="25"/>
  <c r="AF130" i="25"/>
  <c r="AE130" i="25"/>
  <c r="AD130" i="25"/>
  <c r="AB130" i="25"/>
  <c r="Z130" i="25"/>
  <c r="Y130" i="25"/>
  <c r="X130" i="25"/>
  <c r="W130" i="25"/>
  <c r="V130" i="25"/>
  <c r="AM129" i="25"/>
  <c r="AL129" i="25"/>
  <c r="AI129" i="25"/>
  <c r="AH129" i="25"/>
  <c r="AG129" i="25"/>
  <c r="AF129" i="25"/>
  <c r="AE129" i="25"/>
  <c r="AD129" i="25"/>
  <c r="AB129" i="25"/>
  <c r="Z129" i="25"/>
  <c r="Y129" i="25"/>
  <c r="X129" i="25"/>
  <c r="W129" i="25"/>
  <c r="V129" i="25"/>
  <c r="AM128" i="25"/>
  <c r="AL128" i="25"/>
  <c r="AI128" i="25"/>
  <c r="AH128" i="25"/>
  <c r="AG128" i="25"/>
  <c r="AF128" i="25"/>
  <c r="AE128" i="25"/>
  <c r="AD128" i="25"/>
  <c r="AB128" i="25"/>
  <c r="Z128" i="25"/>
  <c r="Y128" i="25"/>
  <c r="X128" i="25"/>
  <c r="W128" i="25"/>
  <c r="V128" i="25"/>
  <c r="AM127" i="25"/>
  <c r="AL127" i="25"/>
  <c r="AI127" i="25"/>
  <c r="AH127" i="25"/>
  <c r="AG127" i="25"/>
  <c r="AF127" i="25"/>
  <c r="AE127" i="25"/>
  <c r="AD127" i="25"/>
  <c r="AB127" i="25"/>
  <c r="Z127" i="25"/>
  <c r="Y127" i="25"/>
  <c r="X127" i="25"/>
  <c r="W127" i="25"/>
  <c r="V127" i="25"/>
  <c r="AM126" i="25"/>
  <c r="AL126" i="25"/>
  <c r="AI126" i="25"/>
  <c r="AH126" i="25"/>
  <c r="AG126" i="25"/>
  <c r="AF126" i="25"/>
  <c r="AE126" i="25"/>
  <c r="AD126" i="25"/>
  <c r="AB126" i="25"/>
  <c r="Z126" i="25"/>
  <c r="Y126" i="25"/>
  <c r="X126" i="25"/>
  <c r="W126" i="25"/>
  <c r="V126" i="25"/>
  <c r="AM125" i="25"/>
  <c r="AL125" i="25"/>
  <c r="AI125" i="25"/>
  <c r="AH125" i="25"/>
  <c r="AG125" i="25"/>
  <c r="AF125" i="25"/>
  <c r="AE125" i="25"/>
  <c r="AD125" i="25"/>
  <c r="AB125" i="25"/>
  <c r="Z125" i="25"/>
  <c r="Y125" i="25"/>
  <c r="X125" i="25"/>
  <c r="W125" i="25"/>
  <c r="V125" i="25"/>
  <c r="AM124" i="25"/>
  <c r="AL124" i="25"/>
  <c r="AI124" i="25"/>
  <c r="AH124" i="25"/>
  <c r="AG124" i="25"/>
  <c r="AF124" i="25"/>
  <c r="AE124" i="25"/>
  <c r="AD124" i="25"/>
  <c r="AB124" i="25"/>
  <c r="Z124" i="25"/>
  <c r="Y124" i="25"/>
  <c r="X124" i="25"/>
  <c r="W124" i="25"/>
  <c r="V124" i="25"/>
  <c r="AM123" i="25"/>
  <c r="AL123" i="25"/>
  <c r="AM122" i="25"/>
  <c r="AL122" i="25"/>
  <c r="AM121" i="25"/>
  <c r="AL121" i="25"/>
  <c r="AM120" i="25"/>
  <c r="AL120" i="25"/>
  <c r="AM119" i="25"/>
  <c r="AL119" i="25"/>
  <c r="AM118" i="25"/>
  <c r="AL118" i="25"/>
  <c r="AM117" i="25"/>
  <c r="AL117" i="25"/>
  <c r="AM116" i="25"/>
  <c r="AL116" i="25"/>
  <c r="AM115" i="25"/>
  <c r="AL115" i="25"/>
  <c r="AM114" i="25"/>
  <c r="AL114" i="25"/>
  <c r="AM113" i="25"/>
  <c r="AL113" i="25"/>
  <c r="AM112" i="25"/>
  <c r="AL112" i="25"/>
  <c r="AM111" i="25"/>
  <c r="AL111" i="25"/>
  <c r="AM110" i="25"/>
  <c r="AL110" i="25"/>
  <c r="AM109" i="25"/>
  <c r="AL109" i="25"/>
  <c r="AM108" i="25"/>
  <c r="AL108" i="25"/>
  <c r="AM107" i="25"/>
  <c r="AL107" i="25"/>
  <c r="AM106" i="25"/>
  <c r="AL106" i="25"/>
  <c r="AM105" i="25"/>
  <c r="AL105" i="25"/>
  <c r="AM104" i="25"/>
  <c r="AL104" i="25"/>
  <c r="AM103" i="25"/>
  <c r="AL103" i="25"/>
  <c r="AM102" i="25"/>
  <c r="AL102" i="25"/>
  <c r="AM101" i="25"/>
  <c r="AL101" i="25"/>
  <c r="AM100" i="25"/>
  <c r="AL100" i="25"/>
  <c r="AM99" i="25"/>
  <c r="AL99" i="25"/>
  <c r="AM98" i="25"/>
  <c r="AL98" i="25"/>
  <c r="AM97" i="25"/>
  <c r="AL97" i="25"/>
  <c r="AM96" i="25"/>
  <c r="AL96" i="25"/>
  <c r="AM95" i="25"/>
  <c r="AL95" i="25"/>
  <c r="AM94" i="25"/>
  <c r="AL94" i="25"/>
  <c r="AM93" i="25"/>
  <c r="AL93" i="25"/>
  <c r="AM92" i="25"/>
  <c r="AL92" i="25"/>
  <c r="AM91" i="25"/>
  <c r="AL91" i="25"/>
  <c r="AM90" i="25"/>
  <c r="AL90" i="25"/>
  <c r="AM89" i="25"/>
  <c r="AL89" i="25"/>
  <c r="AM88" i="25"/>
  <c r="AL88" i="25"/>
  <c r="AM87" i="25"/>
  <c r="AL87" i="25"/>
  <c r="AM86" i="25"/>
  <c r="AL86" i="25"/>
  <c r="AM85" i="25"/>
  <c r="AL85" i="25"/>
  <c r="AM84" i="25"/>
  <c r="AL84" i="25"/>
  <c r="AM83" i="25"/>
  <c r="AL83" i="25"/>
  <c r="AM82" i="25"/>
  <c r="AL82" i="25"/>
  <c r="AM81" i="25"/>
  <c r="AL81" i="25"/>
  <c r="AM80" i="25"/>
  <c r="AL80" i="25"/>
  <c r="AM79" i="25"/>
  <c r="AL79" i="25"/>
  <c r="AM78" i="25"/>
  <c r="AL78" i="25"/>
  <c r="AM77" i="25"/>
  <c r="AL77" i="25"/>
  <c r="AM76" i="25"/>
  <c r="AL76" i="25"/>
  <c r="AM75" i="25"/>
  <c r="AL75" i="25"/>
  <c r="AM74" i="25"/>
  <c r="AL74" i="25"/>
  <c r="AM73" i="25"/>
  <c r="AL73" i="25"/>
  <c r="AM72" i="25"/>
  <c r="AL72" i="25"/>
  <c r="AM71" i="25"/>
  <c r="AL71" i="25"/>
  <c r="AM70" i="25"/>
  <c r="AL70" i="25"/>
  <c r="AM69" i="25"/>
  <c r="AL69" i="25"/>
  <c r="AM68" i="25"/>
  <c r="AL68" i="25"/>
  <c r="AM67" i="25"/>
  <c r="AL67" i="25"/>
  <c r="AM66" i="25"/>
  <c r="AL66" i="25"/>
  <c r="AM65" i="25"/>
  <c r="AL65" i="25"/>
  <c r="AM64" i="25"/>
  <c r="AL64" i="25"/>
  <c r="BR60" i="25"/>
  <c r="BZ51" i="25"/>
  <c r="BY51" i="25"/>
  <c r="BX51" i="25"/>
  <c r="BW51" i="25"/>
  <c r="BV51" i="25"/>
  <c r="BU51" i="25"/>
  <c r="BT51" i="25"/>
  <c r="BS51" i="25"/>
  <c r="C25" i="25"/>
  <c r="BR59" i="25"/>
  <c r="CA51" i="25"/>
  <c r="C24" i="25"/>
  <c r="BR58" i="25"/>
  <c r="C23" i="25"/>
  <c r="BR57" i="25"/>
  <c r="C22" i="25"/>
  <c r="BR56" i="25"/>
  <c r="C21" i="25"/>
  <c r="C19" i="25"/>
  <c r="BR55" i="25"/>
  <c r="C20" i="25"/>
  <c r="BP55" i="25" a="1"/>
  <c r="BP55" i="25"/>
  <c r="BO55" i="25" a="1"/>
  <c r="BO55" i="25"/>
  <c r="BN55" i="25" a="1"/>
  <c r="BN55" i="25"/>
  <c r="BM55" i="25" a="1"/>
  <c r="BM55" i="25"/>
  <c r="BL55" i="25" a="1"/>
  <c r="BL55" i="25"/>
  <c r="BK55" i="25" a="1"/>
  <c r="BK55" i="25"/>
  <c r="BJ55" i="25" a="1"/>
  <c r="BJ55" i="25"/>
  <c r="BI55" i="25" a="1"/>
  <c r="BI55" i="25"/>
  <c r="BH55" i="25" a="1"/>
  <c r="BH55" i="25"/>
  <c r="BG55" i="25" a="1"/>
  <c r="BG55" i="25"/>
  <c r="BF55" i="25" a="1"/>
  <c r="BF55" i="25"/>
  <c r="BE55" i="25" a="1"/>
  <c r="BE55" i="25"/>
  <c r="BD55" i="25" a="1"/>
  <c r="BD55" i="25"/>
  <c r="BC55" i="25" a="1"/>
  <c r="BC55" i="25"/>
  <c r="BB55" i="25" a="1"/>
  <c r="BB55" i="25"/>
  <c r="BA55" i="25" a="1"/>
  <c r="BA55" i="25"/>
  <c r="AZ55" i="25" a="1"/>
  <c r="AZ55" i="25"/>
  <c r="AY55" i="25" a="1"/>
  <c r="AY55" i="25"/>
  <c r="AX55" i="25" a="1"/>
  <c r="AX55" i="25"/>
  <c r="AW55" i="25" a="1"/>
  <c r="AW55" i="25"/>
  <c r="AV55" i="25" a="1"/>
  <c r="AV55" i="25"/>
  <c r="AU55" i="25" a="1"/>
  <c r="AU55" i="25"/>
  <c r="AT55" i="25" a="1"/>
  <c r="AT55" i="25"/>
  <c r="AS55" i="25" a="1"/>
  <c r="AS55" i="25"/>
  <c r="AR55" i="25" a="1"/>
  <c r="AR55" i="25"/>
  <c r="AQ55" i="25" a="1"/>
  <c r="AQ55" i="25"/>
  <c r="AP55" i="25" a="1"/>
  <c r="AP55" i="25"/>
  <c r="AO55" i="25" a="1"/>
  <c r="AO55" i="25"/>
  <c r="AN55" i="25" a="1"/>
  <c r="AN55" i="25"/>
  <c r="AM55" i="25" a="1"/>
  <c r="AM55" i="25"/>
  <c r="AL55" i="25" a="1"/>
  <c r="AL55" i="25"/>
  <c r="AK55" i="25" a="1"/>
  <c r="AK55" i="25"/>
  <c r="AJ55" i="25" a="1"/>
  <c r="AJ55" i="25"/>
  <c r="AI55" i="25" a="1"/>
  <c r="AI55" i="25"/>
  <c r="AH55" i="25" a="1"/>
  <c r="AH55" i="25"/>
  <c r="AG55" i="25" a="1"/>
  <c r="AG55" i="25"/>
  <c r="AF55" i="25" a="1"/>
  <c r="AF55" i="25"/>
  <c r="AE55" i="25" a="1"/>
  <c r="AE55" i="25"/>
  <c r="AD55" i="25" a="1"/>
  <c r="AD55" i="25"/>
  <c r="AC55" i="25" a="1"/>
  <c r="AC55" i="25"/>
  <c r="AB55" i="25" a="1"/>
  <c r="AB55" i="25"/>
  <c r="AA55" i="25" a="1"/>
  <c r="AA55" i="25"/>
  <c r="Z55" i="25" a="1"/>
  <c r="Z55" i="25"/>
  <c r="Y55" i="25" a="1"/>
  <c r="Y55" i="25"/>
  <c r="X55" i="25" a="1"/>
  <c r="X55" i="25"/>
  <c r="W55" i="25" a="1"/>
  <c r="W55" i="25"/>
  <c r="V55" i="25" a="1"/>
  <c r="V55" i="25"/>
  <c r="U55" i="25" a="1"/>
  <c r="U55" i="25"/>
  <c r="T55" i="25" a="1"/>
  <c r="T55" i="25"/>
  <c r="S55" i="25" a="1"/>
  <c r="S55" i="25"/>
  <c r="R55" i="25" a="1"/>
  <c r="R55" i="25"/>
  <c r="Q55" i="25" a="1"/>
  <c r="Q55" i="25"/>
  <c r="P55" i="25" a="1"/>
  <c r="P55" i="25"/>
  <c r="O55" i="25" a="1"/>
  <c r="O55" i="25"/>
  <c r="N55" i="25" a="1"/>
  <c r="N55" i="25"/>
  <c r="M55" i="25" a="1"/>
  <c r="M55" i="25"/>
  <c r="L55" i="25" a="1"/>
  <c r="L55" i="25"/>
  <c r="K55" i="25" a="1"/>
  <c r="K55" i="25"/>
  <c r="J55" i="25" a="1"/>
  <c r="J55" i="25"/>
  <c r="I55" i="25" a="1"/>
  <c r="I55" i="25"/>
  <c r="H55" i="25" a="1"/>
  <c r="H55" i="25"/>
  <c r="G55" i="25" a="1"/>
  <c r="G55" i="25"/>
  <c r="F55" i="25" a="1"/>
  <c r="F55" i="25"/>
  <c r="E55" i="25" a="1"/>
  <c r="E55" i="25"/>
  <c r="BR54" i="25"/>
  <c r="BR53" i="25"/>
  <c r="C18" i="25"/>
  <c r="BP53" i="25" a="1"/>
  <c r="BP53" i="25"/>
  <c r="BO53" i="25" a="1"/>
  <c r="BO53" i="25"/>
  <c r="BN53" i="25" a="1"/>
  <c r="BN53" i="25"/>
  <c r="BM53" i="25" a="1"/>
  <c r="BM53" i="25"/>
  <c r="BL53" i="25" a="1"/>
  <c r="BL53" i="25"/>
  <c r="BK53" i="25" a="1"/>
  <c r="BK53" i="25"/>
  <c r="BJ53" i="25" a="1"/>
  <c r="BJ53" i="25"/>
  <c r="BI53" i="25" a="1"/>
  <c r="BI53" i="25"/>
  <c r="BH53" i="25" a="1"/>
  <c r="BH53" i="25"/>
  <c r="BG53" i="25" a="1"/>
  <c r="BG53" i="25"/>
  <c r="BF53" i="25" a="1"/>
  <c r="BF53" i="25"/>
  <c r="BE53" i="25" a="1"/>
  <c r="BE53" i="25"/>
  <c r="BD53" i="25" a="1"/>
  <c r="BD53" i="25"/>
  <c r="BC53" i="25" a="1"/>
  <c r="BC53" i="25"/>
  <c r="BB53" i="25" a="1"/>
  <c r="BB53" i="25"/>
  <c r="BA53" i="25" a="1"/>
  <c r="BA53" i="25"/>
  <c r="AZ53" i="25" a="1"/>
  <c r="AZ53" i="25"/>
  <c r="AY53" i="25" a="1"/>
  <c r="AY53" i="25"/>
  <c r="AX53" i="25" a="1"/>
  <c r="AX53" i="25"/>
  <c r="AW53" i="25" a="1"/>
  <c r="AW53" i="25"/>
  <c r="AV53" i="25" a="1"/>
  <c r="AV53" i="25"/>
  <c r="AU53" i="25" a="1"/>
  <c r="AU53" i="25"/>
  <c r="AT53" i="25" a="1"/>
  <c r="AT53" i="25"/>
  <c r="AS53" i="25" a="1"/>
  <c r="AS53" i="25"/>
  <c r="AR53" i="25" a="1"/>
  <c r="AR53" i="25"/>
  <c r="AQ53" i="25" a="1"/>
  <c r="AQ53" i="25"/>
  <c r="AP53" i="25" a="1"/>
  <c r="AP53" i="25"/>
  <c r="AO53" i="25" a="1"/>
  <c r="AO53" i="25"/>
  <c r="AN53" i="25" a="1"/>
  <c r="AN53" i="25"/>
  <c r="AM53" i="25" a="1"/>
  <c r="AM53" i="25"/>
  <c r="AL53" i="25" a="1"/>
  <c r="AL53" i="25"/>
  <c r="AK53" i="25" a="1"/>
  <c r="AK53" i="25"/>
  <c r="AJ53" i="25" a="1"/>
  <c r="AJ53" i="25"/>
  <c r="AI53" i="25" a="1"/>
  <c r="AI53" i="25"/>
  <c r="AH53" i="25" a="1"/>
  <c r="AH53" i="25"/>
  <c r="AG53" i="25" a="1"/>
  <c r="AG53" i="25"/>
  <c r="AF53" i="25" a="1"/>
  <c r="AF53" i="25"/>
  <c r="AE53" i="25" a="1"/>
  <c r="AE53" i="25"/>
  <c r="AD53" i="25" a="1"/>
  <c r="AD53" i="25"/>
  <c r="AC53" i="25" a="1"/>
  <c r="AC53" i="25"/>
  <c r="AB53" i="25" a="1"/>
  <c r="AB53" i="25"/>
  <c r="AA53" i="25" a="1"/>
  <c r="AA53" i="25"/>
  <c r="Z53" i="25" a="1"/>
  <c r="Z53" i="25"/>
  <c r="Y53" i="25" a="1"/>
  <c r="Y53" i="25"/>
  <c r="X53" i="25" a="1"/>
  <c r="X53" i="25"/>
  <c r="W53" i="25" a="1"/>
  <c r="W53" i="25"/>
  <c r="V53" i="25" a="1"/>
  <c r="V53" i="25"/>
  <c r="U53" i="25" a="1"/>
  <c r="U53" i="25"/>
  <c r="T53" i="25" a="1"/>
  <c r="T53" i="25"/>
  <c r="S53" i="25" a="1"/>
  <c r="S53" i="25"/>
  <c r="R53" i="25" a="1"/>
  <c r="R53" i="25"/>
  <c r="Q53" i="25" a="1"/>
  <c r="Q53" i="25"/>
  <c r="P53" i="25" a="1"/>
  <c r="P53" i="25"/>
  <c r="O53" i="25" a="1"/>
  <c r="O53" i="25"/>
  <c r="N53" i="25" a="1"/>
  <c r="N53" i="25"/>
  <c r="M53" i="25" a="1"/>
  <c r="M53" i="25"/>
  <c r="L53" i="25" a="1"/>
  <c r="L53" i="25"/>
  <c r="K53" i="25" a="1"/>
  <c r="K53" i="25"/>
  <c r="J53" i="25" a="1"/>
  <c r="J53" i="25"/>
  <c r="I53" i="25" a="1"/>
  <c r="I53" i="25"/>
  <c r="H53" i="25" a="1"/>
  <c r="H53" i="25"/>
  <c r="G53" i="25" a="1"/>
  <c r="G53" i="25"/>
  <c r="F53" i="25" a="1"/>
  <c r="F53" i="25"/>
  <c r="E53" i="25" a="1"/>
  <c r="E53" i="25"/>
  <c r="BR52" i="25"/>
  <c r="C17" i="25"/>
  <c r="BP52" i="25" a="1"/>
  <c r="BP52" i="25"/>
  <c r="BO52" i="25" a="1"/>
  <c r="BO52" i="25"/>
  <c r="BN52" i="25" a="1"/>
  <c r="BN52" i="25"/>
  <c r="BM52" i="25" a="1"/>
  <c r="BM52" i="25"/>
  <c r="BL52" i="25" a="1"/>
  <c r="BL52" i="25"/>
  <c r="BK52" i="25" a="1"/>
  <c r="BK52" i="25"/>
  <c r="BJ52" i="25" a="1"/>
  <c r="BJ52" i="25"/>
  <c r="BI52" i="25" a="1"/>
  <c r="BI52" i="25"/>
  <c r="BH52" i="25" a="1"/>
  <c r="BH52" i="25"/>
  <c r="BG52" i="25" a="1"/>
  <c r="BG52" i="25"/>
  <c r="BF52" i="25" a="1"/>
  <c r="BF52" i="25"/>
  <c r="BE52" i="25" a="1"/>
  <c r="BE52" i="25"/>
  <c r="BD52" i="25" a="1"/>
  <c r="BD52" i="25"/>
  <c r="BC52" i="25" a="1"/>
  <c r="BC52" i="25"/>
  <c r="BB52" i="25" a="1"/>
  <c r="BB52" i="25"/>
  <c r="BA52" i="25" a="1"/>
  <c r="BA52" i="25"/>
  <c r="AZ52" i="25" a="1"/>
  <c r="AZ52" i="25"/>
  <c r="AY52" i="25" a="1"/>
  <c r="AY52" i="25"/>
  <c r="AX52" i="25" a="1"/>
  <c r="AX52" i="25"/>
  <c r="AW52" i="25" a="1"/>
  <c r="AW52" i="25"/>
  <c r="AV52" i="25" a="1"/>
  <c r="AV52" i="25"/>
  <c r="AU52" i="25" a="1"/>
  <c r="AU52" i="25"/>
  <c r="AT52" i="25" a="1"/>
  <c r="AT52" i="25"/>
  <c r="AS52" i="25" a="1"/>
  <c r="AS52" i="25"/>
  <c r="AR52" i="25" a="1"/>
  <c r="AR52" i="25"/>
  <c r="AQ52" i="25" a="1"/>
  <c r="AQ52" i="25"/>
  <c r="AP52" i="25" a="1"/>
  <c r="AP52" i="25"/>
  <c r="AO52" i="25" a="1"/>
  <c r="AO52" i="25"/>
  <c r="AN52" i="25" a="1"/>
  <c r="AN52" i="25"/>
  <c r="AM52" i="25" a="1"/>
  <c r="AM52" i="25"/>
  <c r="AL52" i="25" a="1"/>
  <c r="AL52" i="25"/>
  <c r="AK52" i="25" a="1"/>
  <c r="AK52" i="25"/>
  <c r="AJ52" i="25" a="1"/>
  <c r="AJ52" i="25"/>
  <c r="AI52" i="25" a="1"/>
  <c r="AI52" i="25"/>
  <c r="AH52" i="25" a="1"/>
  <c r="AH52" i="25"/>
  <c r="AG52" i="25" a="1"/>
  <c r="AG52" i="25"/>
  <c r="AF52" i="25" a="1"/>
  <c r="AF52" i="25"/>
  <c r="AE52" i="25" a="1"/>
  <c r="AE52" i="25"/>
  <c r="AD52" i="25" a="1"/>
  <c r="AD52" i="25"/>
  <c r="AC52" i="25" a="1"/>
  <c r="AC52" i="25"/>
  <c r="AB52" i="25" a="1"/>
  <c r="AB52" i="25"/>
  <c r="AA52" i="25" a="1"/>
  <c r="AA52" i="25"/>
  <c r="Z52" i="25" a="1"/>
  <c r="Z52" i="25"/>
  <c r="Y52" i="25" a="1"/>
  <c r="Y52" i="25"/>
  <c r="X52" i="25" a="1"/>
  <c r="X52" i="25"/>
  <c r="W52" i="25" a="1"/>
  <c r="W52" i="25"/>
  <c r="V52" i="25" a="1"/>
  <c r="V52" i="25"/>
  <c r="U52" i="25" a="1"/>
  <c r="U52" i="25"/>
  <c r="T52" i="25" a="1"/>
  <c r="T52" i="25"/>
  <c r="S52" i="25" a="1"/>
  <c r="S52" i="25"/>
  <c r="R52" i="25" a="1"/>
  <c r="R52" i="25"/>
  <c r="Q52" i="25" a="1"/>
  <c r="Q52" i="25"/>
  <c r="P52" i="25" a="1"/>
  <c r="P52" i="25"/>
  <c r="O52" i="25" a="1"/>
  <c r="O52" i="25"/>
  <c r="N52" i="25" a="1"/>
  <c r="N52" i="25"/>
  <c r="M52" i="25" a="1"/>
  <c r="M52" i="25"/>
  <c r="L52" i="25" a="1"/>
  <c r="L52" i="25"/>
  <c r="K52" i="25" a="1"/>
  <c r="K52" i="25"/>
  <c r="J52" i="25" a="1"/>
  <c r="J52" i="25"/>
  <c r="I52" i="25" a="1"/>
  <c r="I52" i="25"/>
  <c r="H52" i="25" a="1"/>
  <c r="H52" i="25"/>
  <c r="G52" i="25" a="1"/>
  <c r="G52" i="25"/>
  <c r="F52" i="25" a="1"/>
  <c r="F52" i="25"/>
  <c r="E52" i="25" a="1"/>
  <c r="E52" i="25"/>
  <c r="BR49" i="25"/>
  <c r="BR48" i="25"/>
  <c r="BR47" i="25"/>
  <c r="BR46" i="25"/>
  <c r="BR45" i="25"/>
  <c r="BR41" i="25"/>
  <c r="BS40" i="25"/>
  <c r="BT40" i="25"/>
  <c r="BU40" i="25"/>
  <c r="BV40" i="25"/>
  <c r="BW40" i="25"/>
  <c r="BX40" i="25"/>
  <c r="BR42" i="25"/>
  <c r="BR43" i="25"/>
  <c r="BR44" i="25"/>
  <c r="CA40" i="25"/>
  <c r="BZ40" i="25"/>
  <c r="BY40" i="25"/>
  <c r="C38" i="25"/>
  <c r="C37" i="25"/>
  <c r="C36" i="25"/>
  <c r="C35" i="25"/>
  <c r="C34" i="25"/>
  <c r="C33" i="25"/>
  <c r="C32" i="25"/>
  <c r="C31" i="25"/>
  <c r="C30" i="25"/>
  <c r="J25" i="25"/>
  <c r="I25" i="25"/>
  <c r="H25" i="25"/>
  <c r="G25" i="25"/>
  <c r="F25" i="25"/>
  <c r="E25" i="25"/>
  <c r="D25" i="25"/>
  <c r="J24" i="25"/>
  <c r="I24" i="25"/>
  <c r="H24" i="25"/>
  <c r="G24" i="25"/>
  <c r="F24" i="25"/>
  <c r="E24" i="25"/>
  <c r="D24" i="25"/>
  <c r="J23" i="25"/>
  <c r="I23" i="25"/>
  <c r="H23" i="25"/>
  <c r="G23" i="25"/>
  <c r="F23" i="25"/>
  <c r="E23" i="25"/>
  <c r="D23" i="25"/>
  <c r="J22" i="25"/>
  <c r="I22" i="25"/>
  <c r="H22" i="25"/>
  <c r="G22" i="25"/>
  <c r="F22" i="25"/>
  <c r="E22" i="25"/>
  <c r="D22" i="25"/>
  <c r="J21" i="25"/>
  <c r="I21" i="25"/>
  <c r="H21" i="25"/>
  <c r="G21" i="25"/>
  <c r="F21" i="25"/>
  <c r="E21" i="25"/>
  <c r="D21" i="25"/>
  <c r="AC20" i="25"/>
  <c r="J20" i="25"/>
  <c r="I20" i="25"/>
  <c r="H20" i="25"/>
  <c r="G20" i="25"/>
  <c r="F20" i="25"/>
  <c r="E20" i="25"/>
  <c r="D20" i="25"/>
  <c r="J19" i="25"/>
  <c r="I19" i="25"/>
  <c r="H19" i="25"/>
  <c r="G19" i="25"/>
  <c r="F19" i="25"/>
  <c r="E19" i="25"/>
  <c r="D19" i="25"/>
  <c r="AC18" i="25"/>
  <c r="J18" i="25"/>
  <c r="I18" i="25"/>
  <c r="H18" i="25"/>
  <c r="G18" i="25"/>
  <c r="F18" i="25"/>
  <c r="E18" i="25"/>
  <c r="D18" i="25"/>
  <c r="AC17" i="25"/>
  <c r="J17" i="25"/>
  <c r="I17" i="25"/>
  <c r="H17" i="25"/>
  <c r="G17" i="25"/>
  <c r="F17" i="25"/>
  <c r="E17" i="25"/>
  <c r="D17" i="25"/>
  <c r="AC27" i="6"/>
  <c r="AC26" i="6"/>
  <c r="AC25" i="6"/>
  <c r="AC24" i="6"/>
  <c r="AC23" i="6"/>
  <c r="AC22" i="6"/>
  <c r="Q69" i="17"/>
  <c r="Q68" i="17"/>
  <c r="Q67" i="17"/>
  <c r="Q66" i="17"/>
  <c r="Q65" i="17"/>
  <c r="Q64" i="17"/>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F4" i="17"/>
  <c r="F5" i="17"/>
  <c r="F6" i="17"/>
  <c r="F7" i="17"/>
  <c r="F8" i="17"/>
  <c r="F9" i="17"/>
  <c r="Q70" i="17"/>
  <c r="F10" i="17"/>
  <c r="Q71" i="17"/>
  <c r="F11" i="17"/>
  <c r="Q72" i="17"/>
  <c r="F12" i="17"/>
  <c r="F13" i="17"/>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M122" i="17"/>
  <c r="AL122" i="17"/>
  <c r="AM121" i="17"/>
  <c r="AL121" i="17"/>
  <c r="AM120" i="17"/>
  <c r="AL120" i="17"/>
  <c r="AM119" i="17"/>
  <c r="AL119" i="17"/>
  <c r="AM118" i="17"/>
  <c r="AL118" i="17"/>
  <c r="AM117" i="17"/>
  <c r="AL117" i="17"/>
  <c r="AM116" i="17"/>
  <c r="AL116" i="17"/>
  <c r="AM115" i="17"/>
  <c r="AL115" i="17"/>
  <c r="AM114" i="17"/>
  <c r="AL114" i="17"/>
  <c r="AM113" i="17"/>
  <c r="AL113" i="17"/>
  <c r="AM112" i="17"/>
  <c r="AL112" i="17"/>
  <c r="AM111" i="17"/>
  <c r="AL111" i="17"/>
  <c r="AM110" i="17"/>
  <c r="AL110" i="17"/>
  <c r="AM109" i="17"/>
  <c r="AL109" i="17"/>
  <c r="AM108" i="17"/>
  <c r="AL108" i="17"/>
  <c r="AM107" i="17"/>
  <c r="AL107" i="17"/>
  <c r="AM106" i="17"/>
  <c r="AL106" i="17"/>
  <c r="AM105" i="17"/>
  <c r="AL105" i="17"/>
  <c r="AM104" i="17"/>
  <c r="AL104" i="17"/>
  <c r="AM103" i="17"/>
  <c r="AL103" i="17"/>
  <c r="AM102" i="17"/>
  <c r="AL102" i="17"/>
  <c r="AM101" i="17"/>
  <c r="AL101" i="17"/>
  <c r="AM100" i="17"/>
  <c r="AL100" i="17"/>
  <c r="AM99" i="17"/>
  <c r="AL99" i="17"/>
  <c r="AM98" i="17"/>
  <c r="AL98" i="17"/>
  <c r="AM97" i="17"/>
  <c r="AL97" i="17"/>
  <c r="AM96" i="17"/>
  <c r="AL96" i="17"/>
  <c r="AM95" i="17"/>
  <c r="AL95" i="17"/>
  <c r="AM94" i="17"/>
  <c r="AL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R55" i="17"/>
  <c r="C20" i="17"/>
  <c r="BP55" i="17" a="1"/>
  <c r="BP55" i="17"/>
  <c r="BO55" i="17" a="1"/>
  <c r="BO55" i="17"/>
  <c r="BN55" i="17" a="1"/>
  <c r="BN55" i="17"/>
  <c r="BM55" i="17" a="1"/>
  <c r="BM55" i="17"/>
  <c r="BL55" i="17" a="1"/>
  <c r="BL55" i="17"/>
  <c r="BK55" i="17" a="1"/>
  <c r="BK55" i="17"/>
  <c r="BJ55" i="17" a="1"/>
  <c r="BJ55" i="17"/>
  <c r="BI55" i="17" a="1"/>
  <c r="BI55" i="17"/>
  <c r="BH55" i="17" a="1"/>
  <c r="BH55" i="17"/>
  <c r="BG55" i="17" a="1"/>
  <c r="BG55" i="17"/>
  <c r="BF55" i="17" a="1"/>
  <c r="BF55" i="17"/>
  <c r="BE55" i="17" a="1"/>
  <c r="BE55" i="17"/>
  <c r="BD55" i="17" a="1"/>
  <c r="BD55" i="17"/>
  <c r="BC55" i="17" a="1"/>
  <c r="BC55" i="17"/>
  <c r="BB55" i="17" a="1"/>
  <c r="BB55" i="17"/>
  <c r="BA55" i="17" a="1"/>
  <c r="BA55" i="17"/>
  <c r="AZ55" i="17" a="1"/>
  <c r="AZ55" i="17"/>
  <c r="AY55" i="17" a="1"/>
  <c r="AY55" i="17"/>
  <c r="AX55" i="17" a="1"/>
  <c r="AX55" i="17"/>
  <c r="AW55" i="17" a="1"/>
  <c r="AW55" i="17"/>
  <c r="AV55" i="17" a="1"/>
  <c r="AV55" i="17"/>
  <c r="AU55" i="17" a="1"/>
  <c r="AU55" i="17"/>
  <c r="AT55" i="17" a="1"/>
  <c r="AT55" i="17"/>
  <c r="AS55" i="17" a="1"/>
  <c r="AS55" i="17"/>
  <c r="AR55" i="17" a="1"/>
  <c r="AR55" i="17"/>
  <c r="AQ55" i="17" a="1"/>
  <c r="AQ55" i="17"/>
  <c r="AP55" i="17" a="1"/>
  <c r="AP55" i="17"/>
  <c r="AO55" i="17" a="1"/>
  <c r="AO55" i="17"/>
  <c r="AN55" i="17" a="1"/>
  <c r="AN55" i="17"/>
  <c r="AM55" i="17" a="1"/>
  <c r="AM55" i="17"/>
  <c r="AL55" i="17" a="1"/>
  <c r="AL55" i="17"/>
  <c r="AK55" i="17" a="1"/>
  <c r="AK55" i="17"/>
  <c r="AJ55" i="17" a="1"/>
  <c r="AJ55" i="17"/>
  <c r="AI55" i="17" a="1"/>
  <c r="AI55" i="17"/>
  <c r="AH55" i="17" a="1"/>
  <c r="AH55" i="17"/>
  <c r="AG55" i="17" a="1"/>
  <c r="AG55" i="17"/>
  <c r="AF55" i="17" a="1"/>
  <c r="AF55" i="17"/>
  <c r="AE55" i="17" a="1"/>
  <c r="AE55" i="17"/>
  <c r="AD55" i="17" a="1"/>
  <c r="AD55" i="17"/>
  <c r="AC55" i="17" a="1"/>
  <c r="AC55" i="17"/>
  <c r="AB55" i="17" a="1"/>
  <c r="AB55" i="17"/>
  <c r="AA55" i="17" a="1"/>
  <c r="AA55" i="17"/>
  <c r="Z55" i="17" a="1"/>
  <c r="Z55" i="17"/>
  <c r="Y55" i="17" a="1"/>
  <c r="Y55" i="17"/>
  <c r="X55" i="17" a="1"/>
  <c r="X55" i="17"/>
  <c r="W55" i="17" a="1"/>
  <c r="W55" i="17"/>
  <c r="V55" i="17" a="1"/>
  <c r="V55" i="17"/>
  <c r="U55" i="17" a="1"/>
  <c r="U55" i="17"/>
  <c r="T55" i="17" a="1"/>
  <c r="T55" i="17"/>
  <c r="S55" i="17" a="1"/>
  <c r="S55" i="17"/>
  <c r="R55" i="17" a="1"/>
  <c r="R55" i="17"/>
  <c r="Q55" i="17" a="1"/>
  <c r="Q55" i="17"/>
  <c r="P55" i="17" a="1"/>
  <c r="P55" i="17"/>
  <c r="O55" i="17" a="1"/>
  <c r="O55" i="17"/>
  <c r="N55" i="17" a="1"/>
  <c r="N55" i="17"/>
  <c r="M55" i="17" a="1"/>
  <c r="M55" i="17"/>
  <c r="L55" i="17" a="1"/>
  <c r="L55" i="17"/>
  <c r="K55" i="17" a="1"/>
  <c r="K55" i="17"/>
  <c r="J55" i="17" a="1"/>
  <c r="J55" i="17"/>
  <c r="I55" i="17" a="1"/>
  <c r="I55" i="17"/>
  <c r="H55" i="17" a="1"/>
  <c r="H55" i="17"/>
  <c r="G55" i="17" a="1"/>
  <c r="G55" i="17"/>
  <c r="F55" i="17" a="1"/>
  <c r="F55" i="17"/>
  <c r="E55" i="17" a="1"/>
  <c r="E55" i="17"/>
  <c r="BR54" i="17"/>
  <c r="C19" i="17"/>
  <c r="BR53" i="17"/>
  <c r="C18" i="17"/>
  <c r="BP53" i="17" a="1"/>
  <c r="BP53" i="17"/>
  <c r="BO53" i="17" a="1"/>
  <c r="BO53" i="17"/>
  <c r="BN53" i="17" a="1"/>
  <c r="BN53" i="17"/>
  <c r="BM53" i="17" a="1"/>
  <c r="BM53" i="17"/>
  <c r="BL53" i="17" a="1"/>
  <c r="BL53" i="17"/>
  <c r="BK53" i="17" a="1"/>
  <c r="BK53" i="17"/>
  <c r="BJ53" i="17" a="1"/>
  <c r="BJ53" i="17"/>
  <c r="BI53" i="17" a="1"/>
  <c r="BI53" i="17"/>
  <c r="BH53" i="17" a="1"/>
  <c r="BH53" i="17"/>
  <c r="BG53" i="17" a="1"/>
  <c r="BG53" i="17"/>
  <c r="BF53" i="17" a="1"/>
  <c r="BF53" i="17"/>
  <c r="BE53" i="17" a="1"/>
  <c r="BE53" i="17"/>
  <c r="BD53" i="17" a="1"/>
  <c r="BD53" i="17"/>
  <c r="BC53" i="17" a="1"/>
  <c r="BC53" i="17"/>
  <c r="BB53" i="17" a="1"/>
  <c r="BB53" i="17"/>
  <c r="BA53" i="17" a="1"/>
  <c r="BA53" i="17"/>
  <c r="AZ53" i="17" a="1"/>
  <c r="AZ53" i="17"/>
  <c r="AY53" i="17" a="1"/>
  <c r="AY53" i="17"/>
  <c r="AX53" i="17" a="1"/>
  <c r="AX53" i="17"/>
  <c r="AW53" i="17" a="1"/>
  <c r="AW53" i="17"/>
  <c r="AV53" i="17" a="1"/>
  <c r="AV53" i="17"/>
  <c r="AU53" i="17" a="1"/>
  <c r="AU53" i="17"/>
  <c r="AT53" i="17" a="1"/>
  <c r="AT53" i="17"/>
  <c r="AS53" i="17" a="1"/>
  <c r="AS53" i="17"/>
  <c r="AR53" i="17" a="1"/>
  <c r="AR53" i="17"/>
  <c r="AQ53" i="17" a="1"/>
  <c r="AQ53" i="17"/>
  <c r="AP53" i="17" a="1"/>
  <c r="AP53" i="17"/>
  <c r="AO53" i="17" a="1"/>
  <c r="AO53" i="17"/>
  <c r="AN53" i="17" a="1"/>
  <c r="AN53" i="17"/>
  <c r="AM53" i="17" a="1"/>
  <c r="AM53" i="17"/>
  <c r="AL53" i="17" a="1"/>
  <c r="AL53" i="17"/>
  <c r="AK53" i="17" a="1"/>
  <c r="AK53" i="17"/>
  <c r="AJ53" i="17" a="1"/>
  <c r="AJ53" i="17"/>
  <c r="AI53" i="17" a="1"/>
  <c r="AI53" i="17"/>
  <c r="AH53" i="17" a="1"/>
  <c r="AH53" i="17"/>
  <c r="AG53" i="17" a="1"/>
  <c r="AG53" i="17"/>
  <c r="AF53" i="17" a="1"/>
  <c r="AF53" i="17"/>
  <c r="AE53" i="17" a="1"/>
  <c r="AE53" i="17"/>
  <c r="AD53" i="17" a="1"/>
  <c r="AD53" i="17"/>
  <c r="AC53" i="17" a="1"/>
  <c r="AC53" i="17"/>
  <c r="AB53" i="17" a="1"/>
  <c r="AB53" i="17"/>
  <c r="AA53" i="17" a="1"/>
  <c r="AA53" i="17"/>
  <c r="Z53" i="17" a="1"/>
  <c r="Z53" i="17"/>
  <c r="Y53" i="17" a="1"/>
  <c r="Y53" i="17"/>
  <c r="X53" i="17" a="1"/>
  <c r="X53" i="17"/>
  <c r="W53" i="17" a="1"/>
  <c r="W53" i="17"/>
  <c r="V53" i="17" a="1"/>
  <c r="V53" i="17"/>
  <c r="U53" i="17" a="1"/>
  <c r="U53" i="17"/>
  <c r="T53" i="17" a="1"/>
  <c r="T53" i="17"/>
  <c r="S53" i="17" a="1"/>
  <c r="S53" i="17"/>
  <c r="R53" i="17" a="1"/>
  <c r="R53" i="17"/>
  <c r="Q53" i="17" a="1"/>
  <c r="Q53" i="17"/>
  <c r="P53" i="17" a="1"/>
  <c r="P53" i="17"/>
  <c r="O53" i="17" a="1"/>
  <c r="O53" i="17"/>
  <c r="N53" i="17" a="1"/>
  <c r="N53" i="17"/>
  <c r="M53" i="17" a="1"/>
  <c r="M53" i="17"/>
  <c r="L53" i="17" a="1"/>
  <c r="L53" i="17"/>
  <c r="K53" i="17" a="1"/>
  <c r="K53" i="17"/>
  <c r="J53" i="17" a="1"/>
  <c r="J53" i="17"/>
  <c r="I53" i="17" a="1"/>
  <c r="I53" i="17"/>
  <c r="H53" i="17" a="1"/>
  <c r="H53" i="17"/>
  <c r="G53" i="17" a="1"/>
  <c r="G53" i="17"/>
  <c r="F53" i="17" a="1"/>
  <c r="F53" i="17"/>
  <c r="E53" i="17" a="1"/>
  <c r="E53" i="17"/>
  <c r="BR52" i="17"/>
  <c r="C17" i="17"/>
  <c r="BP52" i="17" a="1"/>
  <c r="BP52" i="17"/>
  <c r="BO52" i="17" a="1"/>
  <c r="BO52" i="17"/>
  <c r="BN52" i="17" a="1"/>
  <c r="BN52" i="17"/>
  <c r="BM52" i="17" a="1"/>
  <c r="BM52" i="17"/>
  <c r="BL52" i="17" a="1"/>
  <c r="BL52" i="17"/>
  <c r="BK52" i="17" a="1"/>
  <c r="BK52" i="17"/>
  <c r="BJ52" i="17" a="1"/>
  <c r="BJ52" i="17"/>
  <c r="BI52" i="17" a="1"/>
  <c r="BI52" i="17"/>
  <c r="BH52" i="17" a="1"/>
  <c r="BH52" i="17"/>
  <c r="BG52" i="17" a="1"/>
  <c r="BG52" i="17"/>
  <c r="BF52" i="17" a="1"/>
  <c r="BF52" i="17"/>
  <c r="BE52" i="17" a="1"/>
  <c r="BE52" i="17"/>
  <c r="BD52" i="17" a="1"/>
  <c r="BD52" i="17"/>
  <c r="BC52" i="17" a="1"/>
  <c r="BC52" i="17"/>
  <c r="BB52" i="17" a="1"/>
  <c r="BB52" i="17"/>
  <c r="BA52" i="17" a="1"/>
  <c r="BA52" i="17"/>
  <c r="AZ52" i="17" a="1"/>
  <c r="AZ52" i="17"/>
  <c r="AY52" i="17" a="1"/>
  <c r="AY52" i="17"/>
  <c r="AX52" i="17" a="1"/>
  <c r="AX52" i="17"/>
  <c r="AW52" i="17" a="1"/>
  <c r="AW52" i="17"/>
  <c r="AV52" i="17" a="1"/>
  <c r="AV52" i="17"/>
  <c r="AU52" i="17" a="1"/>
  <c r="AU52" i="17"/>
  <c r="AT52" i="17" a="1"/>
  <c r="AT52" i="17"/>
  <c r="AS52" i="17" a="1"/>
  <c r="AS52" i="17"/>
  <c r="AR52" i="17" a="1"/>
  <c r="AR52" i="17"/>
  <c r="AQ52" i="17" a="1"/>
  <c r="AQ52" i="17"/>
  <c r="AP52" i="17" a="1"/>
  <c r="AP52" i="17"/>
  <c r="AO52" i="17" a="1"/>
  <c r="AO52" i="17"/>
  <c r="AN52" i="17" a="1"/>
  <c r="AN52" i="17"/>
  <c r="AM52" i="17" a="1"/>
  <c r="AM52" i="17"/>
  <c r="AL52" i="17" a="1"/>
  <c r="AL52" i="17"/>
  <c r="AK52" i="17" a="1"/>
  <c r="AK52" i="17"/>
  <c r="AJ52" i="17" a="1"/>
  <c r="AJ52" i="17"/>
  <c r="AI52" i="17" a="1"/>
  <c r="AI52" i="17"/>
  <c r="AH52" i="17" a="1"/>
  <c r="AH52" i="17"/>
  <c r="AG52" i="17" a="1"/>
  <c r="AG52" i="17"/>
  <c r="AF52" i="17" a="1"/>
  <c r="AF52" i="17"/>
  <c r="AE52" i="17" a="1"/>
  <c r="AE52" i="17"/>
  <c r="AD52" i="17" a="1"/>
  <c r="AD52" i="17"/>
  <c r="AC52" i="17" a="1"/>
  <c r="AC52" i="17"/>
  <c r="AB52" i="17" a="1"/>
  <c r="AB52" i="17"/>
  <c r="AA52" i="17" a="1"/>
  <c r="AA52" i="17"/>
  <c r="Z52" i="17" a="1"/>
  <c r="Z52" i="17"/>
  <c r="Y52" i="17" a="1"/>
  <c r="Y52" i="17"/>
  <c r="X52" i="17" a="1"/>
  <c r="X52" i="17"/>
  <c r="W52" i="17" a="1"/>
  <c r="W52" i="17"/>
  <c r="V52" i="17" a="1"/>
  <c r="V52" i="17"/>
  <c r="U52" i="17" a="1"/>
  <c r="U52" i="17"/>
  <c r="T52" i="17" a="1"/>
  <c r="T52" i="17"/>
  <c r="S52" i="17" a="1"/>
  <c r="S52" i="17"/>
  <c r="R52" i="17" a="1"/>
  <c r="R52" i="17"/>
  <c r="Q52" i="17" a="1"/>
  <c r="Q52" i="17"/>
  <c r="P52" i="17" a="1"/>
  <c r="P52" i="17"/>
  <c r="O52" i="17" a="1"/>
  <c r="O52" i="17"/>
  <c r="N52" i="17" a="1"/>
  <c r="N52" i="17"/>
  <c r="M52" i="17" a="1"/>
  <c r="M52" i="17"/>
  <c r="L52" i="17" a="1"/>
  <c r="L52" i="17"/>
  <c r="K52" i="17" a="1"/>
  <c r="K52" i="17"/>
  <c r="J52" i="17" a="1"/>
  <c r="J52" i="17"/>
  <c r="I52" i="17" a="1"/>
  <c r="I52" i="17"/>
  <c r="H52" i="17" a="1"/>
  <c r="H52" i="17"/>
  <c r="G52" i="17" a="1"/>
  <c r="G52" i="17"/>
  <c r="F52" i="17" a="1"/>
  <c r="F52" i="17"/>
  <c r="E52" i="17" a="1"/>
  <c r="E52"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J25" i="17"/>
  <c r="I25" i="17"/>
  <c r="H25" i="17"/>
  <c r="G25" i="17"/>
  <c r="F25" i="17"/>
  <c r="E25" i="17"/>
  <c r="D25" i="17"/>
  <c r="J24" i="17"/>
  <c r="I24" i="17"/>
  <c r="H24" i="17"/>
  <c r="G24" i="17"/>
  <c r="F24" i="17"/>
  <c r="E24" i="17"/>
  <c r="D24" i="17"/>
  <c r="J23" i="17"/>
  <c r="I23" i="17"/>
  <c r="H23" i="17"/>
  <c r="G23" i="17"/>
  <c r="F23" i="17"/>
  <c r="E23" i="17"/>
  <c r="D23" i="17"/>
  <c r="J22" i="17"/>
  <c r="I22" i="17"/>
  <c r="H22" i="17"/>
  <c r="G22" i="17"/>
  <c r="F22" i="17"/>
  <c r="E22" i="17"/>
  <c r="D22" i="17"/>
  <c r="J21" i="17"/>
  <c r="I21" i="17"/>
  <c r="H21" i="17"/>
  <c r="G21" i="17"/>
  <c r="F21" i="17"/>
  <c r="E21" i="17"/>
  <c r="D21" i="17"/>
  <c r="AC20" i="17"/>
  <c r="J20" i="17"/>
  <c r="I20" i="17"/>
  <c r="H20" i="17"/>
  <c r="G20" i="17"/>
  <c r="F20" i="17"/>
  <c r="E20" i="17"/>
  <c r="D20" i="17"/>
  <c r="J19" i="17"/>
  <c r="I19" i="17"/>
  <c r="H19" i="17"/>
  <c r="G19" i="17"/>
  <c r="F19" i="17"/>
  <c r="E19" i="17"/>
  <c r="D19" i="17"/>
  <c r="AC18" i="17"/>
  <c r="J18" i="17"/>
  <c r="I18" i="17"/>
  <c r="H18" i="17"/>
  <c r="G18" i="17"/>
  <c r="F18" i="17"/>
  <c r="E18" i="17"/>
  <c r="D18" i="17"/>
  <c r="AC17" i="17"/>
  <c r="J17" i="17"/>
  <c r="I17" i="17"/>
  <c r="H17" i="17"/>
  <c r="G17" i="17"/>
  <c r="F17" i="17"/>
  <c r="E17" i="17"/>
  <c r="D17" i="17"/>
  <c r="B13" i="17"/>
  <c r="AV12" i="17"/>
  <c r="AV11" i="17"/>
  <c r="AV10" i="17"/>
  <c r="AV9" i="17"/>
  <c r="AV8" i="17"/>
  <c r="AV7" i="17"/>
  <c r="AV6" i="17"/>
  <c r="AV5" i="17"/>
  <c r="AV4" i="17"/>
  <c r="AD22" i="6"/>
  <c r="AH22" i="6"/>
  <c r="AD23" i="6"/>
  <c r="AH23" i="6"/>
  <c r="AD24" i="6"/>
  <c r="AH24" i="6"/>
  <c r="AD25" i="6"/>
  <c r="AH25" i="6"/>
  <c r="AD26" i="6"/>
  <c r="AH26" i="6"/>
  <c r="AD27" i="6"/>
  <c r="AH27" i="6"/>
  <c r="AD32" i="6"/>
  <c r="AH32" i="6"/>
  <c r="AD33" i="6"/>
  <c r="AH33" i="6"/>
  <c r="AD34" i="6"/>
  <c r="AH34" i="6"/>
  <c r="AD35" i="6"/>
  <c r="AH35" i="6"/>
  <c r="AD36" i="6"/>
  <c r="AH36" i="6"/>
  <c r="AD37" i="6"/>
  <c r="AH37" i="6"/>
  <c r="AD42" i="6"/>
  <c r="AH42" i="6"/>
  <c r="AD43" i="6"/>
  <c r="AH43" i="6"/>
  <c r="AD44" i="6"/>
  <c r="AH44" i="6"/>
  <c r="AD45" i="6"/>
  <c r="AH45" i="6"/>
  <c r="AD46" i="6"/>
  <c r="AH46" i="6"/>
  <c r="AD47" i="6"/>
  <c r="AH47" i="6"/>
  <c r="AP11" i="6"/>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O11" i="6"/>
  <c r="AN11" i="6"/>
  <c r="AM11" i="6"/>
  <c r="AL11" i="6"/>
  <c r="AQ11" i="6"/>
  <c r="AP17" i="6"/>
  <c r="AO17" i="6"/>
  <c r="AN17" i="6"/>
  <c r="AM17" i="6"/>
  <c r="AL17" i="6"/>
  <c r="AQ16" i="6"/>
  <c r="AO16" i="6"/>
  <c r="AN16" i="6"/>
  <c r="AM16" i="6"/>
  <c r="AL16" i="6"/>
  <c r="AQ15" i="6"/>
  <c r="AP15" i="6"/>
  <c r="AN15" i="6"/>
  <c r="AM15" i="6"/>
  <c r="AL15" i="6"/>
  <c r="AQ14" i="6"/>
  <c r="AP14" i="6"/>
  <c r="AO14" i="6"/>
  <c r="AM14" i="6"/>
  <c r="AL14" i="6"/>
  <c r="AQ13" i="6"/>
  <c r="AP13" i="6"/>
  <c r="AO13" i="6"/>
  <c r="AN13" i="6"/>
  <c r="AL13" i="6"/>
  <c r="AQ12" i="6"/>
  <c r="AP12" i="6"/>
  <c r="AO12" i="6"/>
  <c r="AN12" i="6"/>
  <c r="AM12" i="6"/>
  <c r="AC17" i="6"/>
  <c r="AC16" i="6"/>
  <c r="AC15" i="6"/>
  <c r="AC14" i="6"/>
  <c r="AC13" i="6"/>
  <c r="AC12" i="6"/>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AX10" i="6"/>
  <c r="E101" i="9"/>
  <c r="AU7" i="6"/>
  <c r="H5" i="39"/>
  <c r="H4" i="39"/>
  <c r="H3" i="39"/>
  <c r="H2" i="39"/>
  <c r="H5" i="24"/>
  <c r="H4" i="24"/>
  <c r="H3" i="24"/>
  <c r="H2" i="24"/>
  <c r="F5" i="21"/>
  <c r="F4" i="21"/>
  <c r="F3" i="21"/>
  <c r="F2" i="21"/>
  <c r="F5" i="41"/>
  <c r="F4" i="41"/>
  <c r="F3" i="41"/>
  <c r="F2" i="41"/>
  <c r="J17" i="3"/>
  <c r="J18" i="3"/>
  <c r="J19" i="3"/>
  <c r="J20" i="3"/>
  <c r="J21" i="3"/>
  <c r="J22" i="3"/>
  <c r="J23" i="3"/>
  <c r="J24" i="3"/>
  <c r="J25" i="3"/>
  <c r="AV4" i="3"/>
  <c r="AV5" i="3"/>
  <c r="AV6" i="3"/>
  <c r="AV7" i="3"/>
  <c r="AV8" i="3"/>
  <c r="AV9" i="3"/>
  <c r="AV10" i="3"/>
  <c r="AV11" i="3"/>
  <c r="AV12" i="3"/>
  <c r="AJ17" i="6"/>
  <c r="AJ16" i="6"/>
  <c r="AJ15" i="6"/>
  <c r="AJ14" i="6"/>
  <c r="AJ13" i="6"/>
  <c r="AJ12" i="6"/>
  <c r="AM123" i="3"/>
  <c r="AL123" i="3"/>
  <c r="AM122" i="3"/>
  <c r="AL122" i="3"/>
  <c r="AM121" i="3"/>
  <c r="AL121" i="3"/>
  <c r="AM120" i="3"/>
  <c r="AL120" i="3"/>
  <c r="AM119" i="3"/>
  <c r="AL119" i="3"/>
  <c r="AM118" i="3"/>
  <c r="AL118" i="3"/>
  <c r="AM117" i="3"/>
  <c r="AL117" i="3"/>
  <c r="AM116" i="3"/>
  <c r="AL116" i="3"/>
  <c r="AM115" i="3"/>
  <c r="AL115" i="3"/>
  <c r="AM114" i="3"/>
  <c r="AL114" i="3"/>
  <c r="AM113" i="3"/>
  <c r="AL113" i="3"/>
  <c r="AM112" i="3"/>
  <c r="AL112" i="3"/>
  <c r="AM111" i="3"/>
  <c r="AL111" i="3"/>
  <c r="AM110" i="3"/>
  <c r="AL110" i="3"/>
  <c r="AM109" i="3"/>
  <c r="AL109" i="3"/>
  <c r="AM108" i="3"/>
  <c r="AL108" i="3"/>
  <c r="AM107" i="3"/>
  <c r="AL107" i="3"/>
  <c r="AM106" i="3"/>
  <c r="AL106" i="3"/>
  <c r="AM105" i="3"/>
  <c r="AL105" i="3"/>
  <c r="AM104" i="3"/>
  <c r="AL104" i="3"/>
  <c r="AM103" i="3"/>
  <c r="AL103" i="3"/>
  <c r="AM102" i="3"/>
  <c r="AL102" i="3"/>
  <c r="AM101" i="3"/>
  <c r="AL101" i="3"/>
  <c r="AM100" i="3"/>
  <c r="AL100" i="3"/>
  <c r="AM99" i="3"/>
  <c r="AL99" i="3"/>
  <c r="AM98" i="3"/>
  <c r="AL98" i="3"/>
  <c r="AM97" i="3"/>
  <c r="AL97" i="3"/>
  <c r="AM96" i="3"/>
  <c r="AL96" i="3"/>
  <c r="AM95" i="3"/>
  <c r="AL95" i="3"/>
  <c r="AM94" i="3"/>
  <c r="AL94" i="3"/>
  <c r="AM93" i="3"/>
  <c r="AL93" i="3"/>
  <c r="AM92" i="3"/>
  <c r="AL92" i="3"/>
  <c r="AM91" i="3"/>
  <c r="AL91" i="3"/>
  <c r="AM90" i="3"/>
  <c r="AL90" i="3"/>
  <c r="AM89" i="3"/>
  <c r="AL89" i="3"/>
  <c r="AM88" i="3"/>
  <c r="AL88" i="3"/>
  <c r="AM87" i="3"/>
  <c r="AL87" i="3"/>
  <c r="AM86" i="3"/>
  <c r="AL86" i="3"/>
  <c r="AM85" i="3"/>
  <c r="AL85" i="3"/>
  <c r="AM84" i="3"/>
  <c r="AL84" i="3"/>
  <c r="AM83" i="3"/>
  <c r="AL83" i="3"/>
  <c r="AM82" i="3"/>
  <c r="AL82" i="3"/>
  <c r="AM81" i="3"/>
  <c r="AL81" i="3"/>
  <c r="AM80" i="3"/>
  <c r="AL80" i="3"/>
  <c r="AM79" i="3"/>
  <c r="AL79" i="3"/>
  <c r="AM78" i="3"/>
  <c r="AL78" i="3"/>
  <c r="AM77" i="3"/>
  <c r="AL77" i="3"/>
  <c r="AM76" i="3"/>
  <c r="AL76" i="3"/>
  <c r="AM75" i="3"/>
  <c r="AL75" i="3"/>
  <c r="AM74" i="3"/>
  <c r="AL74" i="3"/>
  <c r="AM73" i="3"/>
  <c r="AL73" i="3"/>
  <c r="AM72" i="3"/>
  <c r="AL72" i="3"/>
  <c r="AM71" i="3"/>
  <c r="AL71" i="3"/>
  <c r="AM70" i="3"/>
  <c r="AL70" i="3"/>
  <c r="AM69" i="3"/>
  <c r="AL69" i="3"/>
  <c r="AM68" i="3"/>
  <c r="AL68" i="3"/>
  <c r="AM67" i="3"/>
  <c r="AL67" i="3"/>
  <c r="AM66" i="3"/>
  <c r="AL66" i="3"/>
  <c r="AM65" i="3"/>
  <c r="AL65" i="3"/>
  <c r="AM64" i="3"/>
  <c r="AL64" i="3"/>
  <c r="AM135" i="3"/>
  <c r="AL135" i="3"/>
  <c r="AM134" i="3"/>
  <c r="AL134" i="3"/>
  <c r="AM133" i="3"/>
  <c r="AL133" i="3"/>
  <c r="AM132" i="3"/>
  <c r="AL132" i="3"/>
  <c r="AM131" i="3"/>
  <c r="AL131" i="3"/>
  <c r="AM130" i="3"/>
  <c r="AL130" i="3"/>
  <c r="AM129" i="3"/>
  <c r="AL129" i="3"/>
  <c r="AM128" i="3"/>
  <c r="AL128" i="3"/>
  <c r="AM127" i="3"/>
  <c r="AL127" i="3"/>
  <c r="AM126" i="3"/>
  <c r="AL126" i="3"/>
  <c r="AM125" i="3"/>
  <c r="AL125" i="3"/>
  <c r="AM124" i="3"/>
  <c r="AL124" i="3"/>
  <c r="AI135" i="3"/>
  <c r="AH135" i="3"/>
  <c r="AI134" i="3"/>
  <c r="AH134" i="3"/>
  <c r="AI133" i="3"/>
  <c r="AH133" i="3"/>
  <c r="AI132" i="3"/>
  <c r="AH132" i="3"/>
  <c r="AI131" i="3"/>
  <c r="AH131" i="3"/>
  <c r="AI130" i="3"/>
  <c r="AH130" i="3"/>
  <c r="AI129" i="3"/>
  <c r="AH129" i="3"/>
  <c r="AI128" i="3"/>
  <c r="AH128" i="3"/>
  <c r="AI127" i="3"/>
  <c r="AH127" i="3"/>
  <c r="AI126" i="3"/>
  <c r="AH126" i="3"/>
  <c r="AI125" i="3"/>
  <c r="AH125" i="3"/>
  <c r="AI124" i="3"/>
  <c r="AH124" i="3"/>
  <c r="AG135" i="3"/>
  <c r="AF135" i="3"/>
  <c r="AG134" i="3"/>
  <c r="AF134" i="3"/>
  <c r="AG133" i="3"/>
  <c r="AF133" i="3"/>
  <c r="AG132" i="3"/>
  <c r="AF132" i="3"/>
  <c r="AG131" i="3"/>
  <c r="AF131" i="3"/>
  <c r="AG130" i="3"/>
  <c r="AF130" i="3"/>
  <c r="AG129" i="3"/>
  <c r="AF129" i="3"/>
  <c r="AG128" i="3"/>
  <c r="AF128" i="3"/>
  <c r="AG127" i="3"/>
  <c r="AF127" i="3"/>
  <c r="AG126" i="3"/>
  <c r="AF126" i="3"/>
  <c r="AG125" i="3"/>
  <c r="AF125" i="3"/>
  <c r="AG124" i="3"/>
  <c r="AF124" i="3"/>
  <c r="AK41" i="6"/>
  <c r="AK31" i="6"/>
  <c r="AK21" i="6"/>
  <c r="AK11" i="6"/>
  <c r="B18" i="44"/>
  <c r="B17" i="44"/>
  <c r="B7" i="44"/>
  <c r="B12" i="44"/>
  <c r="E81" i="9"/>
  <c r="E82" i="9"/>
  <c r="E83" i="9"/>
  <c r="E84" i="9"/>
  <c r="E85" i="9"/>
  <c r="E86" i="9"/>
  <c r="E87" i="9"/>
  <c r="E88" i="9"/>
  <c r="E89" i="9"/>
  <c r="E90" i="9"/>
  <c r="E91" i="9"/>
  <c r="E92" i="9"/>
  <c r="E93" i="9"/>
  <c r="E94" i="9"/>
  <c r="E95" i="9"/>
  <c r="E96" i="9"/>
  <c r="E97" i="9"/>
  <c r="E98" i="9"/>
  <c r="E99" i="9"/>
  <c r="E109" i="9"/>
  <c r="AJ41" i="6"/>
  <c r="AJ31" i="6"/>
  <c r="AJ21" i="6"/>
  <c r="AJ11" i="6"/>
  <c r="AQ10" i="6"/>
  <c r="AP10" i="6"/>
  <c r="AO10" i="6"/>
  <c r="AN10" i="6"/>
  <c r="AM10" i="6"/>
  <c r="AL10" i="6"/>
  <c r="D33" i="44"/>
  <c r="B33" i="44"/>
  <c r="B22" i="44"/>
  <c r="B27" i="44"/>
  <c r="B4" i="44"/>
  <c r="E51" i="9"/>
  <c r="B1" i="44"/>
  <c r="AE17" i="6"/>
  <c r="AF17" i="6"/>
  <c r="AE16" i="6"/>
  <c r="AF16" i="6"/>
  <c r="AE15" i="6"/>
  <c r="AF15" i="6"/>
  <c r="AE14" i="6"/>
  <c r="AF14" i="6"/>
  <c r="AE13" i="6"/>
  <c r="AF13" i="6"/>
  <c r="AE12" i="6"/>
  <c r="AF12" i="6"/>
  <c r="AF41" i="6"/>
  <c r="AF31" i="6"/>
  <c r="AF21" i="6"/>
  <c r="AF11" i="6"/>
  <c r="C3" i="9"/>
  <c r="C4" i="9"/>
  <c r="BE13" i="6"/>
  <c r="BF13" i="6"/>
  <c r="BG13" i="6"/>
  <c r="BE14" i="6"/>
  <c r="BF14" i="6"/>
  <c r="BG14" i="6"/>
  <c r="BE15" i="6"/>
  <c r="BF15" i="6"/>
  <c r="BG15" i="6"/>
  <c r="BE16" i="6"/>
  <c r="BF16" i="6"/>
  <c r="BG16" i="6"/>
  <c r="BE17" i="6"/>
  <c r="BF17" i="6"/>
  <c r="BG17" i="6"/>
  <c r="BE18" i="6"/>
  <c r="BF18" i="6"/>
  <c r="BG18" i="6"/>
  <c r="BE19" i="6"/>
  <c r="BF19" i="6"/>
  <c r="BG19" i="6"/>
  <c r="BE20" i="6"/>
  <c r="BF20" i="6"/>
  <c r="BG20" i="6"/>
  <c r="BE21" i="6"/>
  <c r="BF21" i="6"/>
  <c r="BG21" i="6"/>
  <c r="BE22" i="6"/>
  <c r="BF22" i="6"/>
  <c r="BG22" i="6"/>
  <c r="BE23" i="6"/>
  <c r="BF23" i="6"/>
  <c r="BG23" i="6"/>
  <c r="BE24" i="6"/>
  <c r="BF24" i="6"/>
  <c r="BG24" i="6"/>
  <c r="BE25" i="6"/>
  <c r="BF25" i="6"/>
  <c r="BG25" i="6"/>
  <c r="BE26" i="6"/>
  <c r="BF26" i="6"/>
  <c r="BG26" i="6"/>
  <c r="BE27" i="6"/>
  <c r="BF27" i="6"/>
  <c r="BG27" i="6"/>
  <c r="BE28" i="6"/>
  <c r="BF28" i="6"/>
  <c r="BG28" i="6"/>
  <c r="BE29" i="6"/>
  <c r="BF29" i="6"/>
  <c r="BG29" i="6"/>
  <c r="BE30" i="6"/>
  <c r="BF30" i="6"/>
  <c r="BG30" i="6"/>
  <c r="BE31" i="6"/>
  <c r="BF31" i="6"/>
  <c r="BG31" i="6"/>
  <c r="BE32" i="6"/>
  <c r="BF32" i="6"/>
  <c r="BG32" i="6"/>
  <c r="BE33" i="6"/>
  <c r="BF33" i="6"/>
  <c r="BG33" i="6"/>
  <c r="BE34" i="6"/>
  <c r="BF34" i="6"/>
  <c r="BG34" i="6"/>
  <c r="BE35" i="6"/>
  <c r="BF35" i="6"/>
  <c r="BG35" i="6"/>
  <c r="BE36" i="6"/>
  <c r="BF36" i="6"/>
  <c r="BG36" i="6"/>
  <c r="BE37" i="6"/>
  <c r="BF37" i="6"/>
  <c r="BG37" i="6"/>
  <c r="BE38" i="6"/>
  <c r="BF38" i="6"/>
  <c r="BG38" i="6"/>
  <c r="BE39" i="6"/>
  <c r="BF39" i="6"/>
  <c r="BG39" i="6"/>
  <c r="BE40" i="6"/>
  <c r="BF40" i="6"/>
  <c r="BG40" i="6"/>
  <c r="BE41" i="6"/>
  <c r="BF41" i="6"/>
  <c r="BG41" i="6"/>
  <c r="BE42" i="6"/>
  <c r="BF42" i="6"/>
  <c r="BG42" i="6"/>
  <c r="BE43" i="6"/>
  <c r="BF43" i="6"/>
  <c r="BG43" i="6"/>
  <c r="BE44" i="6"/>
  <c r="BF44" i="6"/>
  <c r="BG44" i="6"/>
  <c r="BE45" i="6"/>
  <c r="BF45" i="6"/>
  <c r="BG45" i="6"/>
  <c r="BE46" i="6"/>
  <c r="BF46" i="6"/>
  <c r="BG46" i="6"/>
  <c r="BE47" i="6"/>
  <c r="BF47" i="6"/>
  <c r="BG47" i="6"/>
  <c r="BE48" i="6"/>
  <c r="BF48" i="6"/>
  <c r="BG48" i="6"/>
  <c r="BE49" i="6"/>
  <c r="BF49" i="6"/>
  <c r="BG49" i="6"/>
  <c r="BE50" i="6"/>
  <c r="BF50" i="6"/>
  <c r="BG50" i="6"/>
  <c r="BE51" i="6"/>
  <c r="BF51" i="6"/>
  <c r="BG51" i="6"/>
  <c r="BE52" i="6"/>
  <c r="BF52" i="6"/>
  <c r="BG52" i="6"/>
  <c r="BE53" i="6"/>
  <c r="BF53" i="6"/>
  <c r="BG53" i="6"/>
  <c r="BE54" i="6"/>
  <c r="BF54" i="6"/>
  <c r="BG54" i="6"/>
  <c r="BE55" i="6"/>
  <c r="BF55" i="6"/>
  <c r="BG55" i="6"/>
  <c r="BE56" i="6"/>
  <c r="BF56" i="6"/>
  <c r="BG56" i="6"/>
  <c r="BE57" i="6"/>
  <c r="BF57" i="6"/>
  <c r="BG57" i="6"/>
  <c r="BE58" i="6"/>
  <c r="BF58" i="6"/>
  <c r="BG58" i="6"/>
  <c r="BE59" i="6"/>
  <c r="BF59" i="6"/>
  <c r="BG59" i="6"/>
  <c r="BE60" i="6"/>
  <c r="BF60" i="6"/>
  <c r="BG60" i="6"/>
  <c r="BE61" i="6"/>
  <c r="BF61" i="6"/>
  <c r="BG61" i="6"/>
  <c r="BE62" i="6"/>
  <c r="BF62" i="6"/>
  <c r="BG62" i="6"/>
  <c r="BE63" i="6"/>
  <c r="BF63" i="6"/>
  <c r="BG63" i="6"/>
  <c r="BE64" i="6"/>
  <c r="BF64" i="6"/>
  <c r="BG64" i="6"/>
  <c r="BE65" i="6"/>
  <c r="BF65" i="6"/>
  <c r="BG65" i="6"/>
  <c r="BE66" i="6"/>
  <c r="BF66" i="6"/>
  <c r="BG66" i="6"/>
  <c r="BE67" i="6"/>
  <c r="BF67" i="6"/>
  <c r="BG67" i="6"/>
  <c r="BE68" i="6"/>
  <c r="BF68" i="6"/>
  <c r="BG68" i="6"/>
  <c r="BE69" i="6"/>
  <c r="BF69" i="6"/>
  <c r="BG69" i="6"/>
  <c r="BE70" i="6"/>
  <c r="BF70" i="6"/>
  <c r="BG70" i="6"/>
  <c r="BE71" i="6"/>
  <c r="BF71" i="6"/>
  <c r="BG71" i="6"/>
  <c r="BG12" i="6"/>
  <c r="BF12" i="6"/>
  <c r="BE12" i="6"/>
  <c r="H6" i="22"/>
  <c r="E12" i="6"/>
  <c r="S1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E25" i="9"/>
  <c r="R11" i="6"/>
  <c r="E75" i="9"/>
  <c r="O11" i="6"/>
  <c r="E78" i="9"/>
  <c r="R11" i="24"/>
  <c r="E73" i="9"/>
  <c r="O11" i="24"/>
  <c r="E72" i="9"/>
  <c r="L11" i="24"/>
  <c r="R11" i="39"/>
  <c r="O11" i="39"/>
  <c r="L11" i="39"/>
  <c r="U11" i="39"/>
  <c r="U11" i="24"/>
  <c r="U11" i="21"/>
  <c r="U71" i="6"/>
  <c r="U70" i="6"/>
  <c r="U69" i="6"/>
  <c r="U68" i="6"/>
  <c r="U67" i="6"/>
  <c r="U66" i="6"/>
  <c r="U65" i="6"/>
  <c r="U64" i="6"/>
  <c r="U63" i="6"/>
  <c r="U62" i="6"/>
  <c r="U61" i="6"/>
  <c r="U60" i="6"/>
  <c r="U59" i="6"/>
  <c r="U58" i="6"/>
  <c r="U57" i="6"/>
  <c r="U56" i="6"/>
  <c r="U55" i="6"/>
  <c r="U54" i="6"/>
  <c r="U53" i="6"/>
  <c r="U52" i="6"/>
  <c r="U51" i="6"/>
  <c r="U50" i="6"/>
  <c r="U49" i="6"/>
  <c r="U48" i="6"/>
  <c r="U47" i="6"/>
  <c r="U46" i="6"/>
  <c r="U45" i="6"/>
  <c r="U44" i="6"/>
  <c r="U43" i="6"/>
  <c r="U42" i="6"/>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U11" i="6"/>
  <c r="O5" i="22"/>
  <c r="Q64" i="3"/>
  <c r="F4" i="3"/>
  <c r="Q65" i="3"/>
  <c r="F5" i="3"/>
  <c r="Q66" i="3"/>
  <c r="F6" i="3"/>
  <c r="Q67" i="3"/>
  <c r="F7" i="3"/>
  <c r="Q68" i="3"/>
  <c r="F8" i="3"/>
  <c r="Q69" i="3"/>
  <c r="F9" i="3"/>
  <c r="F13" i="3"/>
  <c r="E113" i="9"/>
  <c r="AV42" i="6"/>
  <c r="AV43" i="6"/>
  <c r="AV44" i="6"/>
  <c r="AV45" i="6"/>
  <c r="AV46" i="6"/>
  <c r="AV47" i="6"/>
  <c r="AV32" i="6"/>
  <c r="AV33" i="6"/>
  <c r="AV34" i="6"/>
  <c r="AV35" i="6"/>
  <c r="AV36" i="6"/>
  <c r="AV37" i="6"/>
  <c r="C17" i="3"/>
  <c r="C18" i="3"/>
  <c r="C19" i="3"/>
  <c r="C20" i="3"/>
  <c r="C21" i="3"/>
  <c r="BR52" i="3"/>
  <c r="BT51" i="3"/>
  <c r="BU51" i="3"/>
  <c r="BV51" i="3"/>
  <c r="BW51" i="3"/>
  <c r="BX51" i="3"/>
  <c r="BR53" i="3"/>
  <c r="BS51" i="3"/>
  <c r="BR54" i="3"/>
  <c r="BR55" i="3"/>
  <c r="BR56" i="3"/>
  <c r="BR57" i="3"/>
  <c r="C22" i="3"/>
  <c r="BR30" i="3"/>
  <c r="BT29" i="3"/>
  <c r="BR31" i="3"/>
  <c r="BS29" i="3"/>
  <c r="BU29" i="3"/>
  <c r="BR32" i="3"/>
  <c r="BV29" i="3"/>
  <c r="BR33" i="3"/>
  <c r="BW29" i="3"/>
  <c r="BR34" i="3"/>
  <c r="BX29" i="3"/>
  <c r="BR35" i="3"/>
  <c r="BR41" i="3"/>
  <c r="BS40" i="3"/>
  <c r="BT40" i="3"/>
  <c r="BU40" i="3"/>
  <c r="BV40" i="3"/>
  <c r="BW40" i="3"/>
  <c r="BX40" i="3"/>
  <c r="BR42" i="3"/>
  <c r="BR43" i="3"/>
  <c r="BR44" i="3"/>
  <c r="BR45" i="3"/>
  <c r="BR46" i="3"/>
  <c r="AV12" i="6"/>
  <c r="AV13" i="6"/>
  <c r="AV14" i="6"/>
  <c r="AV15" i="6"/>
  <c r="AV16" i="6"/>
  <c r="AV17" i="6"/>
  <c r="AV22" i="6"/>
  <c r="AV23" i="6"/>
  <c r="AV24" i="6"/>
  <c r="AV25" i="6"/>
  <c r="AV26" i="6"/>
  <c r="AV27" i="6"/>
  <c r="AC41" i="6"/>
  <c r="AC31" i="6"/>
  <c r="AC21" i="6"/>
  <c r="AC11" i="6"/>
  <c r="AD17" i="6"/>
  <c r="AD16" i="6"/>
  <c r="AD15" i="6"/>
  <c r="AD14" i="6"/>
  <c r="AD13" i="6"/>
  <c r="AD12" i="6"/>
  <c r="E59" i="9"/>
  <c r="X11" i="39"/>
  <c r="X18" i="24"/>
  <c r="E70" i="9"/>
  <c r="B12" i="24"/>
  <c r="F17" i="24"/>
  <c r="B14" i="24"/>
  <c r="H17" i="24"/>
  <c r="B13" i="24"/>
  <c r="F18" i="24"/>
  <c r="B15" i="24"/>
  <c r="H18" i="24"/>
  <c r="E63" i="9"/>
  <c r="E62" i="9"/>
  <c r="E61" i="9"/>
  <c r="E60" i="9"/>
  <c r="E10" i="9"/>
  <c r="E71" i="9"/>
  <c r="V15" i="22"/>
  <c r="B13" i="3"/>
  <c r="B14" i="3"/>
  <c r="E136" i="9"/>
  <c r="E135" i="9"/>
  <c r="E137" i="9"/>
  <c r="E138" i="9"/>
  <c r="E80" i="9"/>
  <c r="E26" i="9"/>
  <c r="F8" i="30"/>
  <c r="F9" i="30"/>
  <c r="F10" i="30"/>
  <c r="F11" i="30"/>
  <c r="F12" i="30"/>
  <c r="E133" i="9"/>
  <c r="F24" i="41"/>
  <c r="E134" i="9"/>
  <c r="F10" i="41"/>
  <c r="F11" i="41"/>
  <c r="E77" i="9"/>
  <c r="H20" i="41"/>
  <c r="E114" i="9"/>
  <c r="AE30" i="41"/>
  <c r="X30" i="41"/>
  <c r="Y30" i="41"/>
  <c r="AA30" i="41"/>
  <c r="Z30" i="41"/>
  <c r="W30" i="41"/>
  <c r="AE29" i="41"/>
  <c r="X29" i="41"/>
  <c r="Y29" i="41"/>
  <c r="AA29" i="41"/>
  <c r="Z29" i="41"/>
  <c r="W29" i="41"/>
  <c r="AE28" i="41"/>
  <c r="X28" i="41"/>
  <c r="Y28" i="41"/>
  <c r="AA28" i="41"/>
  <c r="Z28" i="41"/>
  <c r="W28" i="41"/>
  <c r="AE27" i="41"/>
  <c r="X27" i="41"/>
  <c r="Y27" i="41"/>
  <c r="AA27" i="41"/>
  <c r="Z27" i="41"/>
  <c r="W27" i="41"/>
  <c r="AE26" i="41"/>
  <c r="X26" i="41"/>
  <c r="Y26" i="41"/>
  <c r="AA26" i="41"/>
  <c r="Z26" i="41"/>
  <c r="W26" i="41"/>
  <c r="AE25" i="41"/>
  <c r="X25" i="41"/>
  <c r="Y25" i="41"/>
  <c r="AA25" i="41"/>
  <c r="Z25" i="41"/>
  <c r="W25" i="41"/>
  <c r="W24" i="41"/>
  <c r="S30" i="41"/>
  <c r="P30" i="41"/>
  <c r="M30" i="41"/>
  <c r="S29" i="41"/>
  <c r="P29" i="41"/>
  <c r="M29" i="41"/>
  <c r="S28" i="41"/>
  <c r="P28" i="41"/>
  <c r="M28" i="41"/>
  <c r="S27" i="41"/>
  <c r="P27" i="41"/>
  <c r="M27" i="41"/>
  <c r="S26" i="41"/>
  <c r="P26" i="41"/>
  <c r="M26" i="41"/>
  <c r="S25" i="41"/>
  <c r="P25" i="41"/>
  <c r="M25" i="41"/>
  <c r="E76" i="9"/>
  <c r="U24" i="41"/>
  <c r="R24" i="41"/>
  <c r="O24" i="41"/>
  <c r="L24" i="41"/>
  <c r="E14" i="9"/>
  <c r="I24" i="41"/>
  <c r="E48" i="9"/>
  <c r="E24" i="41"/>
  <c r="E39" i="9"/>
  <c r="D24" i="41"/>
  <c r="E33" i="9"/>
  <c r="C24" i="41"/>
  <c r="AB207" i="3"/>
  <c r="AB206" i="3"/>
  <c r="AB205" i="3"/>
  <c r="AB204" i="3"/>
  <c r="AB203" i="3"/>
  <c r="AB202" i="3"/>
  <c r="AB201" i="3"/>
  <c r="AB200" i="3"/>
  <c r="AB199" i="3"/>
  <c r="AB198" i="3"/>
  <c r="AB197" i="3"/>
  <c r="AB196" i="3"/>
  <c r="E6" i="9"/>
  <c r="X13" i="41"/>
  <c r="Y13" i="41"/>
  <c r="Z13" i="41"/>
  <c r="AA13" i="41"/>
  <c r="J17" i="30"/>
  <c r="J18" i="30"/>
  <c r="J19" i="30"/>
  <c r="J20" i="30"/>
  <c r="C25" i="30"/>
  <c r="C24" i="30"/>
  <c r="C23" i="30"/>
  <c r="C22" i="30"/>
  <c r="C21" i="30"/>
  <c r="Z207" i="3"/>
  <c r="Z206" i="3"/>
  <c r="Z205" i="3"/>
  <c r="Z204" i="3"/>
  <c r="Z203" i="3"/>
  <c r="Z202" i="3"/>
  <c r="Z201" i="3"/>
  <c r="Z200" i="3"/>
  <c r="Z199" i="3"/>
  <c r="Z198" i="3"/>
  <c r="Z197" i="3"/>
  <c r="Z196" i="3"/>
  <c r="BR60" i="30"/>
  <c r="BZ51" i="30"/>
  <c r="BY51" i="30"/>
  <c r="BX51" i="30"/>
  <c r="BW51" i="30"/>
  <c r="BS51" i="30"/>
  <c r="BR59" i="30"/>
  <c r="CA51" i="30"/>
  <c r="BR58" i="30"/>
  <c r="BR57" i="30"/>
  <c r="BR56" i="30"/>
  <c r="BR52" i="30"/>
  <c r="BR49" i="30"/>
  <c r="BR48" i="30"/>
  <c r="BR47" i="30"/>
  <c r="BR46" i="30"/>
  <c r="BR45" i="30"/>
  <c r="BR41" i="30"/>
  <c r="CA40" i="30"/>
  <c r="BZ40" i="30"/>
  <c r="BY40" i="30"/>
  <c r="BX40" i="30"/>
  <c r="BW40" i="30"/>
  <c r="BS40" i="30"/>
  <c r="C38" i="30"/>
  <c r="C37" i="30"/>
  <c r="C36" i="30"/>
  <c r="C35" i="30"/>
  <c r="C34" i="30"/>
  <c r="C30" i="30"/>
  <c r="AE135" i="42"/>
  <c r="AD135" i="42"/>
  <c r="Z135" i="42"/>
  <c r="Y135" i="42"/>
  <c r="X135" i="42"/>
  <c r="W135" i="42"/>
  <c r="V135" i="42"/>
  <c r="AE134" i="42"/>
  <c r="AD134" i="42"/>
  <c r="Z134" i="42"/>
  <c r="Y134" i="42"/>
  <c r="X134" i="42"/>
  <c r="W134" i="42"/>
  <c r="V134" i="42"/>
  <c r="AE133" i="42"/>
  <c r="AD133" i="42"/>
  <c r="Z133" i="42"/>
  <c r="Y133" i="42"/>
  <c r="X133" i="42"/>
  <c r="W133" i="42"/>
  <c r="V133" i="42"/>
  <c r="AE132" i="42"/>
  <c r="AD132" i="42"/>
  <c r="Z132" i="42"/>
  <c r="Y132" i="42"/>
  <c r="X132" i="42"/>
  <c r="W132" i="42"/>
  <c r="V132" i="42"/>
  <c r="AE131" i="42"/>
  <c r="AD131" i="42"/>
  <c r="Z131" i="42"/>
  <c r="Y131" i="42"/>
  <c r="X131" i="42"/>
  <c r="W131" i="42"/>
  <c r="V131" i="42"/>
  <c r="AE130" i="42"/>
  <c r="AD130" i="42"/>
  <c r="Z130" i="42"/>
  <c r="Y130" i="42"/>
  <c r="X130" i="42"/>
  <c r="W130" i="42"/>
  <c r="V130" i="42"/>
  <c r="AE129" i="42"/>
  <c r="AD129" i="42"/>
  <c r="Z129" i="42"/>
  <c r="Y129" i="42"/>
  <c r="X129" i="42"/>
  <c r="W129" i="42"/>
  <c r="V129" i="42"/>
  <c r="AE128" i="42"/>
  <c r="AD128" i="42"/>
  <c r="Z128" i="42"/>
  <c r="Y128" i="42"/>
  <c r="X128" i="42"/>
  <c r="W128" i="42"/>
  <c r="V128" i="42"/>
  <c r="AE127" i="42"/>
  <c r="AD127" i="42"/>
  <c r="Z127" i="42"/>
  <c r="Y127" i="42"/>
  <c r="X127" i="42"/>
  <c r="W127" i="42"/>
  <c r="V127" i="42"/>
  <c r="AE126" i="42"/>
  <c r="AD126" i="42"/>
  <c r="Z126" i="42"/>
  <c r="Y126" i="42"/>
  <c r="X126" i="42"/>
  <c r="W126" i="42"/>
  <c r="V126" i="42"/>
  <c r="AE125" i="42"/>
  <c r="AD125" i="42"/>
  <c r="Z125" i="42"/>
  <c r="Y125" i="42"/>
  <c r="X125" i="42"/>
  <c r="W125" i="42"/>
  <c r="V125" i="42"/>
  <c r="AE124" i="42"/>
  <c r="AD124" i="42"/>
  <c r="Z124" i="42"/>
  <c r="Y124" i="42"/>
  <c r="X124" i="42"/>
  <c r="W124" i="42"/>
  <c r="V124" i="42"/>
  <c r="AE123" i="42"/>
  <c r="AD123" i="42"/>
  <c r="Z123" i="42"/>
  <c r="Y123" i="42"/>
  <c r="X123" i="42"/>
  <c r="W123" i="42"/>
  <c r="V123" i="42"/>
  <c r="AE122" i="42"/>
  <c r="AD122" i="42"/>
  <c r="Z122" i="42"/>
  <c r="Y122" i="42"/>
  <c r="X122" i="42"/>
  <c r="W122" i="42"/>
  <c r="V122" i="42"/>
  <c r="AE121" i="42"/>
  <c r="AD121" i="42"/>
  <c r="Z121" i="42"/>
  <c r="Y121" i="42"/>
  <c r="X121" i="42"/>
  <c r="W121" i="42"/>
  <c r="V121" i="42"/>
  <c r="AE120" i="42"/>
  <c r="AD120" i="42"/>
  <c r="Z120" i="42"/>
  <c r="Y120" i="42"/>
  <c r="X120" i="42"/>
  <c r="W120" i="42"/>
  <c r="V120" i="42"/>
  <c r="AE119" i="42"/>
  <c r="AD119" i="42"/>
  <c r="Z119" i="42"/>
  <c r="Y119" i="42"/>
  <c r="X119" i="42"/>
  <c r="W119" i="42"/>
  <c r="V119" i="42"/>
  <c r="AE118" i="42"/>
  <c r="AD118" i="42"/>
  <c r="Z118" i="42"/>
  <c r="Y118" i="42"/>
  <c r="X118" i="42"/>
  <c r="W118" i="42"/>
  <c r="V118" i="42"/>
  <c r="AE117" i="42"/>
  <c r="AD117" i="42"/>
  <c r="Z117" i="42"/>
  <c r="Y117" i="42"/>
  <c r="X117" i="42"/>
  <c r="W117" i="42"/>
  <c r="V117" i="42"/>
  <c r="AE116" i="42"/>
  <c r="AD116" i="42"/>
  <c r="Z116" i="42"/>
  <c r="Y116" i="42"/>
  <c r="X116" i="42"/>
  <c r="W116" i="42"/>
  <c r="V116" i="42"/>
  <c r="AE115" i="42"/>
  <c r="AD115" i="42"/>
  <c r="Z115" i="42"/>
  <c r="Y115" i="42"/>
  <c r="X115" i="42"/>
  <c r="W115" i="42"/>
  <c r="V115" i="42"/>
  <c r="AE114" i="42"/>
  <c r="AD114" i="42"/>
  <c r="Z114" i="42"/>
  <c r="Y114" i="42"/>
  <c r="X114" i="42"/>
  <c r="W114" i="42"/>
  <c r="V114" i="42"/>
  <c r="AE113" i="42"/>
  <c r="AD113" i="42"/>
  <c r="Z113" i="42"/>
  <c r="Y113" i="42"/>
  <c r="X113" i="42"/>
  <c r="W113" i="42"/>
  <c r="V113" i="42"/>
  <c r="AE112" i="42"/>
  <c r="AD112" i="42"/>
  <c r="Z112" i="42"/>
  <c r="Y112" i="42"/>
  <c r="X112" i="42"/>
  <c r="W112" i="42"/>
  <c r="V112" i="42"/>
  <c r="AE111" i="42"/>
  <c r="AD111" i="42"/>
  <c r="Z111" i="42"/>
  <c r="Y111" i="42"/>
  <c r="X111" i="42"/>
  <c r="W111" i="42"/>
  <c r="V111" i="42"/>
  <c r="AE110" i="42"/>
  <c r="AD110" i="42"/>
  <c r="Z110" i="42"/>
  <c r="Y110" i="42"/>
  <c r="X110" i="42"/>
  <c r="W110" i="42"/>
  <c r="V110" i="42"/>
  <c r="AE109" i="42"/>
  <c r="AD109" i="42"/>
  <c r="Z109" i="42"/>
  <c r="Y109" i="42"/>
  <c r="X109" i="42"/>
  <c r="W109" i="42"/>
  <c r="V109" i="42"/>
  <c r="AE108" i="42"/>
  <c r="AD108" i="42"/>
  <c r="Z108" i="42"/>
  <c r="Y108" i="42"/>
  <c r="X108" i="42"/>
  <c r="W108" i="42"/>
  <c r="V108" i="42"/>
  <c r="AE107" i="42"/>
  <c r="AD107" i="42"/>
  <c r="Z107" i="42"/>
  <c r="Y107" i="42"/>
  <c r="X107" i="42"/>
  <c r="W107" i="42"/>
  <c r="V107" i="42"/>
  <c r="AE106" i="42"/>
  <c r="AD106" i="42"/>
  <c r="Z106" i="42"/>
  <c r="Y106" i="42"/>
  <c r="X106" i="42"/>
  <c r="W106" i="42"/>
  <c r="V106" i="42"/>
  <c r="AE105" i="42"/>
  <c r="AD105" i="42"/>
  <c r="Z105" i="42"/>
  <c r="Y105" i="42"/>
  <c r="X105" i="42"/>
  <c r="W105" i="42"/>
  <c r="V105" i="42"/>
  <c r="AE104" i="42"/>
  <c r="AD104" i="42"/>
  <c r="Z104" i="42"/>
  <c r="Y104" i="42"/>
  <c r="X104" i="42"/>
  <c r="W104" i="42"/>
  <c r="V104" i="42"/>
  <c r="AE103" i="42"/>
  <c r="AD103" i="42"/>
  <c r="Z103" i="42"/>
  <c r="Y103" i="42"/>
  <c r="X103" i="42"/>
  <c r="W103" i="42"/>
  <c r="V103" i="42"/>
  <c r="AE102" i="42"/>
  <c r="AD102" i="42"/>
  <c r="Z102" i="42"/>
  <c r="Y102" i="42"/>
  <c r="X102" i="42"/>
  <c r="W102" i="42"/>
  <c r="V102" i="42"/>
  <c r="AE101" i="42"/>
  <c r="AD101" i="42"/>
  <c r="Z101" i="42"/>
  <c r="Y101" i="42"/>
  <c r="X101" i="42"/>
  <c r="W101" i="42"/>
  <c r="V101" i="42"/>
  <c r="AE100" i="42"/>
  <c r="AD100" i="42"/>
  <c r="Z100" i="42"/>
  <c r="Y100" i="42"/>
  <c r="X100" i="42"/>
  <c r="W100" i="42"/>
  <c r="V100" i="42"/>
  <c r="E74" i="9"/>
  <c r="AE135" i="3"/>
  <c r="AD135" i="3"/>
  <c r="AE134" i="3"/>
  <c r="AD134" i="3"/>
  <c r="AE133" i="3"/>
  <c r="AD133" i="3"/>
  <c r="AE132" i="3"/>
  <c r="AD132" i="3"/>
  <c r="AE131" i="3"/>
  <c r="AD131" i="3"/>
  <c r="AE130" i="3"/>
  <c r="AD130" i="3"/>
  <c r="AE129" i="3"/>
  <c r="AD129" i="3"/>
  <c r="AE128" i="3"/>
  <c r="AD128" i="3"/>
  <c r="AE127" i="3"/>
  <c r="AD127" i="3"/>
  <c r="AE126" i="3"/>
  <c r="AD126" i="3"/>
  <c r="AE125" i="3"/>
  <c r="AD125" i="3"/>
  <c r="AE124" i="3"/>
  <c r="AD124" i="3"/>
  <c r="E49" i="9"/>
  <c r="P16" i="39"/>
  <c r="P15" i="39"/>
  <c r="P13" i="39"/>
  <c r="P12" i="39"/>
  <c r="P21" i="24"/>
  <c r="P20" i="24"/>
  <c r="P18" i="24"/>
  <c r="P17" i="24"/>
  <c r="P15" i="24"/>
  <c r="P14" i="24"/>
  <c r="P13" i="24"/>
  <c r="P12" i="24"/>
  <c r="BR60" i="3"/>
  <c r="BZ51" i="3"/>
  <c r="BY51" i="3"/>
  <c r="BR59" i="3"/>
  <c r="CA51" i="3"/>
  <c r="BR58" i="3"/>
  <c r="BR37" i="3"/>
  <c r="CA29" i="3"/>
  <c r="BR38" i="3"/>
  <c r="BZ29" i="3"/>
  <c r="BR36" i="3"/>
  <c r="BY29" i="3"/>
  <c r="BR49" i="3"/>
  <c r="C25" i="3"/>
  <c r="BR48" i="3"/>
  <c r="C24" i="3"/>
  <c r="BR47" i="3"/>
  <c r="C23" i="3"/>
  <c r="CA40" i="3"/>
  <c r="BZ40" i="3"/>
  <c r="BY40" i="3"/>
  <c r="C38" i="3"/>
  <c r="C37" i="3"/>
  <c r="C36" i="3"/>
  <c r="C35" i="3"/>
  <c r="C34" i="3"/>
  <c r="C33" i="3"/>
  <c r="C32" i="3"/>
  <c r="C31" i="3"/>
  <c r="C30" i="3"/>
  <c r="I25" i="3"/>
  <c r="H25" i="3"/>
  <c r="I24" i="3"/>
  <c r="H24" i="3"/>
  <c r="I23" i="3"/>
  <c r="H23" i="3"/>
  <c r="I22" i="3"/>
  <c r="H22" i="3"/>
  <c r="I21" i="3"/>
  <c r="I20" i="3"/>
  <c r="H20" i="3"/>
  <c r="I19" i="3"/>
  <c r="H19" i="3"/>
  <c r="H18" i="3"/>
  <c r="I17" i="3"/>
  <c r="H17" i="3"/>
  <c r="AV21" i="6"/>
  <c r="AV31" i="6"/>
  <c r="X14" i="41"/>
  <c r="Y14" i="41"/>
  <c r="Z14" i="41"/>
  <c r="AA14" i="41"/>
  <c r="AE16" i="41"/>
  <c r="X16" i="41"/>
  <c r="Y16" i="41"/>
  <c r="Z16" i="41"/>
  <c r="AA16" i="41"/>
  <c r="W16" i="41"/>
  <c r="AE15" i="41"/>
  <c r="X15" i="41"/>
  <c r="Y15" i="41"/>
  <c r="Z15" i="41"/>
  <c r="AA15" i="41"/>
  <c r="W15" i="41"/>
  <c r="AE14" i="41"/>
  <c r="W14" i="41"/>
  <c r="AE13" i="41"/>
  <c r="W13" i="41"/>
  <c r="AE12" i="41"/>
  <c r="W12" i="41"/>
  <c r="X17" i="41"/>
  <c r="Y17" i="41"/>
  <c r="Z17" i="41"/>
  <c r="AA17" i="41"/>
  <c r="W17" i="41"/>
  <c r="AE17" i="41"/>
  <c r="U11" i="41"/>
  <c r="H7" i="41"/>
  <c r="S17" i="41"/>
  <c r="P17" i="41"/>
  <c r="M17" i="41"/>
  <c r="S16" i="41"/>
  <c r="P16" i="41"/>
  <c r="M16" i="41"/>
  <c r="S15" i="41"/>
  <c r="P15" i="41"/>
  <c r="M15" i="41"/>
  <c r="S14" i="41"/>
  <c r="P14" i="41"/>
  <c r="M14" i="41"/>
  <c r="S13" i="41"/>
  <c r="P13" i="41"/>
  <c r="M13" i="41"/>
  <c r="S12" i="41"/>
  <c r="P12" i="41"/>
  <c r="M12" i="41"/>
  <c r="W11" i="41"/>
  <c r="R11" i="41"/>
  <c r="O11" i="41"/>
  <c r="L11" i="41"/>
  <c r="I11" i="41"/>
  <c r="E11" i="41"/>
  <c r="D11" i="41"/>
  <c r="C11" i="41"/>
  <c r="R49" i="21"/>
  <c r="O49" i="21"/>
  <c r="L49" i="21"/>
  <c r="R46" i="21"/>
  <c r="O46" i="21"/>
  <c r="L46" i="21"/>
  <c r="R42" i="21"/>
  <c r="O42" i="21"/>
  <c r="L42" i="21"/>
  <c r="R38" i="21"/>
  <c r="O38" i="21"/>
  <c r="L38" i="21"/>
  <c r="R34" i="21"/>
  <c r="O34" i="21"/>
  <c r="L34" i="21"/>
  <c r="R30" i="21"/>
  <c r="O30" i="21"/>
  <c r="L30" i="21"/>
  <c r="R26" i="21"/>
  <c r="O26" i="21"/>
  <c r="L26" i="21"/>
  <c r="S50" i="21"/>
  <c r="S47" i="21"/>
  <c r="S44" i="21"/>
  <c r="S43" i="21"/>
  <c r="S40" i="21"/>
  <c r="S39" i="21"/>
  <c r="S36" i="21"/>
  <c r="S35" i="21"/>
  <c r="S32" i="21"/>
  <c r="S31" i="21"/>
  <c r="S28" i="21"/>
  <c r="S27" i="21"/>
  <c r="R11" i="21"/>
  <c r="O11" i="21"/>
  <c r="L11" i="21"/>
  <c r="AG41" i="6"/>
  <c r="AG31" i="6"/>
  <c r="AG21" i="6"/>
  <c r="AG11" i="6"/>
  <c r="E79" i="9"/>
  <c r="L11" i="6"/>
  <c r="I11"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E117" i="9"/>
  <c r="E125" i="9"/>
  <c r="R18" i="22"/>
  <c r="E124" i="9"/>
  <c r="R17" i="22"/>
  <c r="E27" i="9"/>
  <c r="E24" i="9"/>
  <c r="E23" i="9"/>
  <c r="E22" i="9"/>
  <c r="E21" i="9"/>
  <c r="E64" i="9"/>
  <c r="E29" i="9"/>
  <c r="E20" i="9"/>
  <c r="E69" i="9"/>
  <c r="E19" i="9"/>
  <c r="E12" i="39"/>
  <c r="E13" i="39"/>
  <c r="C12" i="24" a="1"/>
  <c r="C12" i="24"/>
  <c r="E17" i="24"/>
  <c r="E18" i="24"/>
  <c r="E53" i="9"/>
  <c r="C10" i="39"/>
  <c r="I20" i="39"/>
  <c r="F20" i="39"/>
  <c r="I18" i="39"/>
  <c r="S16" i="39"/>
  <c r="M16" i="39"/>
  <c r="E119" i="9"/>
  <c r="F16" i="39"/>
  <c r="E16" i="39"/>
  <c r="S15" i="39"/>
  <c r="M15" i="39"/>
  <c r="E118" i="9"/>
  <c r="F15" i="39"/>
  <c r="E15" i="39"/>
  <c r="Y12" i="39"/>
  <c r="E54" i="9"/>
  <c r="C14" i="39"/>
  <c r="S13" i="39"/>
  <c r="M13" i="39"/>
  <c r="S12" i="39"/>
  <c r="M12" i="39"/>
  <c r="E15" i="9"/>
  <c r="I11" i="39"/>
  <c r="E11" i="39"/>
  <c r="D11" i="39"/>
  <c r="E9" i="9"/>
  <c r="C11" i="39"/>
  <c r="V9" i="39"/>
  <c r="J7" i="39"/>
  <c r="E132" i="9"/>
  <c r="J71" i="9"/>
  <c r="E46" i="22" a="1"/>
  <c r="E46" i="22"/>
  <c r="F46" i="22"/>
  <c r="G46" i="22"/>
  <c r="E47" i="22" a="1"/>
  <c r="E47" i="22"/>
  <c r="F47" i="22"/>
  <c r="G47" i="22"/>
  <c r="E48" i="22" a="1"/>
  <c r="E48" i="22"/>
  <c r="F48" i="22"/>
  <c r="G48" i="22"/>
  <c r="E49" i="22" a="1"/>
  <c r="E49" i="22"/>
  <c r="F49" i="22"/>
  <c r="G49" i="22"/>
  <c r="E50" i="22" a="1"/>
  <c r="E50" i="22"/>
  <c r="F50" i="22"/>
  <c r="G50" i="22"/>
  <c r="E51" i="22" a="1"/>
  <c r="E51" i="22"/>
  <c r="F51" i="22"/>
  <c r="G51" i="22"/>
  <c r="E52" i="22" a="1"/>
  <c r="E52" i="22"/>
  <c r="F52" i="22"/>
  <c r="G52" i="22"/>
  <c r="E53" i="22" a="1"/>
  <c r="E53" i="22"/>
  <c r="F53" i="22"/>
  <c r="G53" i="22"/>
  <c r="E54" i="22" a="1"/>
  <c r="E54" i="22"/>
  <c r="F54" i="22"/>
  <c r="G54" i="22"/>
  <c r="E55" i="22" a="1"/>
  <c r="E55" i="22"/>
  <c r="F55" i="22"/>
  <c r="G55" i="22"/>
  <c r="E56" i="22" a="1"/>
  <c r="E56" i="22"/>
  <c r="F56" i="22"/>
  <c r="G56" i="22"/>
  <c r="E57" i="22" a="1"/>
  <c r="E57" i="22"/>
  <c r="F57" i="22"/>
  <c r="G57" i="22"/>
  <c r="E58" i="22" a="1"/>
  <c r="E58" i="22"/>
  <c r="F58" i="22"/>
  <c r="G58" i="22"/>
  <c r="E59" i="22" a="1"/>
  <c r="E59" i="22"/>
  <c r="F59" i="22"/>
  <c r="G59" i="22"/>
  <c r="E60" i="22" a="1"/>
  <c r="E60" i="22"/>
  <c r="F60" i="22"/>
  <c r="G60" i="22"/>
  <c r="E61" i="22" a="1"/>
  <c r="E61" i="22"/>
  <c r="F61" i="22"/>
  <c r="G61" i="22"/>
  <c r="E62" i="22" a="1"/>
  <c r="E62" i="22"/>
  <c r="F62" i="22"/>
  <c r="G62" i="22"/>
  <c r="E63" i="22" a="1"/>
  <c r="E63" i="22"/>
  <c r="F63" i="22"/>
  <c r="G63" i="22"/>
  <c r="E64" i="22" a="1"/>
  <c r="E64" i="22"/>
  <c r="F64" i="22"/>
  <c r="G64" i="22"/>
  <c r="E65" i="22" a="1"/>
  <c r="E65" i="22"/>
  <c r="F65" i="22"/>
  <c r="G65" i="22"/>
  <c r="E7" i="22" a="1"/>
  <c r="E7" i="22"/>
  <c r="G7" i="22"/>
  <c r="F7" i="22"/>
  <c r="G6" i="22"/>
  <c r="F6" i="22"/>
  <c r="E6" i="22"/>
  <c r="C3" i="34"/>
  <c r="C4" i="34"/>
  <c r="E31" i="22" a="1"/>
  <c r="E31" i="22"/>
  <c r="F31" i="22"/>
  <c r="C28" i="34"/>
  <c r="E32" i="22" a="1"/>
  <c r="E32" i="22"/>
  <c r="F32" i="22"/>
  <c r="C29" i="34"/>
  <c r="E33" i="22" a="1"/>
  <c r="E33" i="22"/>
  <c r="F33" i="22"/>
  <c r="C30" i="34"/>
  <c r="E35" i="22" a="1"/>
  <c r="E35" i="22"/>
  <c r="F35" i="22"/>
  <c r="C32" i="34"/>
  <c r="E36" i="22" a="1"/>
  <c r="E36" i="22"/>
  <c r="F36" i="22"/>
  <c r="C33" i="34"/>
  <c r="E37" i="22" a="1"/>
  <c r="E37" i="22"/>
  <c r="F37" i="22"/>
  <c r="C34" i="34"/>
  <c r="E39" i="22" a="1"/>
  <c r="E39" i="22"/>
  <c r="F39" i="22"/>
  <c r="C36" i="34"/>
  <c r="E40" i="22" a="1"/>
  <c r="E40" i="22"/>
  <c r="F40" i="22"/>
  <c r="C37" i="34"/>
  <c r="E41" i="22" a="1"/>
  <c r="E41" i="22"/>
  <c r="F41" i="22"/>
  <c r="C38" i="34"/>
  <c r="E43" i="22" a="1"/>
  <c r="E43" i="22"/>
  <c r="F43" i="22"/>
  <c r="C40" i="34"/>
  <c r="E44" i="22" a="1"/>
  <c r="E44" i="22"/>
  <c r="F44" i="22"/>
  <c r="C41" i="34"/>
  <c r="E45" i="22" a="1"/>
  <c r="E45" i="22"/>
  <c r="F45" i="22"/>
  <c r="C42" i="34"/>
  <c r="C43" i="34"/>
  <c r="C44" i="34"/>
  <c r="C45" i="34"/>
  <c r="C46" i="34"/>
  <c r="C47" i="34"/>
  <c r="C48" i="34"/>
  <c r="C49" i="34"/>
  <c r="C50" i="34"/>
  <c r="C51" i="34"/>
  <c r="C52" i="34"/>
  <c r="C53" i="34"/>
  <c r="C54" i="34"/>
  <c r="C55" i="34"/>
  <c r="C56" i="34"/>
  <c r="C57" i="34"/>
  <c r="C58" i="34"/>
  <c r="C59" i="34"/>
  <c r="C60" i="34"/>
  <c r="C61" i="34"/>
  <c r="C62" i="34"/>
  <c r="C63" i="34"/>
  <c r="C64" i="34"/>
  <c r="C88" i="34"/>
  <c r="C89" i="34"/>
  <c r="C90" i="34"/>
  <c r="C92" i="34"/>
  <c r="C93" i="34"/>
  <c r="C94" i="34"/>
  <c r="C96" i="34"/>
  <c r="C97" i="34"/>
  <c r="C98"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H65"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7" i="22"/>
  <c r="H8" i="22"/>
  <c r="H9" i="22"/>
  <c r="H10" i="22"/>
  <c r="H11" i="22"/>
  <c r="H12" i="22"/>
  <c r="H13" i="22"/>
  <c r="H14" i="22"/>
  <c r="H15" i="22"/>
  <c r="H16" i="22"/>
  <c r="E131" i="9"/>
  <c r="J70" i="9"/>
  <c r="F21" i="24"/>
  <c r="F20" i="24"/>
  <c r="E56" i="9"/>
  <c r="B3" i="36"/>
  <c r="E28" i="9"/>
  <c r="E107" i="9"/>
  <c r="E7" i="9"/>
  <c r="G34" i="36"/>
  <c r="F34" i="36"/>
  <c r="C34" i="36"/>
  <c r="G25" i="36"/>
  <c r="F25" i="36"/>
  <c r="C25" i="36"/>
  <c r="G16" i="36"/>
  <c r="F16" i="36"/>
  <c r="C16" i="36"/>
  <c r="G7" i="36"/>
  <c r="F7" i="36"/>
  <c r="C7" i="36"/>
  <c r="B4" i="36"/>
  <c r="B2" i="36"/>
  <c r="B13" i="6"/>
  <c r="B52" i="6"/>
  <c r="B53" i="6"/>
  <c r="B54" i="6"/>
  <c r="B55" i="6"/>
  <c r="B56" i="6"/>
  <c r="B57" i="6"/>
  <c r="B58" i="6"/>
  <c r="B59" i="6"/>
  <c r="B60" i="6"/>
  <c r="B61" i="6"/>
  <c r="B62" i="6"/>
  <c r="B63" i="6"/>
  <c r="B64" i="6"/>
  <c r="B65" i="6"/>
  <c r="B66" i="6"/>
  <c r="B67" i="6"/>
  <c r="B68" i="6"/>
  <c r="B69" i="6"/>
  <c r="B70" i="6"/>
  <c r="B71" i="6"/>
  <c r="B12" i="6"/>
  <c r="C52" i="21"/>
  <c r="E21" i="24"/>
  <c r="E20" i="24"/>
  <c r="E50" i="21"/>
  <c r="E47" i="21"/>
  <c r="Y19" i="24"/>
  <c r="Y12" i="24"/>
  <c r="X11" i="24"/>
  <c r="E12" i="24"/>
  <c r="P50" i="21"/>
  <c r="P47" i="21"/>
  <c r="P44" i="21"/>
  <c r="P43" i="21"/>
  <c r="P40" i="21"/>
  <c r="P39" i="21"/>
  <c r="P36" i="21"/>
  <c r="P35" i="21"/>
  <c r="P32" i="21"/>
  <c r="P31" i="21"/>
  <c r="P28" i="21"/>
  <c r="P27" i="21"/>
  <c r="C10" i="21"/>
  <c r="V10" i="21"/>
  <c r="M44" i="21"/>
  <c r="M40" i="21"/>
  <c r="M36" i="21"/>
  <c r="M32" i="21"/>
  <c r="M28" i="21"/>
  <c r="E65" i="9"/>
  <c r="C49" i="21"/>
  <c r="E66" i="9"/>
  <c r="C46" i="21"/>
  <c r="E67" i="9"/>
  <c r="E68" i="9"/>
  <c r="C42" i="21"/>
  <c r="C38" i="21"/>
  <c r="C34" i="21"/>
  <c r="C30" i="21"/>
  <c r="C26" i="21"/>
  <c r="X11" i="21"/>
  <c r="M27" i="21"/>
  <c r="M31" i="21"/>
  <c r="M35" i="21"/>
  <c r="M39" i="21"/>
  <c r="M43" i="21"/>
  <c r="M47" i="21"/>
  <c r="M50" i="21"/>
  <c r="T11" i="22"/>
  <c r="V17" i="22"/>
  <c r="E16" i="9"/>
  <c r="AU40" i="6"/>
  <c r="AV41" i="6"/>
  <c r="AU41" i="6"/>
  <c r="V124" i="3"/>
  <c r="W124" i="3"/>
  <c r="X124" i="3"/>
  <c r="Y124" i="3"/>
  <c r="AB124" i="3"/>
  <c r="Z124" i="3"/>
  <c r="W42" i="6"/>
  <c r="E62" i="6"/>
  <c r="J62" i="6"/>
  <c r="E63" i="6"/>
  <c r="J63" i="6"/>
  <c r="E64" i="6"/>
  <c r="J64" i="6"/>
  <c r="E65" i="6"/>
  <c r="J65" i="6"/>
  <c r="E66" i="6"/>
  <c r="J66" i="6"/>
  <c r="E67" i="6"/>
  <c r="J67" i="6"/>
  <c r="E68" i="6"/>
  <c r="J68" i="6"/>
  <c r="E69" i="6"/>
  <c r="J69" i="6"/>
  <c r="E70" i="6"/>
  <c r="J70" i="6"/>
  <c r="E71" i="6"/>
  <c r="J71" i="6"/>
  <c r="E56" i="6"/>
  <c r="J56" i="6"/>
  <c r="E57" i="6"/>
  <c r="J57" i="6"/>
  <c r="E58" i="6"/>
  <c r="J58" i="6"/>
  <c r="E59" i="6"/>
  <c r="J59" i="6"/>
  <c r="E60" i="6"/>
  <c r="J60" i="6"/>
  <c r="E61" i="6"/>
  <c r="J61" i="6"/>
  <c r="W40" i="6"/>
  <c r="AB41" i="6"/>
  <c r="AA41" i="6"/>
  <c r="Z41" i="6"/>
  <c r="Y41" i="6"/>
  <c r="E40" i="9"/>
  <c r="W50" i="6"/>
  <c r="C54" i="22"/>
  <c r="C56" i="22"/>
  <c r="E127" i="9"/>
  <c r="E126" i="9"/>
  <c r="E128" i="9"/>
  <c r="E129" i="9"/>
  <c r="E130" i="9"/>
  <c r="E58" i="9"/>
  <c r="C10" i="24"/>
  <c r="E57" i="9"/>
  <c r="AU30" i="6"/>
  <c r="AU31" i="6"/>
  <c r="AU21" i="6"/>
  <c r="AU20" i="6"/>
  <c r="AV11" i="6"/>
  <c r="AU11" i="6"/>
  <c r="AU10" i="6"/>
  <c r="E123" i="9"/>
  <c r="R16" i="22"/>
  <c r="E122" i="9"/>
  <c r="R15" i="22"/>
  <c r="I54" i="21"/>
  <c r="I11" i="21"/>
  <c r="E34" i="9"/>
  <c r="E11" i="21"/>
  <c r="D11" i="21"/>
  <c r="C11" i="21"/>
  <c r="E32" i="9"/>
  <c r="W30" i="6"/>
  <c r="AB31" i="6"/>
  <c r="AA31" i="6"/>
  <c r="Z31" i="6"/>
  <c r="Y31"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C37" i="22"/>
  <c r="C39" i="22"/>
  <c r="E120" i="9"/>
  <c r="E121" i="9"/>
  <c r="R22" i="22"/>
  <c r="E116" i="9"/>
  <c r="E55" i="9"/>
  <c r="C11" i="24"/>
  <c r="M18" i="24"/>
  <c r="M20" i="24"/>
  <c r="S20" i="24"/>
  <c r="S17" i="24"/>
  <c r="S18" i="24"/>
  <c r="S21" i="24"/>
  <c r="M21" i="24"/>
  <c r="M17" i="24"/>
  <c r="I25" i="24"/>
  <c r="F25" i="24"/>
  <c r="I23" i="24"/>
  <c r="C19" i="24"/>
  <c r="C16" i="24"/>
  <c r="S15" i="24"/>
  <c r="M15" i="24"/>
  <c r="S14" i="24"/>
  <c r="M14" i="24"/>
  <c r="S13" i="24"/>
  <c r="M13" i="24"/>
  <c r="S12" i="24"/>
  <c r="M12" i="24"/>
  <c r="I11" i="24"/>
  <c r="E11" i="24"/>
  <c r="D11" i="24"/>
  <c r="V9" i="24"/>
  <c r="J7" i="24"/>
  <c r="E41" i="9"/>
  <c r="R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D12" i="6"/>
  <c r="C12" i="6"/>
  <c r="C22" i="22"/>
  <c r="C20" i="22"/>
  <c r="R13" i="22"/>
  <c r="E44" i="9"/>
  <c r="R11" i="22"/>
  <c r="E43" i="9"/>
  <c r="R9" i="22"/>
  <c r="E42" i="9"/>
  <c r="R7" i="22"/>
  <c r="E45" i="9"/>
  <c r="T5" i="22"/>
  <c r="R5" i="22"/>
  <c r="E31" i="9"/>
  <c r="L5" i="22"/>
  <c r="I5" i="22"/>
  <c r="E17" i="9"/>
  <c r="H5" i="22"/>
  <c r="G5" i="22"/>
  <c r="F5" i="22"/>
  <c r="E5" i="22"/>
  <c r="C5" i="22"/>
  <c r="P4" i="22"/>
  <c r="E4" i="22"/>
  <c r="C4" i="22"/>
  <c r="E30" i="9"/>
  <c r="E2" i="22"/>
  <c r="F54" i="21"/>
  <c r="J7" i="21"/>
  <c r="E11" i="6"/>
  <c r="E18" i="9"/>
  <c r="I7" i="6"/>
  <c r="W20" i="6"/>
  <c r="AB21" i="6"/>
  <c r="AA21" i="6"/>
  <c r="Z21" i="6"/>
  <c r="Y21" i="6"/>
  <c r="W10" i="6"/>
  <c r="V135" i="3"/>
  <c r="W135" i="3"/>
  <c r="X135" i="3"/>
  <c r="Y135" i="3"/>
  <c r="AB135" i="3"/>
  <c r="Z135" i="3"/>
  <c r="V134" i="3"/>
  <c r="W134" i="3"/>
  <c r="X134" i="3"/>
  <c r="Y134" i="3"/>
  <c r="AB134" i="3"/>
  <c r="Z134" i="3"/>
  <c r="V133" i="3"/>
  <c r="W133" i="3"/>
  <c r="X133" i="3"/>
  <c r="Y133" i="3"/>
  <c r="AB133" i="3"/>
  <c r="Z133" i="3"/>
  <c r="V132" i="3"/>
  <c r="W132" i="3"/>
  <c r="X132" i="3"/>
  <c r="Y132" i="3"/>
  <c r="AB132" i="3"/>
  <c r="Z132" i="3"/>
  <c r="V131" i="3"/>
  <c r="W131" i="3"/>
  <c r="X131" i="3"/>
  <c r="Y131" i="3"/>
  <c r="AB131" i="3"/>
  <c r="Z131" i="3"/>
  <c r="V130" i="3"/>
  <c r="W130" i="3"/>
  <c r="X130" i="3"/>
  <c r="Y130" i="3"/>
  <c r="AB130" i="3"/>
  <c r="Z130" i="3"/>
  <c r="V129" i="3"/>
  <c r="W129" i="3"/>
  <c r="X129" i="3"/>
  <c r="Y129" i="3"/>
  <c r="AB129" i="3"/>
  <c r="Z129" i="3"/>
  <c r="V128" i="3"/>
  <c r="W128" i="3"/>
  <c r="X128" i="3"/>
  <c r="Y128" i="3"/>
  <c r="AB128" i="3"/>
  <c r="Z128" i="3"/>
  <c r="V127" i="3"/>
  <c r="W127" i="3"/>
  <c r="X127" i="3"/>
  <c r="Y127" i="3"/>
  <c r="AB127" i="3"/>
  <c r="Z127" i="3"/>
  <c r="V126" i="3"/>
  <c r="W126" i="3"/>
  <c r="X126" i="3"/>
  <c r="Y126" i="3"/>
  <c r="AB126" i="3"/>
  <c r="Z126" i="3"/>
  <c r="V125" i="3"/>
  <c r="W125" i="3"/>
  <c r="X125" i="3"/>
  <c r="Y125" i="3"/>
  <c r="AB125" i="3"/>
  <c r="Z125" i="3"/>
  <c r="Q72" i="3"/>
  <c r="Q71" i="3"/>
  <c r="Q70" i="3"/>
  <c r="F10" i="3"/>
  <c r="F11" i="3"/>
  <c r="F12" i="3"/>
  <c r="E115" i="9"/>
  <c r="E13" i="9"/>
  <c r="E103" i="9"/>
  <c r="E104" i="9"/>
  <c r="E12" i="9"/>
  <c r="E11" i="9"/>
  <c r="E8" i="9"/>
  <c r="E38" i="9"/>
  <c r="E106" i="9"/>
  <c r="E102" i="9"/>
  <c r="E108" i="9"/>
  <c r="E111" i="9"/>
  <c r="E110" i="9"/>
  <c r="E112" i="9"/>
  <c r="E143" i="9"/>
  <c r="E52" i="9"/>
  <c r="E50" i="9"/>
  <c r="A1" i="13"/>
  <c r="D11" i="6"/>
  <c r="C11" i="6"/>
  <c r="E47" i="9"/>
  <c r="E46" i="9"/>
  <c r="E105" i="9"/>
  <c r="L1" i="9"/>
  <c r="E35" i="9"/>
  <c r="E36" i="9"/>
  <c r="E37" i="9"/>
  <c r="F100" i="9"/>
  <c r="C5" i="9"/>
  <c r="F1" i="9"/>
  <c r="F5" i="9"/>
  <c r="AH13" i="6"/>
  <c r="AH14" i="6"/>
  <c r="AH15" i="6"/>
  <c r="AH16" i="6"/>
  <c r="AH17" i="6"/>
  <c r="AH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AB11" i="6"/>
  <c r="AA11" i="6"/>
  <c r="Z11" i="6"/>
  <c r="Y11" i="6"/>
  <c r="F11" i="6"/>
  <c r="B11" i="6"/>
  <c r="B10" i="6"/>
  <c r="K1" i="9"/>
  <c r="C56" i="6"/>
  <c r="D56" i="6"/>
  <c r="D55" i="6"/>
  <c r="C55" i="6"/>
  <c r="D54" i="6"/>
  <c r="C54" i="6"/>
  <c r="D53" i="6"/>
  <c r="C53" i="6"/>
  <c r="D52" i="6"/>
  <c r="C52" i="6"/>
  <c r="D61" i="6"/>
  <c r="C61" i="6"/>
  <c r="D60" i="6"/>
  <c r="C60" i="6"/>
  <c r="D59" i="6"/>
  <c r="C59" i="6"/>
  <c r="D58" i="6"/>
  <c r="C58" i="6"/>
  <c r="D57" i="6"/>
  <c r="C57" i="6"/>
  <c r="D71" i="6"/>
  <c r="C71" i="6"/>
  <c r="D70" i="6"/>
  <c r="C70" i="6"/>
  <c r="D69" i="6"/>
  <c r="C69" i="6"/>
  <c r="D68" i="6"/>
  <c r="C68" i="6"/>
  <c r="D67" i="6"/>
  <c r="C67" i="6"/>
  <c r="D66" i="6"/>
  <c r="C66" i="6"/>
  <c r="D65" i="6"/>
  <c r="C65" i="6"/>
  <c r="D64" i="6"/>
  <c r="C64" i="6"/>
  <c r="D63" i="6"/>
  <c r="C63" i="6"/>
  <c r="D62" i="6"/>
  <c r="C62" i="6"/>
  <c r="E8" i="22" a="1"/>
  <c r="E8" i="22"/>
  <c r="F8" i="22"/>
  <c r="C5" i="34"/>
  <c r="E9" i="22" a="1"/>
  <c r="E9" i="22"/>
  <c r="F9" i="22"/>
  <c r="C6" i="34"/>
  <c r="E10" i="22" a="1"/>
  <c r="E10" i="22"/>
  <c r="F10" i="22"/>
  <c r="C7" i="34"/>
  <c r="E11" i="22" a="1"/>
  <c r="E11" i="22"/>
  <c r="F11" i="22"/>
  <c r="C8" i="34"/>
  <c r="E12" i="22" a="1"/>
  <c r="E12" i="22"/>
  <c r="F12" i="22"/>
  <c r="C9" i="34"/>
  <c r="E13" i="22" a="1"/>
  <c r="E13" i="22"/>
  <c r="F13" i="22"/>
  <c r="C10"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2" i="22" a="1"/>
  <c r="E22" i="22"/>
  <c r="F22" i="22"/>
  <c r="C19"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C65" i="34"/>
  <c r="C66" i="34"/>
  <c r="C67" i="34"/>
  <c r="C68" i="34"/>
  <c r="C69" i="34"/>
  <c r="C70" i="34"/>
  <c r="C71" i="34"/>
  <c r="C72" i="34"/>
  <c r="C73" i="34"/>
  <c r="C74" i="34"/>
  <c r="C75" i="34"/>
  <c r="C76" i="34"/>
  <c r="C77" i="34"/>
  <c r="C78" i="34"/>
  <c r="C79" i="34"/>
  <c r="C80" i="34"/>
  <c r="C81" i="34"/>
  <c r="C82" i="34"/>
  <c r="C83" i="34"/>
  <c r="C84" i="34"/>
  <c r="C85" i="34"/>
  <c r="C86" i="34"/>
  <c r="C34" i="6"/>
  <c r="C33" i="6"/>
  <c r="C32" i="6"/>
  <c r="G26" i="22"/>
  <c r="D32" i="6"/>
  <c r="G27" i="22"/>
  <c r="D33" i="6"/>
  <c r="G28" i="22"/>
  <c r="D34" i="6"/>
  <c r="G29" i="22"/>
  <c r="D35"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8" i="22"/>
  <c r="D14" i="6"/>
  <c r="G9" i="22"/>
  <c r="D15" i="6"/>
  <c r="G10" i="22"/>
  <c r="D16" i="6"/>
  <c r="G11" i="22"/>
  <c r="D17" i="6"/>
  <c r="C17" i="6"/>
  <c r="C16" i="6"/>
  <c r="C14" i="6"/>
  <c r="C18" i="6"/>
  <c r="C19" i="6"/>
  <c r="C20" i="6"/>
  <c r="C21" i="6"/>
  <c r="C22" i="6"/>
  <c r="C23" i="6"/>
  <c r="C24" i="6"/>
  <c r="C25" i="6"/>
  <c r="C27" i="6"/>
  <c r="C28" i="6"/>
  <c r="C29" i="6"/>
  <c r="C30" i="6"/>
  <c r="C31" i="6"/>
  <c r="C26" i="6"/>
  <c r="C35" i="6"/>
  <c r="C15" i="6"/>
  <c r="B35" i="6"/>
  <c r="B34" i="6"/>
  <c r="B33" i="6"/>
  <c r="B32" i="6"/>
  <c r="B31" i="6"/>
  <c r="B30" i="6"/>
  <c r="B29" i="6"/>
  <c r="B28" i="6"/>
  <c r="B27" i="6"/>
  <c r="B26" i="6"/>
  <c r="B25" i="6"/>
  <c r="B24" i="6"/>
  <c r="B23" i="6"/>
  <c r="B22" i="6"/>
  <c r="B21" i="6"/>
  <c r="B20" i="6"/>
  <c r="B19" i="6"/>
  <c r="B18" i="6"/>
  <c r="B17" i="6"/>
  <c r="B16" i="6"/>
  <c r="B15" i="6"/>
  <c r="B14" i="6"/>
  <c r="E30" i="22" a="1"/>
  <c r="E30" i="22"/>
  <c r="F30" i="22"/>
  <c r="C27" i="34"/>
  <c r="E34" i="22" a="1"/>
  <c r="E34" i="22"/>
  <c r="F34" i="22"/>
  <c r="C31" i="34"/>
  <c r="E38" i="22" a="1"/>
  <c r="E38" i="22"/>
  <c r="F38" i="22"/>
  <c r="C35" i="34"/>
  <c r="E42" i="22" a="1"/>
  <c r="E42" i="22"/>
  <c r="F42" i="22"/>
  <c r="C39" i="34"/>
  <c r="C87" i="34"/>
  <c r="C91" i="34"/>
  <c r="C95" i="34"/>
  <c r="C99"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E7" i="34"/>
  <c r="E8" i="34" a="1"/>
  <c r="E8" i="34"/>
  <c r="E5" i="34" a="1"/>
  <c r="E5" i="34"/>
  <c r="E9" i="34" a="1"/>
  <c r="E9" i="34"/>
  <c r="F8" i="34"/>
  <c r="E3" i="34"/>
  <c r="S24" i="22" a="1"/>
  <c r="S24" i="22"/>
  <c r="F9" i="34"/>
  <c r="E4" i="34"/>
  <c r="T24" i="22" a="1"/>
  <c r="T24" i="22"/>
  <c r="E6" i="34"/>
  <c r="C42" i="6"/>
  <c r="G36" i="22"/>
  <c r="D42" i="6"/>
  <c r="C43" i="6"/>
  <c r="G37" i="22"/>
  <c r="D43" i="6"/>
  <c r="C44" i="6"/>
  <c r="G38" i="22"/>
  <c r="D44" i="6"/>
  <c r="C45" i="6"/>
  <c r="G39" i="22"/>
  <c r="D45" i="6"/>
  <c r="C46" i="6"/>
  <c r="G40" i="22"/>
  <c r="D46" i="6"/>
  <c r="C47" i="6"/>
  <c r="G41" i="22"/>
  <c r="D47" i="6"/>
  <c r="C48" i="6"/>
  <c r="G42" i="22"/>
  <c r="D48" i="6"/>
  <c r="G43" i="22"/>
  <c r="D49" i="6"/>
  <c r="C50" i="6"/>
  <c r="G44" i="22"/>
  <c r="D50" i="6"/>
  <c r="C51" i="6"/>
  <c r="G45" i="22"/>
  <c r="D51" i="6"/>
  <c r="C40" i="6"/>
  <c r="C39" i="6"/>
  <c r="C38" i="6"/>
  <c r="C37" i="6"/>
  <c r="C36" i="6"/>
  <c r="G30" i="22"/>
  <c r="D36" i="6"/>
  <c r="G31" i="22"/>
  <c r="D37" i="6"/>
  <c r="G32" i="22"/>
  <c r="D38" i="6"/>
  <c r="G33" i="22"/>
  <c r="D39" i="6"/>
  <c r="G34" i="22"/>
  <c r="D40" i="6"/>
  <c r="G35" i="22"/>
  <c r="D41" i="6"/>
  <c r="C41" i="6"/>
  <c r="C49" i="6"/>
  <c r="B51" i="6"/>
  <c r="B50" i="6"/>
  <c r="B49" i="6"/>
  <c r="B48" i="6"/>
  <c r="B47" i="6"/>
  <c r="B46" i="6"/>
  <c r="B45" i="6"/>
  <c r="B44" i="6"/>
  <c r="B43" i="6"/>
  <c r="B42" i="6"/>
  <c r="B41" i="6"/>
  <c r="B40" i="6"/>
  <c r="B39" i="6"/>
  <c r="B38" i="6"/>
  <c r="B37" i="6"/>
  <c r="B36" i="6"/>
  <c r="F2" i="34" a="1"/>
  <c r="F2" i="34"/>
  <c r="G2" i="34"/>
  <c r="R25" i="22"/>
  <c r="R26" i="22"/>
  <c r="C12" i="39" a="1"/>
  <c r="C12" i="39"/>
  <c r="C13" i="39"/>
  <c r="C15" i="39"/>
  <c r="C16" i="39"/>
  <c r="D12" i="24"/>
  <c r="AK50" i="6"/>
  <c r="D12" i="39"/>
  <c r="D13" i="39"/>
  <c r="D15" i="39"/>
  <c r="D16" i="39"/>
  <c r="K18" i="39"/>
  <c r="S17" i="22"/>
  <c r="G25" i="3"/>
  <c r="F25" i="3"/>
  <c r="E25" i="3"/>
  <c r="D25" i="3"/>
  <c r="G24" i="3"/>
  <c r="F24" i="3"/>
  <c r="E24" i="3"/>
  <c r="D24" i="3"/>
  <c r="G23" i="3"/>
  <c r="F23" i="3"/>
  <c r="E23" i="3"/>
  <c r="D23" i="3"/>
  <c r="G22" i="3"/>
  <c r="F22" i="3"/>
  <c r="E22" i="3"/>
  <c r="D22" i="3"/>
  <c r="H21" i="3"/>
  <c r="G21" i="3"/>
  <c r="F21" i="3"/>
  <c r="E21" i="3"/>
  <c r="D21" i="3"/>
  <c r="G20" i="3"/>
  <c r="F20" i="3"/>
  <c r="E20" i="3"/>
  <c r="D20" i="3"/>
  <c r="G19" i="3"/>
  <c r="F19" i="3"/>
  <c r="E19" i="3"/>
  <c r="D19" i="3"/>
  <c r="I18" i="3"/>
  <c r="G18" i="3"/>
  <c r="F18" i="3"/>
  <c r="E18" i="3"/>
  <c r="D18" i="3"/>
  <c r="G17" i="3"/>
  <c r="F17" i="3"/>
  <c r="E17" i="3"/>
  <c r="D17" i="3"/>
  <c r="I55" i="21"/>
  <c r="I56" i="21"/>
  <c r="I60" i="21"/>
  <c r="I64" i="21"/>
  <c r="I68" i="21"/>
  <c r="I72" i="21"/>
  <c r="I59" i="21"/>
  <c r="I63" i="21"/>
  <c r="I67" i="21"/>
  <c r="I71" i="21"/>
  <c r="Y12" i="6"/>
  <c r="Z12" i="6"/>
  <c r="AA12" i="6"/>
  <c r="AG12" i="6"/>
  <c r="AI12" i="6"/>
  <c r="Y13" i="6"/>
  <c r="Z13" i="6"/>
  <c r="AA13" i="6"/>
  <c r="AB13" i="6"/>
  <c r="AG13" i="6"/>
  <c r="AI13" i="6"/>
  <c r="Y14" i="6"/>
  <c r="Z14" i="6"/>
  <c r="AA14" i="6"/>
  <c r="AB14" i="6"/>
  <c r="AG14" i="6"/>
  <c r="AI14" i="6"/>
  <c r="Y15" i="6"/>
  <c r="Z15" i="6"/>
  <c r="AA15" i="6"/>
  <c r="AB15" i="6"/>
  <c r="AG15" i="6"/>
  <c r="AI15" i="6"/>
  <c r="Y16" i="6"/>
  <c r="Z16" i="6"/>
  <c r="AA16" i="6"/>
  <c r="AG16" i="6"/>
  <c r="AI16" i="6"/>
  <c r="Y17" i="6"/>
  <c r="Z17" i="6"/>
  <c r="AA17" i="6"/>
  <c r="AB17" i="6"/>
  <c r="AG17" i="6"/>
  <c r="AI17" i="6"/>
  <c r="AR12" i="6"/>
  <c r="AR17" i="6"/>
  <c r="AR16" i="6"/>
  <c r="AR15" i="6"/>
  <c r="AR14" i="6"/>
  <c r="AR13" i="6"/>
  <c r="W15" i="6"/>
  <c r="W16" i="6"/>
  <c r="W17" i="6"/>
  <c r="AB12" i="6"/>
  <c r="AB16" i="6"/>
  <c r="N8" i="36"/>
  <c r="N9" i="36"/>
  <c r="N10" i="36"/>
  <c r="N11" i="36"/>
  <c r="N12" i="36"/>
  <c r="N13" i="36"/>
  <c r="N17" i="36"/>
  <c r="N18" i="36"/>
  <c r="N19" i="36"/>
  <c r="N20" i="36"/>
  <c r="N21" i="36"/>
  <c r="N22" i="36"/>
  <c r="N26" i="36"/>
  <c r="N27" i="36"/>
  <c r="N28" i="36"/>
  <c r="N29" i="36"/>
  <c r="N30" i="36"/>
  <c r="N31" i="36"/>
  <c r="N35" i="36"/>
  <c r="N36" i="36"/>
  <c r="N37" i="36"/>
  <c r="N38" i="36"/>
  <c r="N39" i="36"/>
  <c r="N40" i="36"/>
  <c r="D8" i="36"/>
  <c r="I8" i="36"/>
  <c r="J8" i="36"/>
  <c r="K8" i="36"/>
  <c r="L8" i="36"/>
  <c r="M8" i="36"/>
  <c r="D9" i="36"/>
  <c r="H9" i="36"/>
  <c r="J9" i="36"/>
  <c r="K9" i="36"/>
  <c r="L9" i="36"/>
  <c r="M9" i="36"/>
  <c r="D10" i="36"/>
  <c r="F10" i="36"/>
  <c r="H10" i="36"/>
  <c r="I10" i="36"/>
  <c r="K10" i="36"/>
  <c r="L10" i="36"/>
  <c r="M10" i="36"/>
  <c r="D11" i="36"/>
  <c r="F11" i="36"/>
  <c r="H11" i="36"/>
  <c r="I11" i="36"/>
  <c r="J11" i="36"/>
  <c r="L11" i="36"/>
  <c r="M11" i="36"/>
  <c r="D12" i="36"/>
  <c r="F12" i="36"/>
  <c r="H12" i="36"/>
  <c r="I12" i="36"/>
  <c r="J12" i="36"/>
  <c r="K12" i="36"/>
  <c r="M12" i="36"/>
  <c r="D13" i="36"/>
  <c r="F13" i="36"/>
  <c r="H13" i="36"/>
  <c r="I13" i="36"/>
  <c r="J13" i="36"/>
  <c r="K13" i="36"/>
  <c r="L13" i="36"/>
  <c r="D17" i="36"/>
  <c r="F17" i="36"/>
  <c r="I17" i="36"/>
  <c r="J17" i="36"/>
  <c r="K17" i="36"/>
  <c r="L17" i="36"/>
  <c r="M17" i="36"/>
  <c r="D18" i="36"/>
  <c r="F18" i="36"/>
  <c r="H18" i="36"/>
  <c r="J18" i="36"/>
  <c r="K18" i="36"/>
  <c r="L18" i="36"/>
  <c r="M18" i="36"/>
  <c r="D19" i="36"/>
  <c r="F19" i="36"/>
  <c r="H19" i="36"/>
  <c r="I19" i="36"/>
  <c r="K19" i="36"/>
  <c r="L19" i="36"/>
  <c r="M19" i="36"/>
  <c r="D20" i="36"/>
  <c r="F20" i="36"/>
  <c r="H20" i="36"/>
  <c r="I20" i="36"/>
  <c r="J20" i="36"/>
  <c r="L20" i="36"/>
  <c r="M20" i="36"/>
  <c r="D21" i="36"/>
  <c r="F21" i="36"/>
  <c r="H21" i="36"/>
  <c r="I21" i="36"/>
  <c r="J21" i="36"/>
  <c r="K21" i="36"/>
  <c r="M21" i="36"/>
  <c r="D22" i="36"/>
  <c r="F22" i="36"/>
  <c r="H22" i="36"/>
  <c r="I22" i="36"/>
  <c r="J22" i="36"/>
  <c r="K22" i="36"/>
  <c r="L22" i="36"/>
  <c r="D26" i="36"/>
  <c r="F26" i="36"/>
  <c r="I26" i="36"/>
  <c r="J26" i="36"/>
  <c r="K26" i="36"/>
  <c r="L26" i="36"/>
  <c r="M26" i="36"/>
  <c r="D27" i="36"/>
  <c r="F27" i="36"/>
  <c r="H27" i="36"/>
  <c r="J27" i="36"/>
  <c r="K27" i="36"/>
  <c r="L27" i="36"/>
  <c r="M27" i="36"/>
  <c r="D28" i="36"/>
  <c r="F28" i="36"/>
  <c r="H28" i="36"/>
  <c r="I28" i="36"/>
  <c r="K28" i="36"/>
  <c r="L28" i="36"/>
  <c r="M28" i="36"/>
  <c r="D29" i="36"/>
  <c r="F29" i="36"/>
  <c r="H29" i="36"/>
  <c r="I29" i="36"/>
  <c r="J29" i="36"/>
  <c r="L29" i="36"/>
  <c r="M29" i="36"/>
  <c r="D30" i="36"/>
  <c r="F30" i="36"/>
  <c r="H30" i="36"/>
  <c r="I30" i="36"/>
  <c r="J30" i="36"/>
  <c r="K30" i="36"/>
  <c r="M30" i="36"/>
  <c r="D31" i="36"/>
  <c r="F31" i="36"/>
  <c r="H31" i="36"/>
  <c r="I31" i="36"/>
  <c r="J31" i="36"/>
  <c r="K31" i="36"/>
  <c r="L31" i="36"/>
  <c r="D35" i="36"/>
  <c r="F35" i="36"/>
  <c r="I35" i="36"/>
  <c r="J35" i="36"/>
  <c r="K35" i="36"/>
  <c r="L35" i="36"/>
  <c r="M35" i="36"/>
  <c r="D36" i="36"/>
  <c r="F36" i="36"/>
  <c r="H36" i="36"/>
  <c r="J36" i="36"/>
  <c r="K36" i="36"/>
  <c r="L36" i="36"/>
  <c r="M36" i="36"/>
  <c r="D37" i="36"/>
  <c r="F37" i="36"/>
  <c r="H37" i="36"/>
  <c r="I37" i="36"/>
  <c r="K37" i="36"/>
  <c r="L37" i="36"/>
  <c r="M37" i="36"/>
  <c r="D38" i="36"/>
  <c r="F38" i="36"/>
  <c r="H38" i="36"/>
  <c r="I38" i="36"/>
  <c r="J38" i="36"/>
  <c r="L38" i="36"/>
  <c r="M38" i="36"/>
  <c r="D39" i="36"/>
  <c r="F39" i="36"/>
  <c r="H39" i="36"/>
  <c r="I39" i="36"/>
  <c r="J39" i="36"/>
  <c r="K39" i="36"/>
  <c r="M39" i="36"/>
  <c r="D40" i="36"/>
  <c r="F40" i="36"/>
  <c r="H40" i="36"/>
  <c r="I40" i="36"/>
  <c r="J40" i="36"/>
  <c r="K40" i="36"/>
  <c r="L40" i="36"/>
  <c r="Z17" i="3"/>
  <c r="Z18" i="3"/>
  <c r="Z20" i="3"/>
  <c r="Z22" i="3"/>
  <c r="Z23" i="3"/>
  <c r="Z24" i="3"/>
  <c r="Z25" i="3"/>
  <c r="BT51" i="30"/>
  <c r="BR53" i="30"/>
  <c r="AC69" i="42"/>
  <c r="AC68" i="42"/>
  <c r="AC67" i="42"/>
  <c r="AC66" i="42"/>
  <c r="AC65" i="42"/>
  <c r="BT40" i="30"/>
  <c r="BR42" i="30"/>
  <c r="W27" i="6"/>
  <c r="AR27" i="6"/>
  <c r="AR26" i="6"/>
  <c r="AR25" i="6"/>
  <c r="AR24" i="6"/>
  <c r="AR23" i="6"/>
  <c r="AR22" i="6"/>
  <c r="Z64" i="42"/>
  <c r="Z65" i="42"/>
  <c r="Z66" i="42"/>
  <c r="Z67" i="42"/>
  <c r="Z68" i="42"/>
  <c r="Z69" i="42"/>
  <c r="C31" i="30"/>
  <c r="AL20" i="6"/>
  <c r="AM20" i="6"/>
  <c r="AN20" i="6"/>
  <c r="AO20" i="6"/>
  <c r="AP20" i="6"/>
  <c r="AQ20" i="6"/>
  <c r="AI27" i="6"/>
  <c r="AG27" i="6"/>
  <c r="AE27" i="6"/>
  <c r="AF27" i="6"/>
  <c r="AB27" i="6"/>
  <c r="AA27" i="6"/>
  <c r="Z27" i="6"/>
  <c r="Y27" i="6"/>
  <c r="AI26" i="6"/>
  <c r="AG26" i="6"/>
  <c r="AE26" i="6"/>
  <c r="AF26" i="6"/>
  <c r="AB26" i="6"/>
  <c r="AA26" i="6"/>
  <c r="Z26" i="6"/>
  <c r="Y26" i="6"/>
  <c r="AI25" i="6"/>
  <c r="AG25" i="6"/>
  <c r="AE25" i="6"/>
  <c r="AF25" i="6"/>
  <c r="AB25" i="6"/>
  <c r="AA25" i="6"/>
  <c r="Z25" i="6"/>
  <c r="Y25" i="6"/>
  <c r="AI24" i="6"/>
  <c r="AG24" i="6"/>
  <c r="AE24" i="6"/>
  <c r="AF24" i="6"/>
  <c r="AB24" i="6"/>
  <c r="AA24" i="6"/>
  <c r="Z24" i="6"/>
  <c r="Y24" i="6"/>
  <c r="AI23" i="6"/>
  <c r="AG23" i="6"/>
  <c r="AE23" i="6"/>
  <c r="AF23" i="6"/>
  <c r="AB23" i="6"/>
  <c r="AA23" i="6"/>
  <c r="Z23" i="6"/>
  <c r="Y23" i="6"/>
  <c r="AI22" i="6"/>
  <c r="AG22" i="6"/>
  <c r="AE22" i="6"/>
  <c r="AF22" i="6"/>
  <c r="AB22" i="6"/>
  <c r="AA22" i="6"/>
  <c r="Z22" i="6"/>
  <c r="Y22" i="6"/>
  <c r="AJ22" i="6"/>
  <c r="AJ23" i="6"/>
  <c r="AJ24" i="6"/>
  <c r="AJ25" i="6"/>
  <c r="AJ26" i="6"/>
  <c r="AJ27" i="6"/>
  <c r="Z17" i="17"/>
  <c r="Z18" i="17"/>
  <c r="Z20"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Z99" i="42"/>
  <c r="Z98" i="42"/>
  <c r="Z97" i="42"/>
  <c r="Z96" i="42"/>
  <c r="Z95" i="42"/>
  <c r="Z94" i="42"/>
  <c r="BU40" i="30"/>
  <c r="BR43" i="30"/>
  <c r="AC94" i="42"/>
  <c r="AC95" i="42"/>
  <c r="AC96" i="42"/>
  <c r="AC97" i="42"/>
  <c r="AC98" i="42"/>
  <c r="AC99" i="42"/>
  <c r="BU51" i="30"/>
  <c r="BR54" i="30"/>
  <c r="AC81" i="42"/>
  <c r="AC80" i="42"/>
  <c r="AC79" i="42"/>
  <c r="AC78" i="42"/>
  <c r="AC77" i="42"/>
  <c r="AC76" i="42"/>
  <c r="C13" i="24" a="1"/>
  <c r="C13" i="24"/>
  <c r="E13" i="24"/>
  <c r="D13" i="24" a="1"/>
  <c r="D13" i="24"/>
  <c r="AR32" i="6"/>
  <c r="AR33" i="6"/>
  <c r="AR34" i="6"/>
  <c r="AR35" i="6"/>
  <c r="AR36" i="6"/>
  <c r="AR37" i="6"/>
  <c r="W36" i="6"/>
  <c r="W37" i="6"/>
  <c r="Z76" i="42"/>
  <c r="Z77" i="42"/>
  <c r="Z78" i="42"/>
  <c r="Z79" i="42"/>
  <c r="Z80" i="42"/>
  <c r="Z81" i="42"/>
  <c r="C32" i="30"/>
  <c r="D13" i="21"/>
  <c r="AL30" i="6"/>
  <c r="AM30" i="6"/>
  <c r="AN30" i="6"/>
  <c r="AO30" i="6"/>
  <c r="AP30" i="6"/>
  <c r="AQ30" i="6"/>
  <c r="AI37" i="6"/>
  <c r="AG37" i="6"/>
  <c r="AE37" i="6"/>
  <c r="AF37" i="6"/>
  <c r="AB37" i="6"/>
  <c r="AA37" i="6"/>
  <c r="Z37" i="6"/>
  <c r="Y37" i="6"/>
  <c r="AI36" i="6"/>
  <c r="AG36" i="6"/>
  <c r="AE36" i="6"/>
  <c r="AF36" i="6"/>
  <c r="AB36" i="6"/>
  <c r="AA36" i="6"/>
  <c r="Z36" i="6"/>
  <c r="Y36" i="6"/>
  <c r="AI35" i="6"/>
  <c r="AG35" i="6"/>
  <c r="AE35" i="6"/>
  <c r="AF35" i="6"/>
  <c r="AB35" i="6"/>
  <c r="AA35" i="6"/>
  <c r="Z35" i="6"/>
  <c r="Y35" i="6"/>
  <c r="AI34" i="6"/>
  <c r="AG34" i="6"/>
  <c r="AE34" i="6"/>
  <c r="AF34" i="6"/>
  <c r="AB34" i="6"/>
  <c r="AA34" i="6"/>
  <c r="Z34" i="6"/>
  <c r="Y34" i="6"/>
  <c r="AI33" i="6"/>
  <c r="AG33" i="6"/>
  <c r="AE33" i="6"/>
  <c r="AF33" i="6"/>
  <c r="AB33" i="6"/>
  <c r="AA33" i="6"/>
  <c r="Z33" i="6"/>
  <c r="Y33" i="6"/>
  <c r="AI32" i="6"/>
  <c r="AG32" i="6"/>
  <c r="AE32" i="6"/>
  <c r="AF32" i="6"/>
  <c r="AB32" i="6"/>
  <c r="AA32" i="6"/>
  <c r="Z32" i="6"/>
  <c r="Y32" i="6"/>
  <c r="Z17" i="25"/>
  <c r="Z18" i="25"/>
  <c r="Z20" i="25"/>
  <c r="Z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Z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Z75" i="42"/>
  <c r="Z74" i="42"/>
  <c r="Z73" i="42"/>
  <c r="Z72" i="42"/>
  <c r="Z71" i="42"/>
  <c r="Z70" i="42"/>
  <c r="AC70" i="42"/>
  <c r="AC71" i="42"/>
  <c r="AC72" i="42"/>
  <c r="AC73" i="42"/>
  <c r="AC74" i="42"/>
  <c r="AC75" i="42"/>
  <c r="BT52" i="30"/>
  <c r="BU52" i="30"/>
  <c r="BV51" i="30"/>
  <c r="BV52" i="30"/>
  <c r="BW52" i="30"/>
  <c r="BX52" i="30"/>
  <c r="BY52" i="30"/>
  <c r="BZ52" i="30"/>
  <c r="CA52" i="30"/>
  <c r="BS53" i="30"/>
  <c r="BU53" i="30"/>
  <c r="BV53" i="30"/>
  <c r="BW53" i="30"/>
  <c r="BX53" i="30"/>
  <c r="BY53" i="30"/>
  <c r="BZ53" i="30"/>
  <c r="CA53"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BT41" i="30"/>
  <c r="BU41" i="30"/>
  <c r="BV40" i="30"/>
  <c r="BV41" i="30"/>
  <c r="BW41" i="30"/>
  <c r="BX41" i="30"/>
  <c r="BY41" i="30"/>
  <c r="BZ41" i="30"/>
  <c r="CA41" i="30"/>
  <c r="BS42" i="30"/>
  <c r="BU42" i="30"/>
  <c r="BV42" i="30"/>
  <c r="BW42" i="30"/>
  <c r="BX42" i="30"/>
  <c r="BY42" i="30"/>
  <c r="BZ42" i="30"/>
  <c r="CA42" i="30"/>
  <c r="BS43" i="30"/>
  <c r="BT43" i="30"/>
  <c r="BV43" i="30"/>
  <c r="BW43" i="30"/>
  <c r="BX43" i="30"/>
  <c r="BY43" i="30"/>
  <c r="BZ43" i="30"/>
  <c r="CA43" i="30"/>
  <c r="BR44" i="30"/>
  <c r="BS44" i="30"/>
  <c r="BT44" i="30"/>
  <c r="BU44" i="30"/>
  <c r="BW44" i="30"/>
  <c r="BX44" i="30"/>
  <c r="BY44" i="30"/>
  <c r="BZ44" i="30"/>
  <c r="CA44" i="30"/>
  <c r="BS45" i="30"/>
  <c r="BT45" i="30"/>
  <c r="BU45" i="30"/>
  <c r="BV45" i="30"/>
  <c r="BX45" i="30"/>
  <c r="BY45" i="30"/>
  <c r="BZ45" i="30"/>
  <c r="CA45" i="30"/>
  <c r="BS46" i="30"/>
  <c r="BT46" i="30"/>
  <c r="BU46" i="30"/>
  <c r="BV46" i="30"/>
  <c r="BW46" i="30"/>
  <c r="BY46" i="30"/>
  <c r="BZ46" i="30"/>
  <c r="CA46" i="30"/>
  <c r="BS47" i="30"/>
  <c r="BT47" i="30"/>
  <c r="BU47" i="30"/>
  <c r="BV47" i="30"/>
  <c r="BW47" i="30"/>
  <c r="BX47" i="30"/>
  <c r="BZ47" i="30"/>
  <c r="CA47" i="30"/>
  <c r="BS48" i="30"/>
  <c r="BT48" i="30"/>
  <c r="BU48" i="30"/>
  <c r="BV48" i="30"/>
  <c r="BW48" i="30"/>
  <c r="BX48" i="30"/>
  <c r="BY48" i="30"/>
  <c r="CA48" i="30"/>
  <c r="BS49" i="30"/>
  <c r="BT49" i="30"/>
  <c r="BU49" i="30"/>
  <c r="BV49" i="30"/>
  <c r="BW49" i="30"/>
  <c r="BX49" i="30"/>
  <c r="BY49" i="30"/>
  <c r="BZ49" i="30"/>
  <c r="M4" i="30"/>
  <c r="M5" i="30"/>
  <c r="M6" i="30"/>
  <c r="M7" i="30"/>
  <c r="F13" i="30"/>
  <c r="F17" i="30"/>
  <c r="F18" i="30"/>
  <c r="F19" i="30"/>
  <c r="F20" i="30"/>
  <c r="BP38" i="30" a="1"/>
  <c r="BP38" i="30"/>
  <c r="BO38" i="30" a="1"/>
  <c r="BO38" i="30"/>
  <c r="BN38" i="30" a="1"/>
  <c r="BN38" i="30"/>
  <c r="BM38" i="30" a="1"/>
  <c r="BM38" i="30"/>
  <c r="BH38" i="30" a="1"/>
  <c r="BH38" i="30"/>
  <c r="BG38" i="30" a="1"/>
  <c r="BG38" i="30"/>
  <c r="BF38" i="30" a="1"/>
  <c r="BF38" i="30"/>
  <c r="BE38" i="30" a="1"/>
  <c r="BE38" i="30"/>
  <c r="AZ38" i="30" a="1"/>
  <c r="AZ38" i="30"/>
  <c r="AY38" i="30" a="1"/>
  <c r="AY38" i="30"/>
  <c r="AX38" i="30" a="1"/>
  <c r="AX38" i="30"/>
  <c r="AW38" i="30" a="1"/>
  <c r="AW38" i="30"/>
  <c r="AR38" i="30" a="1"/>
  <c r="AR38" i="30"/>
  <c r="AQ38" i="30" a="1"/>
  <c r="AQ38" i="30"/>
  <c r="AP38" i="30" a="1"/>
  <c r="AP38" i="30"/>
  <c r="AO38" i="30" a="1"/>
  <c r="AO38" i="30"/>
  <c r="AJ38" i="30" a="1"/>
  <c r="AJ38" i="30"/>
  <c r="AI38" i="30" a="1"/>
  <c r="AI38" i="30"/>
  <c r="AH38" i="30" a="1"/>
  <c r="AH38" i="30"/>
  <c r="AG38" i="30" a="1"/>
  <c r="AG38" i="30"/>
  <c r="AB38" i="30" a="1"/>
  <c r="AB38" i="30"/>
  <c r="AA38" i="30" a="1"/>
  <c r="AA38" i="30"/>
  <c r="Z38" i="30" a="1"/>
  <c r="Z38" i="30"/>
  <c r="Y38" i="30" a="1"/>
  <c r="Y38" i="30"/>
  <c r="T38" i="30" a="1"/>
  <c r="T38" i="30"/>
  <c r="S38" i="30" a="1"/>
  <c r="S38" i="30"/>
  <c r="R38" i="30" a="1"/>
  <c r="R38" i="30"/>
  <c r="Q38" i="30" a="1"/>
  <c r="Q38" i="30"/>
  <c r="L38" i="30" a="1"/>
  <c r="L38" i="30"/>
  <c r="K38" i="30" a="1"/>
  <c r="K38" i="30"/>
  <c r="J38" i="30" a="1"/>
  <c r="J38" i="30"/>
  <c r="I38" i="30" a="1"/>
  <c r="I38" i="30"/>
  <c r="BP37" i="30" a="1"/>
  <c r="BP37" i="30"/>
  <c r="BO37" i="30" a="1"/>
  <c r="BO37" i="30"/>
  <c r="BN37" i="30" a="1"/>
  <c r="BN37" i="30"/>
  <c r="BM37" i="30" a="1"/>
  <c r="BM37" i="30"/>
  <c r="BH37" i="30" a="1"/>
  <c r="BH37" i="30"/>
  <c r="BG37" i="30" a="1"/>
  <c r="BG37" i="30"/>
  <c r="BF37" i="30" a="1"/>
  <c r="BF37" i="30"/>
  <c r="BE37" i="30" a="1"/>
  <c r="BE37" i="30"/>
  <c r="AZ37" i="30" a="1"/>
  <c r="AZ37" i="30"/>
  <c r="AY37" i="30" a="1"/>
  <c r="AY37" i="30"/>
  <c r="AX37" i="30" a="1"/>
  <c r="AX37" i="30"/>
  <c r="AW37" i="30" a="1"/>
  <c r="AW37" i="30"/>
  <c r="AR37" i="30" a="1"/>
  <c r="AR37" i="30"/>
  <c r="AQ37" i="30" a="1"/>
  <c r="AQ37" i="30"/>
  <c r="AP37" i="30" a="1"/>
  <c r="AP37" i="30"/>
  <c r="AO37" i="30" a="1"/>
  <c r="AO37" i="30"/>
  <c r="AJ37" i="30" a="1"/>
  <c r="AJ37" i="30"/>
  <c r="AI37" i="30" a="1"/>
  <c r="AI37" i="30"/>
  <c r="AH37" i="30" a="1"/>
  <c r="AH37" i="30"/>
  <c r="AG37" i="30" a="1"/>
  <c r="AG37" i="30"/>
  <c r="AB37" i="30" a="1"/>
  <c r="AB37" i="30"/>
  <c r="AA37" i="30" a="1"/>
  <c r="AA37" i="30"/>
  <c r="Z37" i="30" a="1"/>
  <c r="Z37" i="30"/>
  <c r="Y37" i="30" a="1"/>
  <c r="Y37" i="30"/>
  <c r="T37" i="30" a="1"/>
  <c r="T37" i="30"/>
  <c r="S37" i="30" a="1"/>
  <c r="S37" i="30"/>
  <c r="R37" i="30" a="1"/>
  <c r="R37" i="30"/>
  <c r="Q37" i="30" a="1"/>
  <c r="Q37" i="30"/>
  <c r="L37" i="30" a="1"/>
  <c r="L37" i="30"/>
  <c r="K37" i="30" a="1"/>
  <c r="K37" i="30"/>
  <c r="J37" i="30" a="1"/>
  <c r="J37" i="30"/>
  <c r="I37" i="30" a="1"/>
  <c r="I37" i="30"/>
  <c r="BP36" i="30" a="1"/>
  <c r="BP36" i="30"/>
  <c r="BO36" i="30" a="1"/>
  <c r="BO36" i="30"/>
  <c r="BN36" i="30" a="1"/>
  <c r="BN36" i="30"/>
  <c r="BM36" i="30" a="1"/>
  <c r="BM36" i="30"/>
  <c r="BH36" i="30" a="1"/>
  <c r="BH36" i="30"/>
  <c r="BG36" i="30" a="1"/>
  <c r="BG36" i="30"/>
  <c r="BF36" i="30" a="1"/>
  <c r="BF36" i="30"/>
  <c r="BE36" i="30" a="1"/>
  <c r="BE36" i="30"/>
  <c r="AZ36" i="30" a="1"/>
  <c r="AZ36" i="30"/>
  <c r="AY36" i="30" a="1"/>
  <c r="AY36" i="30"/>
  <c r="AX36" i="30" a="1"/>
  <c r="AX36" i="30"/>
  <c r="AW36" i="30" a="1"/>
  <c r="AW36" i="30"/>
  <c r="AR36" i="30" a="1"/>
  <c r="AR36" i="30"/>
  <c r="AQ36" i="30" a="1"/>
  <c r="AQ36" i="30"/>
  <c r="AP36" i="30" a="1"/>
  <c r="AP36" i="30"/>
  <c r="AO36" i="30" a="1"/>
  <c r="AO36" i="30"/>
  <c r="AJ36" i="30" a="1"/>
  <c r="AJ36" i="30"/>
  <c r="AI36" i="30" a="1"/>
  <c r="AI36" i="30"/>
  <c r="AH36" i="30" a="1"/>
  <c r="AH36" i="30"/>
  <c r="AG36" i="30" a="1"/>
  <c r="AG36" i="30"/>
  <c r="AB36" i="30" a="1"/>
  <c r="AB36" i="30"/>
  <c r="AA36" i="30" a="1"/>
  <c r="AA36" i="30"/>
  <c r="Z36" i="30" a="1"/>
  <c r="Z36" i="30"/>
  <c r="Y36" i="30" a="1"/>
  <c r="Y36" i="30"/>
  <c r="T36" i="30" a="1"/>
  <c r="T36" i="30"/>
  <c r="S36" i="30" a="1"/>
  <c r="S36" i="30"/>
  <c r="R36" i="30" a="1"/>
  <c r="R36" i="30"/>
  <c r="Q36" i="30" a="1"/>
  <c r="Q36" i="30"/>
  <c r="L36" i="30" a="1"/>
  <c r="L36" i="30"/>
  <c r="K36" i="30" a="1"/>
  <c r="K36" i="30"/>
  <c r="J36" i="30" a="1"/>
  <c r="J36" i="30"/>
  <c r="I36" i="30" a="1"/>
  <c r="I36" i="30"/>
  <c r="BP35" i="30" a="1"/>
  <c r="BP35" i="30"/>
  <c r="BO35" i="30" a="1"/>
  <c r="BO35" i="30"/>
  <c r="BN35" i="30" a="1"/>
  <c r="BN35" i="30"/>
  <c r="BM35" i="30" a="1"/>
  <c r="BM35" i="30"/>
  <c r="BH35" i="30" a="1"/>
  <c r="BH35" i="30"/>
  <c r="BG35" i="30" a="1"/>
  <c r="BG35" i="30"/>
  <c r="BF35" i="30" a="1"/>
  <c r="BF35" i="30"/>
  <c r="BE35" i="30" a="1"/>
  <c r="BE35" i="30"/>
  <c r="AZ35" i="30" a="1"/>
  <c r="AZ35" i="30"/>
  <c r="AY35" i="30" a="1"/>
  <c r="AY35" i="30"/>
  <c r="AX35" i="30" a="1"/>
  <c r="AX35" i="30"/>
  <c r="AW35" i="30" a="1"/>
  <c r="AW35" i="30"/>
  <c r="AR35" i="30" a="1"/>
  <c r="AR35" i="30"/>
  <c r="AQ35" i="30" a="1"/>
  <c r="AQ35" i="30"/>
  <c r="AP35" i="30" a="1"/>
  <c r="AP35" i="30"/>
  <c r="AO35" i="30" a="1"/>
  <c r="AO35" i="30"/>
  <c r="AJ35" i="30" a="1"/>
  <c r="AJ35" i="30"/>
  <c r="AI35" i="30" a="1"/>
  <c r="AI35" i="30"/>
  <c r="AH35" i="30" a="1"/>
  <c r="AH35" i="30"/>
  <c r="AG35" i="30" a="1"/>
  <c r="AG35" i="30"/>
  <c r="AB35" i="30" a="1"/>
  <c r="AB35" i="30"/>
  <c r="AA35" i="30" a="1"/>
  <c r="AA35" i="30"/>
  <c r="Z35" i="30" a="1"/>
  <c r="Z35" i="30"/>
  <c r="Y35" i="30" a="1"/>
  <c r="Y35" i="30"/>
  <c r="T35" i="30" a="1"/>
  <c r="T35" i="30"/>
  <c r="S35" i="30" a="1"/>
  <c r="S35" i="30"/>
  <c r="R35" i="30" a="1"/>
  <c r="R35" i="30"/>
  <c r="Q35" i="30" a="1"/>
  <c r="Q35" i="30"/>
  <c r="L35" i="30" a="1"/>
  <c r="L35" i="30"/>
  <c r="K35" i="30" a="1"/>
  <c r="K35" i="30"/>
  <c r="J35" i="30" a="1"/>
  <c r="J35" i="30"/>
  <c r="I35" i="30" a="1"/>
  <c r="I35" i="30"/>
  <c r="BP34" i="30" a="1"/>
  <c r="BP34" i="30"/>
  <c r="BO34" i="30" a="1"/>
  <c r="BO34" i="30"/>
  <c r="BN34" i="30" a="1"/>
  <c r="BN34" i="30"/>
  <c r="BM34" i="30" a="1"/>
  <c r="BM34" i="30"/>
  <c r="BH34" i="30" a="1"/>
  <c r="BH34" i="30"/>
  <c r="BG34" i="30" a="1"/>
  <c r="BG34" i="30"/>
  <c r="BF34" i="30" a="1"/>
  <c r="BF34" i="30"/>
  <c r="BE34" i="30" a="1"/>
  <c r="BE34" i="30"/>
  <c r="AZ34" i="30" a="1"/>
  <c r="AZ34" i="30"/>
  <c r="AY34" i="30" a="1"/>
  <c r="AY34" i="30"/>
  <c r="AX34" i="30" a="1"/>
  <c r="AX34" i="30"/>
  <c r="AW34" i="30" a="1"/>
  <c r="AW34" i="30"/>
  <c r="AR34" i="30" a="1"/>
  <c r="AR34" i="30"/>
  <c r="AQ34" i="30" a="1"/>
  <c r="AQ34" i="30"/>
  <c r="AP34" i="30" a="1"/>
  <c r="AP34" i="30"/>
  <c r="AO34" i="30" a="1"/>
  <c r="AO34" i="30"/>
  <c r="AJ34" i="30" a="1"/>
  <c r="AJ34" i="30"/>
  <c r="AI34" i="30" a="1"/>
  <c r="AI34" i="30"/>
  <c r="AH34" i="30" a="1"/>
  <c r="AH34" i="30"/>
  <c r="AG34" i="30" a="1"/>
  <c r="AG34" i="30"/>
  <c r="AB34" i="30" a="1"/>
  <c r="AB34" i="30"/>
  <c r="AA34" i="30" a="1"/>
  <c r="AA34" i="30"/>
  <c r="Z34" i="30" a="1"/>
  <c r="Z34" i="30"/>
  <c r="Y34" i="30" a="1"/>
  <c r="Y34" i="30"/>
  <c r="T34" i="30" a="1"/>
  <c r="T34" i="30"/>
  <c r="S34" i="30" a="1"/>
  <c r="S34" i="30"/>
  <c r="R34" i="30" a="1"/>
  <c r="R34" i="30"/>
  <c r="Q34" i="30" a="1"/>
  <c r="Q34" i="30"/>
  <c r="L34" i="30" a="1"/>
  <c r="L34" i="30"/>
  <c r="K34" i="30" a="1"/>
  <c r="K34" i="30"/>
  <c r="J34" i="30" a="1"/>
  <c r="J34" i="30"/>
  <c r="I34" i="30" a="1"/>
  <c r="I34" i="30"/>
  <c r="I45" i="30" a="1"/>
  <c r="I45" i="30"/>
  <c r="J45" i="30" a="1"/>
  <c r="J45" i="30"/>
  <c r="K45" i="30" a="1"/>
  <c r="K45" i="30"/>
  <c r="L45" i="30" a="1"/>
  <c r="L45" i="30"/>
  <c r="Q45" i="30" a="1"/>
  <c r="Q45" i="30"/>
  <c r="R45" i="30" a="1"/>
  <c r="R45" i="30"/>
  <c r="S45" i="30" a="1"/>
  <c r="S45" i="30"/>
  <c r="T45" i="30" a="1"/>
  <c r="T45" i="30"/>
  <c r="Y45" i="30" a="1"/>
  <c r="Y45" i="30"/>
  <c r="Z45" i="30" a="1"/>
  <c r="Z45" i="30"/>
  <c r="AA45" i="30" a="1"/>
  <c r="AA45" i="30"/>
  <c r="AB45" i="30" a="1"/>
  <c r="AB45" i="30"/>
  <c r="AG45" i="30" a="1"/>
  <c r="AG45" i="30"/>
  <c r="AH45" i="30" a="1"/>
  <c r="AH45" i="30"/>
  <c r="AI45" i="30" a="1"/>
  <c r="AI45" i="30"/>
  <c r="AJ45" i="30" a="1"/>
  <c r="AJ45" i="30"/>
  <c r="AO45" i="30" a="1"/>
  <c r="AO45" i="30"/>
  <c r="AP45" i="30" a="1"/>
  <c r="AP45" i="30"/>
  <c r="AQ45" i="30" a="1"/>
  <c r="AQ45" i="30"/>
  <c r="AR45" i="30" a="1"/>
  <c r="AR45" i="30"/>
  <c r="AW45" i="30" a="1"/>
  <c r="AW45" i="30"/>
  <c r="AX45" i="30" a="1"/>
  <c r="AX45" i="30"/>
  <c r="AY45" i="30" a="1"/>
  <c r="AY45" i="30"/>
  <c r="AZ45" i="30" a="1"/>
  <c r="AZ45" i="30"/>
  <c r="BE45" i="30" a="1"/>
  <c r="BE45" i="30"/>
  <c r="BF45" i="30" a="1"/>
  <c r="BF45" i="30"/>
  <c r="BG45" i="30" a="1"/>
  <c r="BG45" i="30"/>
  <c r="BH45" i="30" a="1"/>
  <c r="BH45" i="30"/>
  <c r="BL45" i="30" a="1"/>
  <c r="BL45" i="30"/>
  <c r="BM45" i="30" a="1"/>
  <c r="BM45" i="30"/>
  <c r="BN45" i="30" a="1"/>
  <c r="BN45" i="30"/>
  <c r="BO45" i="30" a="1"/>
  <c r="BO45" i="30"/>
  <c r="BP45" i="30" a="1"/>
  <c r="BP45" i="30"/>
  <c r="I46" i="30" a="1"/>
  <c r="I46" i="30"/>
  <c r="J46" i="30" a="1"/>
  <c r="J46" i="30"/>
  <c r="K46" i="30" a="1"/>
  <c r="K46" i="30"/>
  <c r="L46" i="30" a="1"/>
  <c r="L46" i="30"/>
  <c r="Q46" i="30" a="1"/>
  <c r="Q46" i="30"/>
  <c r="R46" i="30" a="1"/>
  <c r="R46" i="30"/>
  <c r="S46" i="30" a="1"/>
  <c r="S46" i="30"/>
  <c r="T46" i="30" a="1"/>
  <c r="T46" i="30"/>
  <c r="Y46" i="30" a="1"/>
  <c r="Y46" i="30"/>
  <c r="Z46" i="30" a="1"/>
  <c r="Z46" i="30"/>
  <c r="AA46" i="30" a="1"/>
  <c r="AA46" i="30"/>
  <c r="AB46" i="30" a="1"/>
  <c r="AB46" i="30"/>
  <c r="AG46" i="30" a="1"/>
  <c r="AG46" i="30"/>
  <c r="AH46" i="30" a="1"/>
  <c r="AH46" i="30"/>
  <c r="AI46" i="30" a="1"/>
  <c r="AI46" i="30"/>
  <c r="AJ46" i="30" a="1"/>
  <c r="AJ46" i="30"/>
  <c r="AO46" i="30" a="1"/>
  <c r="AO46" i="30"/>
  <c r="AP46" i="30" a="1"/>
  <c r="AP46" i="30"/>
  <c r="AQ46" i="30" a="1"/>
  <c r="AQ46" i="30"/>
  <c r="AR46" i="30" a="1"/>
  <c r="AR46" i="30"/>
  <c r="AW46" i="30" a="1"/>
  <c r="AW46" i="30"/>
  <c r="AX46" i="30" a="1"/>
  <c r="AX46" i="30"/>
  <c r="AY46" i="30" a="1"/>
  <c r="AY46" i="30"/>
  <c r="AZ46" i="30" a="1"/>
  <c r="AZ46" i="30"/>
  <c r="BE46" i="30" a="1"/>
  <c r="BE46" i="30"/>
  <c r="BF46" i="30" a="1"/>
  <c r="BF46" i="30"/>
  <c r="BG46" i="30" a="1"/>
  <c r="BG46" i="30"/>
  <c r="BH46" i="30" a="1"/>
  <c r="BH46" i="30"/>
  <c r="BL46" i="30" a="1"/>
  <c r="BL46" i="30"/>
  <c r="BM46" i="30" a="1"/>
  <c r="BM46" i="30"/>
  <c r="BN46" i="30" a="1"/>
  <c r="BN46" i="30"/>
  <c r="BO46" i="30" a="1"/>
  <c r="BO46" i="30"/>
  <c r="BP46" i="30" a="1"/>
  <c r="BP46" i="30"/>
  <c r="I47" i="30" a="1"/>
  <c r="I47" i="30"/>
  <c r="J47" i="30" a="1"/>
  <c r="J47" i="30"/>
  <c r="K47" i="30" a="1"/>
  <c r="K47" i="30"/>
  <c r="L47" i="30" a="1"/>
  <c r="L47" i="30"/>
  <c r="Q47" i="30" a="1"/>
  <c r="Q47" i="30"/>
  <c r="R47" i="30" a="1"/>
  <c r="R47" i="30"/>
  <c r="S47" i="30" a="1"/>
  <c r="S47" i="30"/>
  <c r="T47" i="30" a="1"/>
  <c r="T47" i="30"/>
  <c r="Y47" i="30" a="1"/>
  <c r="Y47" i="30"/>
  <c r="Z47" i="30" a="1"/>
  <c r="Z47" i="30"/>
  <c r="AA47" i="30" a="1"/>
  <c r="AA47" i="30"/>
  <c r="AB47" i="30" a="1"/>
  <c r="AB47" i="30"/>
  <c r="AG47" i="30" a="1"/>
  <c r="AG47" i="30"/>
  <c r="AH47" i="30" a="1"/>
  <c r="AH47" i="30"/>
  <c r="AI47" i="30" a="1"/>
  <c r="AI47" i="30"/>
  <c r="AJ47" i="30" a="1"/>
  <c r="AJ47" i="30"/>
  <c r="AO47" i="30" a="1"/>
  <c r="AO47" i="30"/>
  <c r="AP47" i="30" a="1"/>
  <c r="AP47" i="30"/>
  <c r="AQ47" i="30" a="1"/>
  <c r="AQ47" i="30"/>
  <c r="AR47" i="30" a="1"/>
  <c r="AR47" i="30"/>
  <c r="AW47" i="30" a="1"/>
  <c r="AW47" i="30"/>
  <c r="AX47" i="30" a="1"/>
  <c r="AX47" i="30"/>
  <c r="AY47" i="30" a="1"/>
  <c r="AY47" i="30"/>
  <c r="AZ47" i="30" a="1"/>
  <c r="AZ47" i="30"/>
  <c r="BE47" i="30" a="1"/>
  <c r="BE47" i="30"/>
  <c r="BF47" i="30" a="1"/>
  <c r="BF47" i="30"/>
  <c r="BG47" i="30" a="1"/>
  <c r="BG47" i="30"/>
  <c r="BH47" i="30" a="1"/>
  <c r="BH47" i="30"/>
  <c r="BL47" i="30" a="1"/>
  <c r="BL47" i="30"/>
  <c r="BM47" i="30" a="1"/>
  <c r="BM47" i="30"/>
  <c r="BN47" i="30" a="1"/>
  <c r="BN47" i="30"/>
  <c r="BO47" i="30" a="1"/>
  <c r="BO47" i="30"/>
  <c r="BP47" i="30" a="1"/>
  <c r="BP47" i="30"/>
  <c r="I48" i="30" a="1"/>
  <c r="I48" i="30"/>
  <c r="J48" i="30" a="1"/>
  <c r="J48" i="30"/>
  <c r="K48" i="30" a="1"/>
  <c r="K48" i="30"/>
  <c r="L48" i="30" a="1"/>
  <c r="L48" i="30"/>
  <c r="Q48" i="30" a="1"/>
  <c r="Q48" i="30"/>
  <c r="R48" i="30" a="1"/>
  <c r="R48" i="30"/>
  <c r="S48" i="30" a="1"/>
  <c r="S48" i="30"/>
  <c r="T48" i="30" a="1"/>
  <c r="T48" i="30"/>
  <c r="Y48" i="30" a="1"/>
  <c r="Y48" i="30"/>
  <c r="Z48" i="30" a="1"/>
  <c r="Z48" i="30"/>
  <c r="AA48" i="30" a="1"/>
  <c r="AA48" i="30"/>
  <c r="AB48" i="30" a="1"/>
  <c r="AB48" i="30"/>
  <c r="AG48" i="30" a="1"/>
  <c r="AG48" i="30"/>
  <c r="AH48" i="30" a="1"/>
  <c r="AH48" i="30"/>
  <c r="AI48" i="30" a="1"/>
  <c r="AI48" i="30"/>
  <c r="AJ48" i="30" a="1"/>
  <c r="AJ48" i="30"/>
  <c r="AO48" i="30" a="1"/>
  <c r="AO48" i="30"/>
  <c r="AP48" i="30" a="1"/>
  <c r="AP48" i="30"/>
  <c r="AQ48" i="30" a="1"/>
  <c r="AQ48" i="30"/>
  <c r="AR48" i="30" a="1"/>
  <c r="AR48" i="30"/>
  <c r="AW48" i="30" a="1"/>
  <c r="AW48" i="30"/>
  <c r="AX48" i="30" a="1"/>
  <c r="AX48" i="30"/>
  <c r="AY48" i="30" a="1"/>
  <c r="AY48" i="30"/>
  <c r="AZ48" i="30" a="1"/>
  <c r="AZ48" i="30"/>
  <c r="BE48" i="30" a="1"/>
  <c r="BE48" i="30"/>
  <c r="BF48" i="30" a="1"/>
  <c r="BF48" i="30"/>
  <c r="BG48" i="30" a="1"/>
  <c r="BG48" i="30"/>
  <c r="BH48" i="30" a="1"/>
  <c r="BH48" i="30"/>
  <c r="BL48" i="30" a="1"/>
  <c r="BL48" i="30"/>
  <c r="BM48" i="30" a="1"/>
  <c r="BM48" i="30"/>
  <c r="BN48" i="30" a="1"/>
  <c r="BN48" i="30"/>
  <c r="BO48" i="30" a="1"/>
  <c r="BO48" i="30"/>
  <c r="BP48" i="30" a="1"/>
  <c r="BP48" i="30"/>
  <c r="I49" i="30" a="1"/>
  <c r="I49" i="30"/>
  <c r="J49" i="30" a="1"/>
  <c r="J49" i="30"/>
  <c r="K49" i="30" a="1"/>
  <c r="K49" i="30"/>
  <c r="L49" i="30" a="1"/>
  <c r="L49" i="30"/>
  <c r="Q49" i="30" a="1"/>
  <c r="Q49" i="30"/>
  <c r="R49" i="30" a="1"/>
  <c r="R49" i="30"/>
  <c r="S49" i="30" a="1"/>
  <c r="S49" i="30"/>
  <c r="T49" i="30" a="1"/>
  <c r="T49" i="30"/>
  <c r="Y49" i="30" a="1"/>
  <c r="Y49" i="30"/>
  <c r="Z49" i="30" a="1"/>
  <c r="Z49" i="30"/>
  <c r="AA49" i="30" a="1"/>
  <c r="AA49" i="30"/>
  <c r="AB49" i="30" a="1"/>
  <c r="AB49" i="30"/>
  <c r="AG49" i="30" a="1"/>
  <c r="AG49" i="30"/>
  <c r="AH49" i="30" a="1"/>
  <c r="AH49" i="30"/>
  <c r="AI49" i="30" a="1"/>
  <c r="AI49" i="30"/>
  <c r="AJ49" i="30" a="1"/>
  <c r="AJ49" i="30"/>
  <c r="AO49" i="30" a="1"/>
  <c r="AO49" i="30"/>
  <c r="AP49" i="30" a="1"/>
  <c r="AP49" i="30"/>
  <c r="AQ49" i="30" a="1"/>
  <c r="AQ49" i="30"/>
  <c r="AR49" i="30" a="1"/>
  <c r="AR49" i="30"/>
  <c r="AW49" i="30" a="1"/>
  <c r="AW49" i="30"/>
  <c r="AX49" i="30" a="1"/>
  <c r="AX49" i="30"/>
  <c r="AY49" i="30" a="1"/>
  <c r="AY49" i="30"/>
  <c r="AZ49" i="30" a="1"/>
  <c r="AZ49" i="30"/>
  <c r="BE49" i="30" a="1"/>
  <c r="BE49" i="30"/>
  <c r="BF49" i="30" a="1"/>
  <c r="BF49" i="30"/>
  <c r="BG49" i="30" a="1"/>
  <c r="BG49" i="30"/>
  <c r="BH49" i="30" a="1"/>
  <c r="BH49" i="30"/>
  <c r="BL49" i="30" a="1"/>
  <c r="BL49" i="30"/>
  <c r="BM49" i="30" a="1"/>
  <c r="BM49" i="30"/>
  <c r="BN49" i="30" a="1"/>
  <c r="BN49" i="30"/>
  <c r="BO49" i="30" a="1"/>
  <c r="BO49" i="30"/>
  <c r="BP49" i="30" a="1"/>
  <c r="BP49" i="30"/>
  <c r="I77" i="21"/>
  <c r="I73" i="21"/>
  <c r="I69" i="21"/>
  <c r="I65" i="21"/>
  <c r="I61" i="21"/>
  <c r="I78" i="21"/>
  <c r="I74" i="21"/>
  <c r="I70" i="21"/>
  <c r="I66" i="21"/>
  <c r="I62" i="21"/>
  <c r="I58" i="21"/>
  <c r="I57" i="21"/>
  <c r="C27" i="21" a="1"/>
  <c r="C27" i="21"/>
  <c r="E27" i="21"/>
  <c r="C28" i="21" a="1"/>
  <c r="C28" i="21"/>
  <c r="E28" i="21"/>
  <c r="C31" i="21" a="1"/>
  <c r="C31" i="21"/>
  <c r="E31" i="21"/>
  <c r="C32" i="21" a="1"/>
  <c r="C32" i="21"/>
  <c r="E32" i="21"/>
  <c r="C35" i="21" a="1"/>
  <c r="C35" i="21"/>
  <c r="E35" i="21"/>
  <c r="C36" i="21" a="1"/>
  <c r="C36" i="21"/>
  <c r="E36" i="21"/>
  <c r="C39" i="21" a="1"/>
  <c r="C39" i="21"/>
  <c r="E39" i="21"/>
  <c r="C40" i="21" a="1"/>
  <c r="C40" i="21"/>
  <c r="E40" i="21"/>
  <c r="C43" i="21" a="1"/>
  <c r="C43" i="21"/>
  <c r="E43" i="21"/>
  <c r="C44" i="21" a="1"/>
  <c r="C44" i="21"/>
  <c r="E44" i="21"/>
  <c r="C47" i="21" a="1"/>
  <c r="C47" i="21"/>
  <c r="C50" i="21"/>
  <c r="C14" i="24" a="1"/>
  <c r="C14" i="24"/>
  <c r="E14" i="24"/>
  <c r="C15" i="24" a="1"/>
  <c r="C15" i="24"/>
  <c r="E15" i="24"/>
  <c r="C17" i="24" a="1"/>
  <c r="C17" i="24"/>
  <c r="C21" i="24"/>
  <c r="C18" i="24"/>
  <c r="C20" i="24"/>
  <c r="D15" i="24" a="1"/>
  <c r="D15" i="24"/>
  <c r="D17" i="24"/>
  <c r="D18" i="24"/>
  <c r="D20" i="24"/>
  <c r="D21" i="24"/>
  <c r="K23" i="24"/>
  <c r="S16" i="22"/>
  <c r="D14" i="24" a="1"/>
  <c r="D14" i="24"/>
  <c r="D43" i="21" a="1"/>
  <c r="D43" i="21"/>
  <c r="D40" i="21" a="1"/>
  <c r="D40" i="21"/>
  <c r="D39" i="21" a="1"/>
  <c r="D39" i="21"/>
  <c r="D36" i="21" a="1"/>
  <c r="D36" i="21"/>
  <c r="D35" i="21" a="1"/>
  <c r="D35" i="21"/>
  <c r="D32" i="21" a="1"/>
  <c r="D32" i="21"/>
  <c r="D31" i="21" a="1"/>
  <c r="D31" i="21"/>
  <c r="D28" i="21" a="1"/>
  <c r="D28" i="21"/>
  <c r="D27" i="21" a="1"/>
  <c r="D27" i="21"/>
  <c r="D44" i="21" a="1"/>
  <c r="D44" i="21"/>
  <c r="D47" i="21"/>
  <c r="D50" i="21"/>
  <c r="J52" i="21"/>
  <c r="S15" i="22"/>
  <c r="I26" i="24"/>
  <c r="I27" i="24"/>
  <c r="I28" i="24"/>
  <c r="I29" i="24"/>
  <c r="I21" i="39"/>
  <c r="I22" i="39"/>
  <c r="I23" i="39"/>
  <c r="I24" i="39"/>
  <c r="H17" i="30"/>
  <c r="I17" i="30"/>
  <c r="H18" i="30"/>
  <c r="I18" i="30"/>
  <c r="H19" i="30"/>
  <c r="I19" i="30"/>
  <c r="H20" i="30"/>
  <c r="I20" i="30"/>
  <c r="B13" i="30"/>
  <c r="D23" i="21"/>
  <c r="D22" i="21"/>
  <c r="D21" i="21"/>
  <c r="D20" i="21"/>
  <c r="D19" i="21"/>
  <c r="D18" i="21"/>
  <c r="D17" i="21"/>
  <c r="D16" i="21"/>
  <c r="D15" i="21"/>
  <c r="D14" i="21"/>
  <c r="Y52" i="21"/>
  <c r="Y45" i="21"/>
  <c r="Y38" i="21"/>
  <c r="Y31" i="21"/>
  <c r="Y24" i="21"/>
  <c r="Z87" i="42"/>
  <c r="Z86" i="42"/>
  <c r="Z85" i="42"/>
  <c r="Z84" i="42"/>
  <c r="Z83" i="42"/>
  <c r="Z82" i="42"/>
  <c r="I76" i="21"/>
  <c r="I75" i="21"/>
  <c r="AC82" i="42"/>
  <c r="AC83" i="42"/>
  <c r="AC84" i="42"/>
  <c r="AC85" i="42"/>
  <c r="AC86" i="42"/>
  <c r="AC87" i="42"/>
  <c r="AC93" i="42"/>
  <c r="AC92" i="42"/>
  <c r="AC91" i="42"/>
  <c r="AC90" i="42"/>
  <c r="AC89" i="42"/>
  <c r="AC88" i="42"/>
  <c r="W43" i="6"/>
  <c r="W44" i="6"/>
  <c r="W45" i="6"/>
  <c r="W46" i="6"/>
  <c r="W47" i="6"/>
  <c r="AR47" i="6"/>
  <c r="AR46" i="6"/>
  <c r="AR45" i="6"/>
  <c r="AR44" i="6"/>
  <c r="AR43" i="6"/>
  <c r="AR42" i="6"/>
  <c r="Z88" i="42"/>
  <c r="Z89" i="42"/>
  <c r="Z90" i="42"/>
  <c r="Z91" i="42"/>
  <c r="Z92" i="42"/>
  <c r="Z93" i="42"/>
  <c r="C33" i="30"/>
  <c r="AL40" i="6"/>
  <c r="AM40" i="6"/>
  <c r="AN40" i="6"/>
  <c r="AO40" i="6"/>
  <c r="AP40" i="6"/>
  <c r="AQ40" i="6"/>
  <c r="AI47" i="6"/>
  <c r="AG47" i="6"/>
  <c r="AE47" i="6"/>
  <c r="AF47" i="6"/>
  <c r="AB47" i="6"/>
  <c r="AA47" i="6"/>
  <c r="Z47" i="6"/>
  <c r="Y47" i="6"/>
  <c r="AI46" i="6"/>
  <c r="AG46" i="6"/>
  <c r="AE46" i="6"/>
  <c r="AF46" i="6"/>
  <c r="AB46" i="6"/>
  <c r="AA46" i="6"/>
  <c r="Z46" i="6"/>
  <c r="Y46" i="6"/>
  <c r="AI45" i="6"/>
  <c r="AG45" i="6"/>
  <c r="AE45" i="6"/>
  <c r="AF45" i="6"/>
  <c r="AB45" i="6"/>
  <c r="AA45" i="6"/>
  <c r="Z45" i="6"/>
  <c r="Y45" i="6"/>
  <c r="AI44" i="6"/>
  <c r="AG44" i="6"/>
  <c r="AE44" i="6"/>
  <c r="AF44" i="6"/>
  <c r="AB44" i="6"/>
  <c r="AA44" i="6"/>
  <c r="Z44" i="6"/>
  <c r="Y44" i="6"/>
  <c r="AI43" i="6"/>
  <c r="AG43" i="6"/>
  <c r="AE43" i="6"/>
  <c r="AF43" i="6"/>
  <c r="AB43" i="6"/>
  <c r="AA43" i="6"/>
  <c r="Z43" i="6"/>
  <c r="Y43" i="6"/>
  <c r="AI42" i="6"/>
  <c r="AG42" i="6"/>
  <c r="AE42" i="6"/>
  <c r="AF42" i="6"/>
  <c r="AB42" i="6"/>
  <c r="AA42" i="6"/>
  <c r="Z42" i="6"/>
  <c r="Y42" i="6"/>
  <c r="Z17" i="35"/>
  <c r="Z18" i="35"/>
  <c r="Z19" i="35"/>
  <c r="Z20" i="35"/>
  <c r="Z21" i="35"/>
  <c r="Z22" i="35"/>
  <c r="E57" i="35" a="1"/>
  <c r="E57" i="35"/>
  <c r="F57" i="35" a="1"/>
  <c r="F57" i="35"/>
  <c r="G57" i="35" a="1"/>
  <c r="H57" i="35" a="1"/>
  <c r="I57" i="35" a="1"/>
  <c r="J57" i="35" a="1"/>
  <c r="K57" i="35" a="1"/>
  <c r="L57" i="35" a="1"/>
  <c r="M57" i="35" a="1"/>
  <c r="N57" i="35" a="1"/>
  <c r="O57" i="35" a="1"/>
  <c r="P57" i="35" a="1"/>
  <c r="Q57" i="35" a="1"/>
  <c r="R57" i="35" a="1"/>
  <c r="S57" i="35" a="1"/>
  <c r="T57" i="35" a="1"/>
  <c r="U57" i="35" a="1"/>
  <c r="V57" i="35" a="1"/>
  <c r="W57" i="35" a="1"/>
  <c r="X57" i="35" a="1"/>
  <c r="Y57" i="35" a="1"/>
  <c r="Z57" i="35" a="1"/>
  <c r="AA57" i="35" a="1"/>
  <c r="AB57" i="35" a="1"/>
  <c r="AC57" i="35" a="1"/>
  <c r="AD57" i="35" a="1"/>
  <c r="AE57" i="35" a="1"/>
  <c r="AF57" i="35" a="1"/>
  <c r="AG57" i="35" a="1"/>
  <c r="AH57" i="35" a="1"/>
  <c r="AI57" i="35" a="1"/>
  <c r="AJ57" i="35" a="1"/>
  <c r="AK57" i="35" a="1"/>
  <c r="AL57" i="35" a="1"/>
  <c r="AM57" i="35" a="1"/>
  <c r="AN57" i="35" a="1"/>
  <c r="AO57" i="35" a="1"/>
  <c r="AP57" i="35" a="1"/>
  <c r="AQ57" i="35" a="1"/>
  <c r="AR57" i="35" a="1"/>
  <c r="AS57" i="35" a="1"/>
  <c r="AT57" i="35" a="1"/>
  <c r="AU57" i="35" a="1"/>
  <c r="AV57" i="35" a="1"/>
  <c r="AW57" i="35" a="1"/>
  <c r="AX57" i="35" a="1"/>
  <c r="AY57" i="35" a="1"/>
  <c r="AZ57" i="35" a="1"/>
  <c r="BA57" i="35" a="1"/>
  <c r="BB57" i="35" a="1"/>
  <c r="BC57" i="35" a="1"/>
  <c r="BD57" i="35" a="1"/>
  <c r="BE57" i="35" a="1"/>
  <c r="BF57" i="35" a="1"/>
  <c r="BG57" i="35" a="1"/>
  <c r="BH57" i="35" a="1"/>
  <c r="BI57" i="35" a="1"/>
  <c r="BJ57" i="35" a="1"/>
  <c r="BK57" i="35" a="1"/>
  <c r="BL57" i="35" a="1"/>
  <c r="BM57" i="35" a="1"/>
  <c r="BN57" i="35" a="1"/>
  <c r="BO57" i="35" a="1"/>
  <c r="BP57" i="35" a="1"/>
  <c r="G57" i="35"/>
  <c r="H57" i="35"/>
  <c r="I57" i="35"/>
  <c r="J57" i="35"/>
  <c r="K57" i="35"/>
  <c r="L57" i="35"/>
  <c r="M57" i="35"/>
  <c r="N57" i="35"/>
  <c r="O57" i="35"/>
  <c r="P57" i="35"/>
  <c r="Q57" i="35"/>
  <c r="R57" i="35"/>
  <c r="S57" i="35"/>
  <c r="T57" i="35"/>
  <c r="U57" i="35"/>
  <c r="V57" i="35"/>
  <c r="W57" i="35"/>
  <c r="X57" i="35"/>
  <c r="Y57" i="35"/>
  <c r="Z57" i="35"/>
  <c r="AA57" i="35"/>
  <c r="AB57" i="35"/>
  <c r="AC57" i="35"/>
  <c r="AD57" i="35"/>
  <c r="AE57" i="35"/>
  <c r="AF57" i="35"/>
  <c r="AG57" i="35"/>
  <c r="AH57" i="35"/>
  <c r="AI57" i="35"/>
  <c r="AJ57" i="35"/>
  <c r="AK57" i="35"/>
  <c r="AL57" i="35"/>
  <c r="AM57" i="35"/>
  <c r="AN57" i="35"/>
  <c r="AO57" i="35"/>
  <c r="AP57" i="35"/>
  <c r="AQ57" i="35"/>
  <c r="AR57" i="35"/>
  <c r="AS57" i="35"/>
  <c r="AT57" i="35"/>
  <c r="AU57" i="35"/>
  <c r="AV57" i="35"/>
  <c r="AW57" i="35"/>
  <c r="AX57" i="35"/>
  <c r="AY57" i="35"/>
  <c r="AZ57" i="35"/>
  <c r="BA57" i="35"/>
  <c r="BB57" i="35"/>
  <c r="BC57" i="35"/>
  <c r="BD57" i="35"/>
  <c r="BE57" i="35"/>
  <c r="BF57" i="35"/>
  <c r="BG57" i="35"/>
  <c r="BH57" i="35"/>
  <c r="BI57" i="35"/>
  <c r="BJ57" i="35"/>
  <c r="BK57" i="35"/>
  <c r="BL57" i="35"/>
  <c r="BM57" i="35"/>
  <c r="BN57" i="35"/>
  <c r="BO57" i="35"/>
  <c r="BP57" i="35"/>
  <c r="AC22" i="35"/>
  <c r="Z23" i="35"/>
  <c r="E58" i="35" a="1"/>
  <c r="E58" i="35"/>
  <c r="F58" i="35" a="1"/>
  <c r="F58" i="35"/>
  <c r="G58" i="35" a="1"/>
  <c r="H58" i="35" a="1"/>
  <c r="I58" i="35" a="1"/>
  <c r="J58" i="35" a="1"/>
  <c r="K58" i="35" a="1"/>
  <c r="L58" i="35" a="1"/>
  <c r="M58" i="35" a="1"/>
  <c r="N58" i="35" a="1"/>
  <c r="O58" i="35" a="1"/>
  <c r="P58" i="35" a="1"/>
  <c r="Q58" i="35" a="1"/>
  <c r="R58" i="35" a="1"/>
  <c r="S58" i="35" a="1"/>
  <c r="T58" i="35" a="1"/>
  <c r="U58" i="35" a="1"/>
  <c r="V58" i="35" a="1"/>
  <c r="W58" i="35" a="1"/>
  <c r="X58" i="35" a="1"/>
  <c r="Y58" i="35" a="1"/>
  <c r="Z58" i="35" a="1"/>
  <c r="AA58" i="35" a="1"/>
  <c r="AB58" i="35" a="1"/>
  <c r="AC58" i="35" a="1"/>
  <c r="AD58" i="35" a="1"/>
  <c r="AE58" i="35" a="1"/>
  <c r="AF58" i="35" a="1"/>
  <c r="AG58" i="35" a="1"/>
  <c r="AH58" i="35" a="1"/>
  <c r="AI58" i="35" a="1"/>
  <c r="AJ58" i="35" a="1"/>
  <c r="AK58" i="35" a="1"/>
  <c r="AL58" i="35" a="1"/>
  <c r="AM58" i="35" a="1"/>
  <c r="AN58" i="35" a="1"/>
  <c r="AO58" i="35" a="1"/>
  <c r="AP58" i="35" a="1"/>
  <c r="AQ58" i="35" a="1"/>
  <c r="AR58" i="35" a="1"/>
  <c r="AS58" i="35" a="1"/>
  <c r="AT58" i="35" a="1"/>
  <c r="AU58" i="35" a="1"/>
  <c r="AV58" i="35" a="1"/>
  <c r="AW58" i="35" a="1"/>
  <c r="AX58" i="35" a="1"/>
  <c r="AY58" i="35" a="1"/>
  <c r="AZ58" i="35" a="1"/>
  <c r="BA58" i="35" a="1"/>
  <c r="BB58" i="35" a="1"/>
  <c r="BC58" i="35" a="1"/>
  <c r="BD58" i="35" a="1"/>
  <c r="BE58" i="35" a="1"/>
  <c r="BF58" i="35" a="1"/>
  <c r="BG58" i="35" a="1"/>
  <c r="BH58" i="35" a="1"/>
  <c r="BI58" i="35" a="1"/>
  <c r="BJ58" i="35" a="1"/>
  <c r="BK58" i="35" a="1"/>
  <c r="BL58" i="35" a="1"/>
  <c r="BM58" i="35" a="1"/>
  <c r="BN58" i="35" a="1"/>
  <c r="BO58" i="35" a="1"/>
  <c r="BP58" i="35" a="1"/>
  <c r="G58" i="35"/>
  <c r="H58" i="35"/>
  <c r="I58" i="35"/>
  <c r="J58" i="35"/>
  <c r="K58" i="35"/>
  <c r="L58" i="35"/>
  <c r="M58" i="35"/>
  <c r="N58" i="35"/>
  <c r="O58" i="35"/>
  <c r="P58" i="35"/>
  <c r="Q58" i="35"/>
  <c r="R58" i="35"/>
  <c r="S58" i="35"/>
  <c r="T58" i="35"/>
  <c r="U58" i="35"/>
  <c r="V58" i="35"/>
  <c r="W58" i="35"/>
  <c r="X58" i="35"/>
  <c r="Y58" i="35"/>
  <c r="Z58" i="35"/>
  <c r="AA58" i="35"/>
  <c r="AB58" i="35"/>
  <c r="AC58" i="35"/>
  <c r="AD58" i="35"/>
  <c r="AE58" i="35"/>
  <c r="AF58" i="35"/>
  <c r="AG58" i="35"/>
  <c r="AH58" i="35"/>
  <c r="AI58" i="35"/>
  <c r="AJ58" i="35"/>
  <c r="AK58" i="35"/>
  <c r="AL58" i="35"/>
  <c r="AM58" i="35"/>
  <c r="AN58" i="35"/>
  <c r="AO58" i="35"/>
  <c r="AP58" i="35"/>
  <c r="AQ58" i="35"/>
  <c r="AR58" i="35"/>
  <c r="AS58" i="35"/>
  <c r="AT58" i="35"/>
  <c r="AU58" i="35"/>
  <c r="AV58" i="35"/>
  <c r="AW58" i="35"/>
  <c r="AX58" i="35"/>
  <c r="AY58" i="35"/>
  <c r="AZ58" i="35"/>
  <c r="BA58" i="35"/>
  <c r="BB58" i="35"/>
  <c r="BC58" i="35"/>
  <c r="BD58" i="35"/>
  <c r="BE58" i="35"/>
  <c r="BF58" i="35"/>
  <c r="BG58" i="35"/>
  <c r="BH58" i="35"/>
  <c r="BI58" i="35"/>
  <c r="BJ58" i="35"/>
  <c r="BK58" i="35"/>
  <c r="BL58" i="35"/>
  <c r="BM58" i="35"/>
  <c r="BN58" i="35"/>
  <c r="BO58" i="35"/>
  <c r="BP58" i="35"/>
  <c r="AC23" i="35"/>
  <c r="Z24" i="35"/>
  <c r="E59" i="35" a="1"/>
  <c r="E59" i="35"/>
  <c r="F59" i="35" a="1"/>
  <c r="F59" i="35"/>
  <c r="G59" i="35" a="1"/>
  <c r="H59" i="35" a="1"/>
  <c r="I59" i="35" a="1"/>
  <c r="J59" i="35" a="1"/>
  <c r="K59" i="35" a="1"/>
  <c r="L59" i="35" a="1"/>
  <c r="M59" i="35" a="1"/>
  <c r="N59" i="35" a="1"/>
  <c r="O59" i="35" a="1"/>
  <c r="P59" i="35" a="1"/>
  <c r="Q59" i="35" a="1"/>
  <c r="R59" i="35" a="1"/>
  <c r="S59" i="35" a="1"/>
  <c r="T59" i="35" a="1"/>
  <c r="U59" i="35" a="1"/>
  <c r="V59" i="35" a="1"/>
  <c r="W59" i="35" a="1"/>
  <c r="X59" i="35" a="1"/>
  <c r="Y59" i="35" a="1"/>
  <c r="Z59" i="35" a="1"/>
  <c r="AA59" i="35" a="1"/>
  <c r="AB59" i="35" a="1"/>
  <c r="AC59" i="35" a="1"/>
  <c r="AD59" i="35" a="1"/>
  <c r="AE59" i="35" a="1"/>
  <c r="AF59" i="35" a="1"/>
  <c r="AG59" i="35" a="1"/>
  <c r="AH59" i="35" a="1"/>
  <c r="AI59" i="35" a="1"/>
  <c r="AJ59" i="35" a="1"/>
  <c r="AK59" i="35" a="1"/>
  <c r="AL59" i="35" a="1"/>
  <c r="AM59" i="35" a="1"/>
  <c r="AN59" i="35" a="1"/>
  <c r="AO59" i="35" a="1"/>
  <c r="AP59" i="35" a="1"/>
  <c r="AQ59" i="35" a="1"/>
  <c r="AR59" i="35" a="1"/>
  <c r="AS59" i="35" a="1"/>
  <c r="AT59" i="35" a="1"/>
  <c r="AU59" i="35" a="1"/>
  <c r="AV59" i="35" a="1"/>
  <c r="AW59" i="35" a="1"/>
  <c r="AX59" i="35" a="1"/>
  <c r="AY59" i="35" a="1"/>
  <c r="AZ59" i="35" a="1"/>
  <c r="BA59" i="35" a="1"/>
  <c r="BB59" i="35" a="1"/>
  <c r="BC59" i="35" a="1"/>
  <c r="BD59" i="35" a="1"/>
  <c r="BE59" i="35" a="1"/>
  <c r="BF59" i="35" a="1"/>
  <c r="BG59" i="35" a="1"/>
  <c r="BH59" i="35" a="1"/>
  <c r="BI59" i="35" a="1"/>
  <c r="BJ59" i="35" a="1"/>
  <c r="BK59" i="35" a="1"/>
  <c r="BL59" i="35" a="1"/>
  <c r="BM59" i="35" a="1"/>
  <c r="BN59" i="35" a="1"/>
  <c r="BO59" i="35" a="1"/>
  <c r="BP59" i="35" a="1"/>
  <c r="G59" i="35"/>
  <c r="H59" i="35"/>
  <c r="I59" i="35"/>
  <c r="J59" i="35"/>
  <c r="K59" i="35"/>
  <c r="L59" i="35"/>
  <c r="M59" i="35"/>
  <c r="N59" i="35"/>
  <c r="O59" i="35"/>
  <c r="P59" i="35"/>
  <c r="Q59" i="35"/>
  <c r="R59" i="35"/>
  <c r="S59" i="35"/>
  <c r="T59" i="35"/>
  <c r="U59" i="35"/>
  <c r="V59" i="35"/>
  <c r="W59" i="35"/>
  <c r="X59" i="35"/>
  <c r="Y59" i="35"/>
  <c r="Z59" i="35"/>
  <c r="AA59" i="35"/>
  <c r="AB59" i="35"/>
  <c r="AC59" i="35"/>
  <c r="AD59" i="35"/>
  <c r="AE59" i="35"/>
  <c r="AF59" i="35"/>
  <c r="AG59" i="35"/>
  <c r="AH59" i="35"/>
  <c r="AI59" i="35"/>
  <c r="AJ59" i="35"/>
  <c r="AK59" i="35"/>
  <c r="AL59" i="35"/>
  <c r="AM59" i="35"/>
  <c r="AN59" i="35"/>
  <c r="AO59" i="35"/>
  <c r="AP59" i="35"/>
  <c r="AQ59" i="35"/>
  <c r="AR59" i="35"/>
  <c r="AS59" i="35"/>
  <c r="AT59" i="35"/>
  <c r="AU59" i="35"/>
  <c r="AV59" i="35"/>
  <c r="AW59" i="35"/>
  <c r="AX59" i="35"/>
  <c r="AY59" i="35"/>
  <c r="AZ59" i="35"/>
  <c r="BA59" i="35"/>
  <c r="BB59" i="35"/>
  <c r="BC59" i="35"/>
  <c r="BD59" i="35"/>
  <c r="BE59" i="35"/>
  <c r="BF59" i="35"/>
  <c r="BG59" i="35"/>
  <c r="BH59" i="35"/>
  <c r="BI59" i="35"/>
  <c r="BJ59" i="35"/>
  <c r="BK59" i="35"/>
  <c r="BL59" i="35"/>
  <c r="BM59" i="35"/>
  <c r="BN59" i="35"/>
  <c r="BO59" i="35"/>
  <c r="BP59" i="35"/>
  <c r="AC24" i="35"/>
  <c r="Z25" i="35"/>
  <c r="E60" i="35" a="1"/>
  <c r="E60" i="35"/>
  <c r="F60" i="35" a="1"/>
  <c r="F60" i="35"/>
  <c r="G60" i="35" a="1"/>
  <c r="H60" i="35" a="1"/>
  <c r="I60" i="35" a="1"/>
  <c r="J60" i="35" a="1"/>
  <c r="K60" i="35" a="1"/>
  <c r="L60" i="35" a="1"/>
  <c r="M60" i="35" a="1"/>
  <c r="N60" i="35" a="1"/>
  <c r="O60" i="35" a="1"/>
  <c r="P60" i="35" a="1"/>
  <c r="Q60" i="35" a="1"/>
  <c r="R60" i="35" a="1"/>
  <c r="S60" i="35" a="1"/>
  <c r="T60" i="35" a="1"/>
  <c r="U60" i="35" a="1"/>
  <c r="V60" i="35" a="1"/>
  <c r="W60" i="35" a="1"/>
  <c r="X60" i="35" a="1"/>
  <c r="Y60" i="35" a="1"/>
  <c r="Z60" i="35" a="1"/>
  <c r="AA60" i="35" a="1"/>
  <c r="AB60" i="35" a="1"/>
  <c r="AC60" i="35" a="1"/>
  <c r="AD60" i="35" a="1"/>
  <c r="AE60" i="35" a="1"/>
  <c r="AF60" i="35" a="1"/>
  <c r="AG60" i="35" a="1"/>
  <c r="AH60" i="35" a="1"/>
  <c r="AI60" i="35" a="1"/>
  <c r="AJ60" i="35" a="1"/>
  <c r="AK60" i="35" a="1"/>
  <c r="AL60" i="35" a="1"/>
  <c r="AM60" i="35" a="1"/>
  <c r="AN60" i="35" a="1"/>
  <c r="AO60" i="35" a="1"/>
  <c r="AP60" i="35" a="1"/>
  <c r="AQ60" i="35" a="1"/>
  <c r="AR60" i="35" a="1"/>
  <c r="AS60" i="35" a="1"/>
  <c r="AT60" i="35" a="1"/>
  <c r="AU60" i="35" a="1"/>
  <c r="AV60" i="35" a="1"/>
  <c r="AW60" i="35" a="1"/>
  <c r="AX60" i="35" a="1"/>
  <c r="AY60" i="35" a="1"/>
  <c r="AZ60" i="35" a="1"/>
  <c r="BA60" i="35" a="1"/>
  <c r="BB60" i="35" a="1"/>
  <c r="BC60" i="35" a="1"/>
  <c r="BD60" i="35" a="1"/>
  <c r="BE60" i="35" a="1"/>
  <c r="BF60" i="35" a="1"/>
  <c r="BG60" i="35" a="1"/>
  <c r="BH60" i="35" a="1"/>
  <c r="BI60" i="35" a="1"/>
  <c r="BJ60" i="35" a="1"/>
  <c r="BK60" i="35" a="1"/>
  <c r="BL60" i="35" a="1"/>
  <c r="BM60" i="35" a="1"/>
  <c r="BN60" i="35" a="1"/>
  <c r="BO60" i="35" a="1"/>
  <c r="BP60" i="35" a="1"/>
  <c r="G60" i="35"/>
  <c r="H60" i="35"/>
  <c r="I60" i="35"/>
  <c r="J60" i="35"/>
  <c r="K60" i="35"/>
  <c r="L60" i="35"/>
  <c r="M60" i="35"/>
  <c r="N60" i="35"/>
  <c r="O60" i="35"/>
  <c r="P60" i="35"/>
  <c r="Q60" i="35"/>
  <c r="R60" i="35"/>
  <c r="S60" i="35"/>
  <c r="T60" i="35"/>
  <c r="U60" i="35"/>
  <c r="V60" i="35"/>
  <c r="W60" i="35"/>
  <c r="X60" i="35"/>
  <c r="Y60" i="35"/>
  <c r="Z60" i="35"/>
  <c r="AA60" i="35"/>
  <c r="AB60" i="35"/>
  <c r="AC60" i="35"/>
  <c r="AD60" i="35"/>
  <c r="AE60" i="35"/>
  <c r="AF60" i="35"/>
  <c r="AG60" i="35"/>
  <c r="AH60" i="35"/>
  <c r="AI60" i="35"/>
  <c r="AJ60" i="35"/>
  <c r="AK60" i="35"/>
  <c r="AL60" i="35"/>
  <c r="AM60" i="35"/>
  <c r="AN60" i="35"/>
  <c r="AO60" i="35"/>
  <c r="AP60" i="35"/>
  <c r="AQ60" i="35"/>
  <c r="AR60" i="35"/>
  <c r="AS60" i="35"/>
  <c r="AT60" i="35"/>
  <c r="AU60" i="35"/>
  <c r="AV60" i="35"/>
  <c r="AW60" i="35"/>
  <c r="AX60" i="35"/>
  <c r="AY60" i="35"/>
  <c r="AZ60" i="35"/>
  <c r="BA60" i="35"/>
  <c r="BB60" i="35"/>
  <c r="BC60" i="35"/>
  <c r="BD60" i="35"/>
  <c r="BE60" i="35"/>
  <c r="BF60" i="35"/>
  <c r="BG60" i="35"/>
  <c r="BH60" i="35"/>
  <c r="BI60" i="35"/>
  <c r="BJ60" i="35"/>
  <c r="BK60" i="35"/>
  <c r="BL60" i="35"/>
  <c r="BM60" i="35"/>
  <c r="BN60" i="35"/>
  <c r="BO60" i="35"/>
  <c r="BP60" i="35"/>
  <c r="AC25" i="35"/>
  <c r="B14" i="49" a="1"/>
  <c r="B14" i="49"/>
  <c r="C14" i="49" a="1"/>
  <c r="C14" i="49"/>
  <c r="D14" i="49"/>
  <c r="B15" i="49" a="1"/>
  <c r="B15" i="49"/>
  <c r="C15" i="49" a="1"/>
  <c r="C15" i="49"/>
  <c r="D15" i="49"/>
  <c r="B16" i="49" a="1"/>
  <c r="B16" i="49"/>
  <c r="C16" i="49" a="1"/>
  <c r="C16" i="49"/>
  <c r="D16" i="49"/>
  <c r="B17" i="49" a="1"/>
  <c r="B17" i="49"/>
  <c r="C17" i="49" a="1"/>
  <c r="C17" i="49"/>
  <c r="D17" i="49"/>
  <c r="B18" i="49" a="1"/>
  <c r="B18" i="49"/>
  <c r="C18" i="49" a="1"/>
  <c r="C18" i="49"/>
  <c r="D18" i="49"/>
  <c r="B19" i="49" a="1"/>
  <c r="B19" i="49"/>
  <c r="C19" i="49" a="1"/>
  <c r="C19" i="49"/>
  <c r="D19" i="49"/>
  <c r="B20" i="49" a="1"/>
  <c r="B20" i="49"/>
  <c r="C20" i="49" a="1"/>
  <c r="C20" i="49"/>
  <c r="D20" i="49"/>
  <c r="B21" i="49" a="1"/>
  <c r="B21" i="49"/>
  <c r="C21" i="49" a="1"/>
  <c r="C21" i="49"/>
  <c r="D21" i="49"/>
  <c r="B22" i="49" a="1"/>
  <c r="B22" i="49"/>
  <c r="C22" i="49" a="1"/>
  <c r="C22" i="49"/>
  <c r="D22" i="49"/>
  <c r="B23" i="49" a="1"/>
  <c r="B23" i="49"/>
  <c r="C23" i="49" a="1"/>
  <c r="C23" i="49"/>
  <c r="D23" i="49"/>
  <c r="B24" i="49" a="1"/>
  <c r="B24" i="49"/>
  <c r="C24" i="49" a="1"/>
  <c r="C24" i="49"/>
  <c r="D24" i="49"/>
  <c r="B25" i="49" a="1"/>
  <c r="B25" i="49"/>
  <c r="C25" i="49" a="1"/>
  <c r="C25" i="49"/>
  <c r="D25" i="49"/>
  <c r="B26" i="49" a="1"/>
  <c r="B26" i="49"/>
  <c r="C26" i="49" a="1"/>
  <c r="C26" i="49"/>
  <c r="D26" i="49"/>
  <c r="B27" i="49" a="1"/>
  <c r="B27" i="49"/>
  <c r="C27" i="49" a="1"/>
  <c r="C27" i="49"/>
  <c r="D27" i="49"/>
  <c r="B28" i="49" a="1"/>
  <c r="B28" i="49"/>
  <c r="C28" i="49" a="1"/>
  <c r="C28" i="49"/>
  <c r="D28" i="49"/>
  <c r="B29" i="49" a="1"/>
  <c r="B29" i="49"/>
  <c r="C29" i="49" a="1"/>
  <c r="C29" i="49"/>
  <c r="D29" i="49"/>
  <c r="B30" i="49" a="1"/>
  <c r="B30" i="49"/>
  <c r="C30" i="49" a="1"/>
  <c r="C30" i="49"/>
  <c r="D30" i="49"/>
  <c r="B31" i="49" a="1"/>
  <c r="B31" i="49"/>
  <c r="C31" i="49" a="1"/>
  <c r="C31" i="49"/>
  <c r="D31" i="49"/>
  <c r="B32" i="49" a="1"/>
  <c r="B32" i="49"/>
  <c r="C32" i="49" a="1"/>
  <c r="C32" i="49"/>
  <c r="D32" i="49"/>
  <c r="B33" i="49" a="1"/>
  <c r="B33" i="49"/>
  <c r="C33" i="49" a="1"/>
  <c r="C33" i="49"/>
  <c r="D33" i="49"/>
  <c r="B34" i="49" a="1"/>
  <c r="B34" i="49"/>
  <c r="C34" i="49" a="1"/>
  <c r="C34" i="49"/>
  <c r="D34" i="49"/>
  <c r="B35" i="49" a="1"/>
  <c r="B35" i="49"/>
  <c r="C35" i="49" a="1"/>
  <c r="C35" i="49"/>
  <c r="D35" i="49"/>
  <c r="B36" i="49" a="1"/>
  <c r="B36" i="49"/>
  <c r="C36" i="49" a="1"/>
  <c r="C36" i="49"/>
  <c r="D36" i="49"/>
  <c r="B37" i="49" a="1"/>
  <c r="B37" i="49"/>
  <c r="C37" i="49" a="1"/>
  <c r="C37" i="49"/>
  <c r="D37" i="49"/>
  <c r="B38" i="49" a="1"/>
  <c r="B38" i="49"/>
  <c r="C38" i="49" a="1"/>
  <c r="C38" i="49"/>
  <c r="D38" i="49"/>
  <c r="B39" i="49" a="1"/>
  <c r="B39" i="49"/>
  <c r="C39" i="49" a="1"/>
  <c r="C39" i="49"/>
  <c r="D39" i="49"/>
  <c r="B40" i="49" a="1"/>
  <c r="B40" i="49"/>
  <c r="C40" i="49" a="1"/>
  <c r="C40" i="49"/>
  <c r="D40" i="49"/>
  <c r="B41" i="49" a="1"/>
  <c r="B41" i="49"/>
  <c r="C41" i="49" a="1"/>
  <c r="C41" i="49"/>
  <c r="D41" i="49"/>
  <c r="B42" i="49" a="1"/>
  <c r="B42" i="49"/>
  <c r="C42" i="49" a="1"/>
  <c r="C42" i="49"/>
  <c r="D42" i="49"/>
  <c r="B43" i="49" a="1"/>
  <c r="B43" i="49"/>
  <c r="C43" i="49" a="1"/>
  <c r="C43" i="49"/>
  <c r="D43" i="49"/>
  <c r="B44" i="49" a="1"/>
  <c r="B44" i="49"/>
  <c r="C44" i="49" a="1"/>
  <c r="C44" i="49"/>
  <c r="D44" i="49"/>
  <c r="B45" i="49" a="1"/>
  <c r="B45" i="49"/>
  <c r="C45" i="49" a="1"/>
  <c r="C45" i="49"/>
  <c r="D45" i="49"/>
  <c r="B46" i="49" a="1"/>
  <c r="B46" i="49"/>
  <c r="C46" i="49" a="1"/>
  <c r="C46" i="49"/>
  <c r="D46" i="49"/>
  <c r="D47" i="49"/>
  <c r="K5" i="30"/>
  <c r="K6" i="30"/>
  <c r="K7" i="30"/>
  <c r="K8" i="30"/>
  <c r="K9" i="30"/>
  <c r="K10" i="30"/>
  <c r="K11" i="30"/>
  <c r="K12" i="30"/>
  <c r="D18" i="30"/>
  <c r="D19" i="30"/>
  <c r="D20" i="30"/>
  <c r="L4" i="30"/>
  <c r="J4" i="30"/>
  <c r="K17" i="30"/>
  <c r="L17" i="30"/>
  <c r="E17" i="30"/>
  <c r="L5" i="30"/>
  <c r="E18" i="30"/>
  <c r="L6" i="30"/>
  <c r="E19" i="30"/>
  <c r="L7" i="30"/>
  <c r="E20" i="30"/>
  <c r="N7" i="30"/>
  <c r="G20" i="30"/>
  <c r="N6" i="30"/>
  <c r="G19" i="30"/>
  <c r="N5" i="30"/>
  <c r="G18" i="30"/>
  <c r="L12" i="30"/>
  <c r="N12" i="30"/>
  <c r="L11" i="30"/>
  <c r="N11" i="30"/>
  <c r="L10" i="30"/>
  <c r="N10" i="30"/>
  <c r="L9" i="30"/>
  <c r="N9" i="30"/>
  <c r="L8" i="30"/>
  <c r="N8" i="30"/>
  <c r="J5" i="30"/>
  <c r="K18" i="30"/>
  <c r="L18" i="30"/>
  <c r="J6" i="30"/>
  <c r="K19" i="30"/>
  <c r="L19" i="30"/>
  <c r="J7" i="30"/>
  <c r="K20" i="30"/>
  <c r="L20" i="30"/>
  <c r="J8" i="30"/>
  <c r="K21" i="30"/>
  <c r="L21" i="30"/>
  <c r="J9" i="30"/>
  <c r="K22" i="30"/>
  <c r="L22" i="30"/>
  <c r="J10" i="30"/>
  <c r="K23" i="30"/>
  <c r="L23" i="30"/>
  <c r="J11" i="30"/>
  <c r="K24" i="30"/>
  <c r="L24" i="30"/>
  <c r="J12" i="30"/>
  <c r="K25" i="30"/>
  <c r="L25" i="30"/>
  <c r="M17" i="30"/>
  <c r="N17" i="30" a="1"/>
  <c r="N17" i="30"/>
  <c r="O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M20" i="30"/>
  <c r="N20" i="30" a="1"/>
  <c r="N20" i="30"/>
  <c r="O20" i="30"/>
  <c r="E33" i="30" a="1"/>
  <c r="E33" i="30"/>
  <c r="F33" i="30" a="1"/>
  <c r="F33" i="30"/>
  <c r="G33" i="30" a="1"/>
  <c r="H33" i="30" a="1"/>
  <c r="I33" i="30" a="1"/>
  <c r="J33" i="30" a="1"/>
  <c r="K33" i="30" a="1"/>
  <c r="L33" i="30" a="1"/>
  <c r="P20" i="30"/>
  <c r="M33" i="30" a="1"/>
  <c r="N33" i="30" a="1"/>
  <c r="O33" i="30" a="1"/>
  <c r="P33" i="30" a="1"/>
  <c r="Q33" i="30" a="1"/>
  <c r="R33" i="30" a="1"/>
  <c r="S33" i="30" a="1"/>
  <c r="T33" i="30" a="1"/>
  <c r="Q20" i="30"/>
  <c r="U33" i="30" a="1"/>
  <c r="V33" i="30" a="1"/>
  <c r="W33" i="30" a="1"/>
  <c r="X33" i="30" a="1"/>
  <c r="Y33" i="30" a="1"/>
  <c r="Z33" i="30" a="1"/>
  <c r="AA33" i="30" a="1"/>
  <c r="AB33" i="30" a="1"/>
  <c r="R20" i="30"/>
  <c r="AC33" i="30" a="1"/>
  <c r="AD33" i="30" a="1"/>
  <c r="AE33" i="30" a="1"/>
  <c r="AF33" i="30" a="1"/>
  <c r="AG33" i="30" a="1"/>
  <c r="AH33" i="30" a="1"/>
  <c r="AI33" i="30" a="1"/>
  <c r="AJ33" i="30" a="1"/>
  <c r="S20" i="30"/>
  <c r="AK33" i="30" a="1"/>
  <c r="AL33" i="30" a="1"/>
  <c r="AM33" i="30" a="1"/>
  <c r="AN33" i="30" a="1"/>
  <c r="AO33" i="30" a="1"/>
  <c r="AP33" i="30" a="1"/>
  <c r="AQ33" i="30" a="1"/>
  <c r="AR33" i="30" a="1"/>
  <c r="T20" i="30"/>
  <c r="AS33" i="30" a="1"/>
  <c r="AT33" i="30" a="1"/>
  <c r="AU33" i="30" a="1"/>
  <c r="AV33" i="30" a="1"/>
  <c r="AW33" i="30" a="1"/>
  <c r="AX33" i="30" a="1"/>
  <c r="AY33" i="30" a="1"/>
  <c r="AZ33" i="30" a="1"/>
  <c r="U20" i="30"/>
  <c r="BA33" i="30" a="1"/>
  <c r="BB33" i="30" a="1"/>
  <c r="BC33" i="30" a="1"/>
  <c r="BD33" i="30" a="1"/>
  <c r="BE33" i="30" a="1"/>
  <c r="BF33" i="30" a="1"/>
  <c r="BG33" i="30" a="1"/>
  <c r="BH33" i="30" a="1"/>
  <c r="V20" i="30"/>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X17" i="30"/>
  <c r="X18" i="30"/>
  <c r="X19" i="30"/>
  <c r="X20" i="30"/>
  <c r="X21" i="30"/>
  <c r="X22" i="30"/>
  <c r="X23" i="30"/>
  <c r="X24" i="30"/>
  <c r="X25" i="30"/>
  <c r="E4" i="30"/>
  <c r="D4" i="30"/>
  <c r="E5" i="30"/>
  <c r="D5" i="30"/>
  <c r="E6" i="30"/>
  <c r="D6" i="30"/>
  <c r="E7" i="30"/>
  <c r="D7" i="30"/>
  <c r="E8" i="30"/>
  <c r="D8" i="30"/>
  <c r="E9" i="30"/>
  <c r="D9" i="30"/>
  <c r="E10" i="30"/>
  <c r="D10" i="30"/>
  <c r="E11" i="30"/>
  <c r="D11" i="30"/>
  <c r="E12" i="30"/>
  <c r="D12" i="30"/>
  <c r="C4" i="30"/>
  <c r="C5" i="30"/>
  <c r="C6" i="30"/>
  <c r="C7" i="30"/>
  <c r="C8" i="30"/>
  <c r="C9" i="30"/>
  <c r="C10" i="30"/>
  <c r="C11" i="30"/>
  <c r="C12" i="30"/>
  <c r="BK49" i="30" a="1"/>
  <c r="BK49" i="30"/>
  <c r="BJ49" i="30" a="1"/>
  <c r="BJ49" i="30"/>
  <c r="BI49" i="30" a="1"/>
  <c r="BI49" i="30"/>
  <c r="BD49" i="30" a="1"/>
  <c r="BD49" i="30"/>
  <c r="BC49" i="30" a="1"/>
  <c r="BC49" i="30"/>
  <c r="BB49" i="30" a="1"/>
  <c r="BB49" i="30"/>
  <c r="BA49" i="30" a="1"/>
  <c r="BA49" i="30"/>
  <c r="AV49" i="30" a="1"/>
  <c r="AV49" i="30"/>
  <c r="AU49" i="30" a="1"/>
  <c r="AU49" i="30"/>
  <c r="AT49" i="30" a="1"/>
  <c r="AT49" i="30"/>
  <c r="AS49" i="30" a="1"/>
  <c r="AS49" i="30"/>
  <c r="AN49" i="30" a="1"/>
  <c r="AN49" i="30"/>
  <c r="AM49" i="30" a="1"/>
  <c r="AM49" i="30"/>
  <c r="AL49" i="30" a="1"/>
  <c r="AL49" i="30"/>
  <c r="AK49" i="30" a="1"/>
  <c r="AK49" i="30"/>
  <c r="AF49" i="30" a="1"/>
  <c r="AF49" i="30"/>
  <c r="AE49" i="30" a="1"/>
  <c r="AE49" i="30"/>
  <c r="AD49" i="30" a="1"/>
  <c r="AD49" i="30"/>
  <c r="AC49" i="30" a="1"/>
  <c r="AC49" i="30"/>
  <c r="X49" i="30" a="1"/>
  <c r="X49" i="30"/>
  <c r="W49" i="30" a="1"/>
  <c r="W49" i="30"/>
  <c r="V49" i="30" a="1"/>
  <c r="V49" i="30"/>
  <c r="U49" i="30" a="1"/>
  <c r="U49" i="30"/>
  <c r="P49" i="30" a="1"/>
  <c r="P49" i="30"/>
  <c r="O49" i="30" a="1"/>
  <c r="O49" i="30"/>
  <c r="N49" i="30" a="1"/>
  <c r="N49" i="30"/>
  <c r="M49" i="30" a="1"/>
  <c r="M49" i="30"/>
  <c r="H49" i="30" a="1"/>
  <c r="H49" i="30"/>
  <c r="G49" i="30" a="1"/>
  <c r="G49" i="30"/>
  <c r="F49" i="30" a="1"/>
  <c r="F49" i="30"/>
  <c r="E49" i="30" a="1"/>
  <c r="E49" i="30"/>
  <c r="BK48" i="30" a="1"/>
  <c r="BK48" i="30"/>
  <c r="BJ48" i="30" a="1"/>
  <c r="BJ48" i="30"/>
  <c r="BI48" i="30" a="1"/>
  <c r="BI48" i="30"/>
  <c r="BD48" i="30" a="1"/>
  <c r="BD48" i="30"/>
  <c r="BC48" i="30" a="1"/>
  <c r="BC48" i="30"/>
  <c r="BB48" i="30" a="1"/>
  <c r="BB48" i="30"/>
  <c r="BA48" i="30" a="1"/>
  <c r="BA48" i="30"/>
  <c r="AV48" i="30" a="1"/>
  <c r="AV48" i="30"/>
  <c r="AU48" i="30" a="1"/>
  <c r="AU48" i="30"/>
  <c r="AT48" i="30" a="1"/>
  <c r="AT48" i="30"/>
  <c r="AS48" i="30" a="1"/>
  <c r="AS48" i="30"/>
  <c r="AN48" i="30" a="1"/>
  <c r="AN48" i="30"/>
  <c r="AM48" i="30" a="1"/>
  <c r="AM48" i="30"/>
  <c r="AL48" i="30" a="1"/>
  <c r="AL48" i="30"/>
  <c r="AK48" i="30" a="1"/>
  <c r="AK48" i="30"/>
  <c r="AF48" i="30" a="1"/>
  <c r="AF48" i="30"/>
  <c r="AE48" i="30" a="1"/>
  <c r="AE48" i="30"/>
  <c r="AD48" i="30" a="1"/>
  <c r="AD48" i="30"/>
  <c r="AC48" i="30" a="1"/>
  <c r="AC48" i="30"/>
  <c r="X48" i="30" a="1"/>
  <c r="X48" i="30"/>
  <c r="W48" i="30" a="1"/>
  <c r="W48" i="30"/>
  <c r="V48" i="30" a="1"/>
  <c r="V48" i="30"/>
  <c r="U48" i="30" a="1"/>
  <c r="U48" i="30"/>
  <c r="P48" i="30" a="1"/>
  <c r="P48" i="30"/>
  <c r="O48" i="30" a="1"/>
  <c r="O48" i="30"/>
  <c r="N48" i="30" a="1"/>
  <c r="N48" i="30"/>
  <c r="M48" i="30" a="1"/>
  <c r="M48" i="30"/>
  <c r="H48" i="30" a="1"/>
  <c r="H48" i="30"/>
  <c r="G48" i="30" a="1"/>
  <c r="G48" i="30"/>
  <c r="F48" i="30" a="1"/>
  <c r="F48" i="30"/>
  <c r="E48" i="30" a="1"/>
  <c r="E48" i="30"/>
  <c r="BK47" i="30" a="1"/>
  <c r="BK47" i="30"/>
  <c r="BJ47" i="30" a="1"/>
  <c r="BJ47" i="30"/>
  <c r="BI47" i="30" a="1"/>
  <c r="BI47" i="30"/>
  <c r="BD47" i="30" a="1"/>
  <c r="BD47" i="30"/>
  <c r="BC47" i="30" a="1"/>
  <c r="BC47" i="30"/>
  <c r="BB47" i="30" a="1"/>
  <c r="BB47" i="30"/>
  <c r="BA47" i="30" a="1"/>
  <c r="BA47" i="30"/>
  <c r="AV47" i="30" a="1"/>
  <c r="AV47" i="30"/>
  <c r="AU47" i="30" a="1"/>
  <c r="AU47" i="30"/>
  <c r="AT47" i="30" a="1"/>
  <c r="AT47" i="30"/>
  <c r="AS47" i="30" a="1"/>
  <c r="AS47" i="30"/>
  <c r="AN47" i="30" a="1"/>
  <c r="AN47" i="30"/>
  <c r="AM47" i="30" a="1"/>
  <c r="AM47" i="30"/>
  <c r="AL47" i="30" a="1"/>
  <c r="AL47" i="30"/>
  <c r="AK47" i="30" a="1"/>
  <c r="AK47" i="30"/>
  <c r="AF47" i="30" a="1"/>
  <c r="AF47" i="30"/>
  <c r="AE47" i="30" a="1"/>
  <c r="AE47" i="30"/>
  <c r="AD47" i="30" a="1"/>
  <c r="AD47" i="30"/>
  <c r="AC47" i="30" a="1"/>
  <c r="AC47" i="30"/>
  <c r="X47" i="30" a="1"/>
  <c r="X47" i="30"/>
  <c r="W47" i="30" a="1"/>
  <c r="W47" i="30"/>
  <c r="V47" i="30" a="1"/>
  <c r="V47" i="30"/>
  <c r="U47" i="30" a="1"/>
  <c r="U47" i="30"/>
  <c r="P47" i="30" a="1"/>
  <c r="P47" i="30"/>
  <c r="O47" i="30" a="1"/>
  <c r="O47" i="30"/>
  <c r="N47" i="30" a="1"/>
  <c r="N47" i="30"/>
  <c r="M47" i="30" a="1"/>
  <c r="M47" i="30"/>
  <c r="H47" i="30" a="1"/>
  <c r="H47" i="30"/>
  <c r="G47" i="30" a="1"/>
  <c r="G47" i="30"/>
  <c r="F47" i="30" a="1"/>
  <c r="F47" i="30"/>
  <c r="E47" i="30" a="1"/>
  <c r="E47" i="30"/>
  <c r="BK46" i="30" a="1"/>
  <c r="BK46" i="30"/>
  <c r="BJ46" i="30" a="1"/>
  <c r="BJ46" i="30"/>
  <c r="BI46" i="30" a="1"/>
  <c r="BI46" i="30"/>
  <c r="BD46" i="30" a="1"/>
  <c r="BD46" i="30"/>
  <c r="BC46" i="30" a="1"/>
  <c r="BC46" i="30"/>
  <c r="BB46" i="30" a="1"/>
  <c r="BB46" i="30"/>
  <c r="BA46" i="30" a="1"/>
  <c r="BA46" i="30"/>
  <c r="AV46" i="30" a="1"/>
  <c r="AV46" i="30"/>
  <c r="AU46" i="30" a="1"/>
  <c r="AU46" i="30"/>
  <c r="AT46" i="30" a="1"/>
  <c r="AT46" i="30"/>
  <c r="AS46" i="30" a="1"/>
  <c r="AS46" i="30"/>
  <c r="AN46" i="30" a="1"/>
  <c r="AN46" i="30"/>
  <c r="AM46" i="30" a="1"/>
  <c r="AM46" i="30"/>
  <c r="AL46" i="30" a="1"/>
  <c r="AL46" i="30"/>
  <c r="AK46" i="30" a="1"/>
  <c r="AK46" i="30"/>
  <c r="AF46" i="30" a="1"/>
  <c r="AF46" i="30"/>
  <c r="AE46" i="30" a="1"/>
  <c r="AE46" i="30"/>
  <c r="AD46" i="30" a="1"/>
  <c r="AD46" i="30"/>
  <c r="AC46" i="30" a="1"/>
  <c r="AC46" i="30"/>
  <c r="X46" i="30" a="1"/>
  <c r="X46" i="30"/>
  <c r="W46" i="30" a="1"/>
  <c r="W46" i="30"/>
  <c r="V46" i="30" a="1"/>
  <c r="V46" i="30"/>
  <c r="U46" i="30" a="1"/>
  <c r="U46" i="30"/>
  <c r="P46" i="30" a="1"/>
  <c r="P46" i="30"/>
  <c r="O46" i="30" a="1"/>
  <c r="O46" i="30"/>
  <c r="N46" i="30" a="1"/>
  <c r="N46" i="30"/>
  <c r="M46" i="30" a="1"/>
  <c r="M46" i="30"/>
  <c r="H46" i="30" a="1"/>
  <c r="H46" i="30"/>
  <c r="G46" i="30" a="1"/>
  <c r="G46" i="30"/>
  <c r="F46" i="30" a="1"/>
  <c r="F46" i="30"/>
  <c r="E46" i="30" a="1"/>
  <c r="E46" i="30"/>
  <c r="BK45" i="30" a="1"/>
  <c r="BK45" i="30"/>
  <c r="BJ45" i="30" a="1"/>
  <c r="BJ45" i="30"/>
  <c r="BI45" i="30" a="1"/>
  <c r="BI45" i="30"/>
  <c r="BD45" i="30" a="1"/>
  <c r="BD45" i="30"/>
  <c r="BC45" i="30" a="1"/>
  <c r="BC45" i="30"/>
  <c r="BB45" i="30" a="1"/>
  <c r="BB45" i="30"/>
  <c r="BA45" i="30" a="1"/>
  <c r="BA45" i="30"/>
  <c r="AV45" i="30" a="1"/>
  <c r="AV45" i="30"/>
  <c r="AU45" i="30" a="1"/>
  <c r="AU45" i="30"/>
  <c r="AT45" i="30" a="1"/>
  <c r="AT45" i="30"/>
  <c r="AS45" i="30" a="1"/>
  <c r="AS45" i="30"/>
  <c r="AN45" i="30" a="1"/>
  <c r="AN45" i="30"/>
  <c r="AM45" i="30" a="1"/>
  <c r="AM45" i="30"/>
  <c r="AL45" i="30" a="1"/>
  <c r="AL45" i="30"/>
  <c r="AK45" i="30" a="1"/>
  <c r="AK45" i="30"/>
  <c r="AF45" i="30" a="1"/>
  <c r="AF45" i="30"/>
  <c r="AE45" i="30" a="1"/>
  <c r="AE45" i="30"/>
  <c r="AD45" i="30" a="1"/>
  <c r="AD45" i="30"/>
  <c r="AC45" i="30" a="1"/>
  <c r="AC45" i="30"/>
  <c r="X45" i="30" a="1"/>
  <c r="X45" i="30"/>
  <c r="W45" i="30" a="1"/>
  <c r="W45" i="30"/>
  <c r="V45" i="30" a="1"/>
  <c r="V45" i="30"/>
  <c r="U45" i="30" a="1"/>
  <c r="U45" i="30"/>
  <c r="P45" i="30" a="1"/>
  <c r="P45" i="30"/>
  <c r="O45" i="30" a="1"/>
  <c r="O45" i="30"/>
  <c r="N45" i="30" a="1"/>
  <c r="N45" i="30"/>
  <c r="M45" i="30" a="1"/>
  <c r="M45" i="30"/>
  <c r="H45" i="30" a="1"/>
  <c r="H45" i="30"/>
  <c r="G45" i="30" a="1"/>
  <c r="G45" i="30"/>
  <c r="F45" i="30" a="1"/>
  <c r="F45" i="30"/>
  <c r="E45" i="30" a="1"/>
  <c r="E45" i="30"/>
  <c r="E34" i="30" a="1"/>
  <c r="E34" i="30"/>
  <c r="F34" i="30" a="1"/>
  <c r="F34" i="30"/>
  <c r="G34" i="30" a="1"/>
  <c r="G34" i="30"/>
  <c r="H34" i="30" a="1"/>
  <c r="H34" i="30"/>
  <c r="M34" i="30" a="1"/>
  <c r="M34" i="30"/>
  <c r="N34" i="30" a="1"/>
  <c r="N34" i="30"/>
  <c r="O34" i="30" a="1"/>
  <c r="O34" i="30"/>
  <c r="P34" i="30" a="1"/>
  <c r="P34" i="30"/>
  <c r="U34" i="30" a="1"/>
  <c r="U34" i="30"/>
  <c r="V34" i="30" a="1"/>
  <c r="V34" i="30"/>
  <c r="W34" i="30" a="1"/>
  <c r="W34" i="30"/>
  <c r="X34" i="30" a="1"/>
  <c r="X34" i="30"/>
  <c r="AC34" i="30" a="1"/>
  <c r="AC34" i="30"/>
  <c r="AD34" i="30" a="1"/>
  <c r="AD34" i="30"/>
  <c r="AE34" i="30" a="1"/>
  <c r="AE34" i="30"/>
  <c r="AF34" i="30" a="1"/>
  <c r="AF34" i="30"/>
  <c r="AK34" i="30" a="1"/>
  <c r="AK34" i="30"/>
  <c r="AL34" i="30" a="1"/>
  <c r="AL34" i="30"/>
  <c r="AM34" i="30" a="1"/>
  <c r="AM34" i="30"/>
  <c r="AN34" i="30" a="1"/>
  <c r="AN34" i="30"/>
  <c r="AS34" i="30" a="1"/>
  <c r="AS34" i="30"/>
  <c r="AT34" i="30" a="1"/>
  <c r="AT34" i="30"/>
  <c r="AU34" i="30" a="1"/>
  <c r="AU34" i="30"/>
  <c r="AV34" i="30" a="1"/>
  <c r="AV34" i="30"/>
  <c r="BA34" i="30" a="1"/>
  <c r="BA34" i="30"/>
  <c r="BB34" i="30" a="1"/>
  <c r="BB34" i="30"/>
  <c r="BC34" i="30" a="1"/>
  <c r="BC34" i="30"/>
  <c r="BD34" i="30" a="1"/>
  <c r="BD34" i="30"/>
  <c r="BI34" i="30" a="1"/>
  <c r="BI34" i="30"/>
  <c r="BJ34" i="30" a="1"/>
  <c r="BJ34" i="30"/>
  <c r="BK34" i="30" a="1"/>
  <c r="BK34" i="30"/>
  <c r="BL34" i="30" a="1"/>
  <c r="BL34" i="30"/>
  <c r="E35" i="30" a="1"/>
  <c r="E35" i="30"/>
  <c r="F35" i="30" a="1"/>
  <c r="F35" i="30"/>
  <c r="G35" i="30" a="1"/>
  <c r="G35" i="30"/>
  <c r="H35" i="30" a="1"/>
  <c r="H35" i="30"/>
  <c r="M35" i="30" a="1"/>
  <c r="M35" i="30"/>
  <c r="N35" i="30" a="1"/>
  <c r="N35" i="30"/>
  <c r="O35" i="30" a="1"/>
  <c r="O35" i="30"/>
  <c r="P35" i="30" a="1"/>
  <c r="P35" i="30"/>
  <c r="U35" i="30" a="1"/>
  <c r="U35" i="30"/>
  <c r="V35" i="30" a="1"/>
  <c r="V35" i="30"/>
  <c r="W35" i="30" a="1"/>
  <c r="W35" i="30"/>
  <c r="X35" i="30" a="1"/>
  <c r="X35" i="30"/>
  <c r="AC35" i="30" a="1"/>
  <c r="AC35" i="30"/>
  <c r="AD35" i="30" a="1"/>
  <c r="AD35" i="30"/>
  <c r="AE35" i="30" a="1"/>
  <c r="AE35" i="30"/>
  <c r="AF35" i="30" a="1"/>
  <c r="AF35" i="30"/>
  <c r="AK35" i="30" a="1"/>
  <c r="AK35" i="30"/>
  <c r="AL35" i="30" a="1"/>
  <c r="AL35" i="30"/>
  <c r="AM35" i="30" a="1"/>
  <c r="AM35" i="30"/>
  <c r="AN35" i="30" a="1"/>
  <c r="AN35" i="30"/>
  <c r="AS35" i="30" a="1"/>
  <c r="AS35" i="30"/>
  <c r="AT35" i="30" a="1"/>
  <c r="AT35" i="30"/>
  <c r="AU35" i="30" a="1"/>
  <c r="AU35" i="30"/>
  <c r="AV35" i="30" a="1"/>
  <c r="AV35" i="30"/>
  <c r="BA35" i="30" a="1"/>
  <c r="BA35" i="30"/>
  <c r="BB35" i="30" a="1"/>
  <c r="BB35" i="30"/>
  <c r="BC35" i="30" a="1"/>
  <c r="BC35" i="30"/>
  <c r="BD35" i="30" a="1"/>
  <c r="BD35" i="30"/>
  <c r="BI35" i="30" a="1"/>
  <c r="BI35" i="30"/>
  <c r="BJ35" i="30" a="1"/>
  <c r="BJ35" i="30"/>
  <c r="BK35" i="30" a="1"/>
  <c r="BK35" i="30"/>
  <c r="BL35" i="30" a="1"/>
  <c r="BL35" i="30"/>
  <c r="E36" i="30" a="1"/>
  <c r="E36" i="30"/>
  <c r="F36" i="30" a="1"/>
  <c r="F36" i="30"/>
  <c r="G36" i="30" a="1"/>
  <c r="G36" i="30"/>
  <c r="H36" i="30" a="1"/>
  <c r="H36" i="30"/>
  <c r="M36" i="30" a="1"/>
  <c r="M36" i="30"/>
  <c r="N36" i="30" a="1"/>
  <c r="N36" i="30"/>
  <c r="O36" i="30" a="1"/>
  <c r="O36" i="30"/>
  <c r="P36" i="30" a="1"/>
  <c r="P36" i="30"/>
  <c r="U36" i="30" a="1"/>
  <c r="U36" i="30"/>
  <c r="V36" i="30" a="1"/>
  <c r="V36" i="30"/>
  <c r="W36" i="30" a="1"/>
  <c r="W36" i="30"/>
  <c r="X36" i="30" a="1"/>
  <c r="X36" i="30"/>
  <c r="AC36" i="30" a="1"/>
  <c r="AC36" i="30"/>
  <c r="AD36" i="30" a="1"/>
  <c r="AD36" i="30"/>
  <c r="AE36" i="30" a="1"/>
  <c r="AE36" i="30"/>
  <c r="AF36" i="30" a="1"/>
  <c r="AF36" i="30"/>
  <c r="AK36" i="30" a="1"/>
  <c r="AK36" i="30"/>
  <c r="AL36" i="30" a="1"/>
  <c r="AL36" i="30"/>
  <c r="AM36" i="30" a="1"/>
  <c r="AM36" i="30"/>
  <c r="AN36" i="30" a="1"/>
  <c r="AN36" i="30"/>
  <c r="AS36" i="30" a="1"/>
  <c r="AS36" i="30"/>
  <c r="AT36" i="30" a="1"/>
  <c r="AT36" i="30"/>
  <c r="AU36" i="30" a="1"/>
  <c r="AU36" i="30"/>
  <c r="AV36" i="30" a="1"/>
  <c r="AV36" i="30"/>
  <c r="BA36" i="30" a="1"/>
  <c r="BA36" i="30"/>
  <c r="BB36" i="30" a="1"/>
  <c r="BB36" i="30"/>
  <c r="BC36" i="30" a="1"/>
  <c r="BC36" i="30"/>
  <c r="BD36" i="30" a="1"/>
  <c r="BD36" i="30"/>
  <c r="BI36" i="30" a="1"/>
  <c r="BI36" i="30"/>
  <c r="BJ36" i="30" a="1"/>
  <c r="BJ36" i="30"/>
  <c r="BK36" i="30" a="1"/>
  <c r="BK36" i="30"/>
  <c r="BL36" i="30" a="1"/>
  <c r="BL36" i="30"/>
  <c r="E37" i="30" a="1"/>
  <c r="E37" i="30"/>
  <c r="F37" i="30" a="1"/>
  <c r="F37" i="30"/>
  <c r="G37" i="30" a="1"/>
  <c r="G37" i="30"/>
  <c r="H37" i="30" a="1"/>
  <c r="H37" i="30"/>
  <c r="M37" i="30" a="1"/>
  <c r="M37" i="30"/>
  <c r="N37" i="30" a="1"/>
  <c r="N37" i="30"/>
  <c r="O37" i="30" a="1"/>
  <c r="O37" i="30"/>
  <c r="P37" i="30" a="1"/>
  <c r="P37" i="30"/>
  <c r="U37" i="30" a="1"/>
  <c r="U37" i="30"/>
  <c r="V37" i="30" a="1"/>
  <c r="V37" i="30"/>
  <c r="W37" i="30" a="1"/>
  <c r="W37" i="30"/>
  <c r="X37" i="30" a="1"/>
  <c r="X37" i="30"/>
  <c r="AC37" i="30" a="1"/>
  <c r="AC37" i="30"/>
  <c r="AD37" i="30" a="1"/>
  <c r="AD37" i="30"/>
  <c r="AE37" i="30" a="1"/>
  <c r="AE37" i="30"/>
  <c r="AF37" i="30" a="1"/>
  <c r="AF37" i="30"/>
  <c r="AK37" i="30" a="1"/>
  <c r="AK37" i="30"/>
  <c r="AL37" i="30" a="1"/>
  <c r="AL37" i="30"/>
  <c r="AM37" i="30" a="1"/>
  <c r="AM37" i="30"/>
  <c r="AN37" i="30" a="1"/>
  <c r="AN37" i="30"/>
  <c r="AS37" i="30" a="1"/>
  <c r="AS37" i="30"/>
  <c r="AT37" i="30" a="1"/>
  <c r="AT37" i="30"/>
  <c r="AU37" i="30" a="1"/>
  <c r="AU37" i="30"/>
  <c r="AV37" i="30" a="1"/>
  <c r="AV37" i="30"/>
  <c r="BA37" i="30" a="1"/>
  <c r="BA37" i="30"/>
  <c r="BB37" i="30" a="1"/>
  <c r="BB37" i="30"/>
  <c r="BC37" i="30" a="1"/>
  <c r="BC37" i="30"/>
  <c r="BD37" i="30" a="1"/>
  <c r="BD37" i="30"/>
  <c r="BI37" i="30" a="1"/>
  <c r="BI37" i="30"/>
  <c r="BJ37" i="30" a="1"/>
  <c r="BJ37" i="30"/>
  <c r="BK37" i="30" a="1"/>
  <c r="BK37" i="30"/>
  <c r="BL37" i="30" a="1"/>
  <c r="BL37" i="30"/>
  <c r="E38" i="30" a="1"/>
  <c r="E38" i="30"/>
  <c r="F38" i="30" a="1"/>
  <c r="F38" i="30"/>
  <c r="G38" i="30" a="1"/>
  <c r="G38" i="30"/>
  <c r="H38" i="30" a="1"/>
  <c r="H38" i="30"/>
  <c r="M38" i="30" a="1"/>
  <c r="M38" i="30"/>
  <c r="N38" i="30" a="1"/>
  <c r="N38" i="30"/>
  <c r="O38" i="30" a="1"/>
  <c r="O38" i="30"/>
  <c r="P38" i="30" a="1"/>
  <c r="P38" i="30"/>
  <c r="U38" i="30" a="1"/>
  <c r="U38" i="30"/>
  <c r="V38" i="30" a="1"/>
  <c r="V38" i="30"/>
  <c r="W38" i="30" a="1"/>
  <c r="W38" i="30"/>
  <c r="X38" i="30" a="1"/>
  <c r="X38" i="30"/>
  <c r="AC38" i="30" a="1"/>
  <c r="AC38" i="30"/>
  <c r="AD38" i="30" a="1"/>
  <c r="AD38" i="30"/>
  <c r="AE38" i="30" a="1"/>
  <c r="AE38" i="30"/>
  <c r="AF38" i="30" a="1"/>
  <c r="AF38" i="30"/>
  <c r="AK38" i="30" a="1"/>
  <c r="AK38" i="30"/>
  <c r="AL38" i="30" a="1"/>
  <c r="AL38" i="30"/>
  <c r="AM38" i="30" a="1"/>
  <c r="AM38" i="30"/>
  <c r="AN38" i="30" a="1"/>
  <c r="AN38" i="30"/>
  <c r="AS38" i="30" a="1"/>
  <c r="AS38" i="30"/>
  <c r="AT38" i="30" a="1"/>
  <c r="AT38" i="30"/>
  <c r="AU38" i="30" a="1"/>
  <c r="AU38" i="30"/>
  <c r="AV38" i="30" a="1"/>
  <c r="AV38" i="30"/>
  <c r="BA38" i="30" a="1"/>
  <c r="BA38" i="30"/>
  <c r="BB38" i="30" a="1"/>
  <c r="BB38" i="30"/>
  <c r="BC38" i="30" a="1"/>
  <c r="BC38" i="30"/>
  <c r="BD38" i="30" a="1"/>
  <c r="BD38" i="30"/>
  <c r="BI38" i="30" a="1"/>
  <c r="BI38" i="30"/>
  <c r="BJ38" i="30" a="1"/>
  <c r="BJ38" i="30"/>
  <c r="BK38" i="30" a="1"/>
  <c r="BK38" i="30"/>
  <c r="BL38" i="30" a="1"/>
  <c r="BL38" i="30"/>
  <c r="Z17" i="30"/>
  <c r="Z18" i="30"/>
  <c r="Z19" i="30"/>
  <c r="Z20" i="30"/>
  <c r="M21" i="30"/>
  <c r="N21" i="30" a="1"/>
  <c r="N21" i="30"/>
  <c r="Z21" i="30"/>
  <c r="M22" i="30"/>
  <c r="N22" i="30" a="1"/>
  <c r="N22" i="30"/>
  <c r="Z22" i="30"/>
  <c r="M23" i="30"/>
  <c r="N23" i="30" a="1"/>
  <c r="N23" i="30"/>
  <c r="Z23" i="30"/>
  <c r="M24" i="30"/>
  <c r="N24" i="30" a="1"/>
  <c r="N24" i="30"/>
  <c r="Z24" i="30"/>
  <c r="M25" i="30"/>
  <c r="N25" i="30" a="1"/>
  <c r="N25" i="30"/>
  <c r="Z25" i="30"/>
  <c r="E45" i="31" a="1"/>
  <c r="E45" i="31"/>
  <c r="F45" i="31" a="1"/>
  <c r="F45" i="31"/>
  <c r="G45" i="31" a="1"/>
  <c r="G45" i="31"/>
  <c r="H45" i="31" a="1"/>
  <c r="H45" i="31"/>
  <c r="I45" i="31" a="1"/>
  <c r="I45" i="31"/>
  <c r="J45" i="31" a="1"/>
  <c r="J45" i="31"/>
  <c r="K45" i="31" a="1"/>
  <c r="K45" i="31"/>
  <c r="L45" i="31" a="1"/>
  <c r="L45" i="31"/>
  <c r="M45" i="31" a="1"/>
  <c r="M45" i="31"/>
  <c r="N45" i="31" a="1"/>
  <c r="N45" i="31"/>
  <c r="O45" i="31" a="1"/>
  <c r="O45" i="31"/>
  <c r="P45" i="31" a="1"/>
  <c r="P45" i="31"/>
  <c r="Q45" i="31" a="1"/>
  <c r="Q45" i="31"/>
  <c r="R45" i="31" a="1"/>
  <c r="R45" i="31"/>
  <c r="S45" i="31" a="1"/>
  <c r="S45" i="31"/>
  <c r="T45" i="31" a="1"/>
  <c r="T45" i="31"/>
  <c r="U45" i="31" a="1"/>
  <c r="U45" i="31"/>
  <c r="V45" i="31" a="1"/>
  <c r="V45" i="31"/>
  <c r="W45" i="31" a="1"/>
  <c r="W45" i="31"/>
  <c r="X45" i="31" a="1"/>
  <c r="X45" i="31"/>
  <c r="Y45" i="31" a="1"/>
  <c r="Y45" i="31"/>
  <c r="Z45" i="31" a="1"/>
  <c r="Z45" i="31"/>
  <c r="AA45" i="31" a="1"/>
  <c r="AA45" i="31"/>
  <c r="AB45" i="31" a="1"/>
  <c r="AB45" i="31"/>
  <c r="AC45" i="31" a="1"/>
  <c r="AC45" i="31"/>
  <c r="AD45" i="31" a="1"/>
  <c r="AD45" i="31"/>
  <c r="AE45" i="31" a="1"/>
  <c r="AE45" i="31"/>
  <c r="AF45" i="31" a="1"/>
  <c r="AF45" i="31"/>
  <c r="AG45" i="31" a="1"/>
  <c r="AG45" i="31"/>
  <c r="AH45" i="31" a="1"/>
  <c r="AH45" i="31"/>
  <c r="AI45" i="31" a="1"/>
  <c r="AI45" i="31"/>
  <c r="AJ45" i="31" a="1"/>
  <c r="AJ45" i="31"/>
  <c r="AK45" i="31" a="1"/>
  <c r="AK45" i="31"/>
  <c r="AL45" i="31" a="1"/>
  <c r="AL45" i="31"/>
  <c r="AM45" i="31" a="1"/>
  <c r="AM45" i="31"/>
  <c r="AN45" i="31" a="1"/>
  <c r="AN45" i="31"/>
  <c r="AO45" i="31" a="1"/>
  <c r="AO45" i="31"/>
  <c r="AP45" i="31" a="1"/>
  <c r="AP45" i="31"/>
  <c r="AQ45" i="31" a="1"/>
  <c r="AQ45" i="31"/>
  <c r="AR45" i="31" a="1"/>
  <c r="AR45" i="31"/>
  <c r="AS45" i="31" a="1"/>
  <c r="AS45" i="31"/>
  <c r="AT45" i="31" a="1"/>
  <c r="AT45" i="31"/>
  <c r="AU45" i="31" a="1"/>
  <c r="AU45" i="31"/>
  <c r="AV45" i="31" a="1"/>
  <c r="AV45" i="31"/>
  <c r="AW45" i="31" a="1"/>
  <c r="AW45" i="31"/>
  <c r="AX45" i="31" a="1"/>
  <c r="AX45" i="31"/>
  <c r="AY45" i="31" a="1"/>
  <c r="AY45" i="31"/>
  <c r="AZ45" i="31" a="1"/>
  <c r="AZ45" i="31"/>
  <c r="BA45" i="31" a="1"/>
  <c r="BA45" i="31"/>
  <c r="BB45" i="31" a="1"/>
  <c r="BB45" i="31"/>
  <c r="BC45" i="31" a="1"/>
  <c r="BC45" i="31"/>
  <c r="BD45" i="31" a="1"/>
  <c r="BD45" i="31"/>
  <c r="BE45" i="31" a="1"/>
  <c r="BE45" i="31"/>
  <c r="BF45" i="31" a="1"/>
  <c r="BF45" i="31"/>
  <c r="BG45" i="31" a="1"/>
  <c r="BG45" i="31"/>
  <c r="BH45" i="31" a="1"/>
  <c r="BH45" i="31"/>
  <c r="BI45" i="31" a="1"/>
  <c r="BI45" i="31"/>
  <c r="BJ45" i="31" a="1"/>
  <c r="BJ45" i="31"/>
  <c r="BK45" i="31" a="1"/>
  <c r="BK45" i="31"/>
  <c r="BL45" i="31" a="1"/>
  <c r="BL45" i="31"/>
  <c r="BM45" i="31" a="1"/>
  <c r="BM45" i="31"/>
  <c r="BN45" i="31" a="1"/>
  <c r="BN45" i="31"/>
  <c r="BO45" i="31" a="1"/>
  <c r="BO45" i="31"/>
  <c r="BP45" i="31" a="1"/>
  <c r="BP45" i="31"/>
  <c r="E46" i="31" a="1"/>
  <c r="E46" i="31"/>
  <c r="F46" i="31" a="1"/>
  <c r="F46" i="31"/>
  <c r="G46" i="31" a="1"/>
  <c r="G46" i="31"/>
  <c r="H46" i="31" a="1"/>
  <c r="H46" i="31"/>
  <c r="I46" i="31" a="1"/>
  <c r="I46" i="31"/>
  <c r="J46" i="31" a="1"/>
  <c r="J46" i="31"/>
  <c r="K46" i="31" a="1"/>
  <c r="K46" i="31"/>
  <c r="L46" i="31" a="1"/>
  <c r="L46" i="31"/>
  <c r="M46" i="31" a="1"/>
  <c r="M46" i="31"/>
  <c r="N46" i="31" a="1"/>
  <c r="N46" i="31"/>
  <c r="O46" i="31" a="1"/>
  <c r="O46" i="31"/>
  <c r="P46" i="31" a="1"/>
  <c r="P46" i="31"/>
  <c r="Q46" i="31" a="1"/>
  <c r="Q46" i="31"/>
  <c r="R46" i="31" a="1"/>
  <c r="R46" i="31"/>
  <c r="S46" i="31" a="1"/>
  <c r="S46" i="31"/>
  <c r="T46" i="31" a="1"/>
  <c r="T46" i="31"/>
  <c r="U46" i="31" a="1"/>
  <c r="U46" i="31"/>
  <c r="V46" i="31" a="1"/>
  <c r="V46" i="31"/>
  <c r="W46" i="31" a="1"/>
  <c r="W46" i="31"/>
  <c r="X46" i="31" a="1"/>
  <c r="X46" i="31"/>
  <c r="Y46" i="31" a="1"/>
  <c r="Y46" i="31"/>
  <c r="Z46" i="31" a="1"/>
  <c r="Z46" i="31"/>
  <c r="AA46" i="31" a="1"/>
  <c r="AA46" i="31"/>
  <c r="AB46" i="31" a="1"/>
  <c r="AB46" i="31"/>
  <c r="AC46" i="31" a="1"/>
  <c r="AC46" i="31"/>
  <c r="AD46" i="31" a="1"/>
  <c r="AD46" i="31"/>
  <c r="AE46" i="31" a="1"/>
  <c r="AE46" i="31"/>
  <c r="AF46" i="31" a="1"/>
  <c r="AF46" i="31"/>
  <c r="AG46" i="31" a="1"/>
  <c r="AG46" i="31"/>
  <c r="AH46" i="31" a="1"/>
  <c r="AH46" i="31"/>
  <c r="AI46" i="31" a="1"/>
  <c r="AI46" i="31"/>
  <c r="AJ46" i="31" a="1"/>
  <c r="AJ46" i="31"/>
  <c r="AK46" i="31" a="1"/>
  <c r="AK46" i="31"/>
  <c r="AL46" i="31" a="1"/>
  <c r="AL46" i="31"/>
  <c r="AM46" i="31" a="1"/>
  <c r="AM46" i="31"/>
  <c r="AN46" i="31" a="1"/>
  <c r="AN46" i="31"/>
  <c r="AO46" i="31" a="1"/>
  <c r="AO46" i="31"/>
  <c r="AP46" i="31" a="1"/>
  <c r="AP46" i="31"/>
  <c r="AQ46" i="31" a="1"/>
  <c r="AQ46" i="31"/>
  <c r="AR46" i="31" a="1"/>
  <c r="AR46" i="31"/>
  <c r="AS46" i="31" a="1"/>
  <c r="AS46" i="31"/>
  <c r="AT46" i="31" a="1"/>
  <c r="AT46" i="31"/>
  <c r="AU46" i="31" a="1"/>
  <c r="AU46" i="31"/>
  <c r="AV46" i="31" a="1"/>
  <c r="AV46" i="31"/>
  <c r="AW46" i="31" a="1"/>
  <c r="AW46" i="31"/>
  <c r="AX46" i="31" a="1"/>
  <c r="AX46" i="31"/>
  <c r="AY46" i="31" a="1"/>
  <c r="AY46" i="31"/>
  <c r="AZ46" i="31" a="1"/>
  <c r="AZ46" i="31"/>
  <c r="BA46" i="31" a="1"/>
  <c r="BA46" i="31"/>
  <c r="BB46" i="31" a="1"/>
  <c r="BB46" i="31"/>
  <c r="BC46" i="31" a="1"/>
  <c r="BC46" i="31"/>
  <c r="BD46" i="31" a="1"/>
  <c r="BD46" i="31"/>
  <c r="BE46" i="31" a="1"/>
  <c r="BE46" i="31"/>
  <c r="BF46" i="31" a="1"/>
  <c r="BF46" i="31"/>
  <c r="BG46" i="31" a="1"/>
  <c r="BG46" i="31"/>
  <c r="BH46" i="31" a="1"/>
  <c r="BH46" i="31"/>
  <c r="BI46" i="31" a="1"/>
  <c r="BI46" i="31"/>
  <c r="BJ46" i="31" a="1"/>
  <c r="BJ46" i="31"/>
  <c r="BK46" i="31" a="1"/>
  <c r="BK46" i="31"/>
  <c r="BL46" i="31" a="1"/>
  <c r="BL46" i="31"/>
  <c r="BM46" i="31" a="1"/>
  <c r="BM46" i="31"/>
  <c r="BN46" i="31" a="1"/>
  <c r="BN46" i="31"/>
  <c r="BO46" i="31" a="1"/>
  <c r="BO46" i="31"/>
  <c r="BP46" i="31" a="1"/>
  <c r="BP46" i="31"/>
  <c r="E47" i="31" a="1"/>
  <c r="E47" i="31"/>
  <c r="F47" i="31" a="1"/>
  <c r="F47" i="31"/>
  <c r="G47" i="31" a="1"/>
  <c r="G47" i="31"/>
  <c r="H47" i="31" a="1"/>
  <c r="H47" i="31"/>
  <c r="I47" i="31" a="1"/>
  <c r="I47" i="31"/>
  <c r="J47" i="31" a="1"/>
  <c r="J47" i="31"/>
  <c r="K47" i="31" a="1"/>
  <c r="K47" i="31"/>
  <c r="L47" i="31" a="1"/>
  <c r="L47" i="31"/>
  <c r="M47" i="31" a="1"/>
  <c r="M47" i="31"/>
  <c r="N47" i="31" a="1"/>
  <c r="N47" i="31"/>
  <c r="O47" i="31" a="1"/>
  <c r="O47" i="31"/>
  <c r="P47" i="31" a="1"/>
  <c r="P47" i="31"/>
  <c r="Q47" i="31" a="1"/>
  <c r="Q47" i="31"/>
  <c r="R47" i="31" a="1"/>
  <c r="R47" i="31"/>
  <c r="S47" i="31" a="1"/>
  <c r="S47" i="31"/>
  <c r="T47" i="31" a="1"/>
  <c r="T47" i="31"/>
  <c r="U47" i="31" a="1"/>
  <c r="U47" i="31"/>
  <c r="V47" i="31" a="1"/>
  <c r="V47" i="31"/>
  <c r="W47" i="31" a="1"/>
  <c r="W47" i="31"/>
  <c r="X47" i="31" a="1"/>
  <c r="X47" i="31"/>
  <c r="Y47" i="31" a="1"/>
  <c r="Y47" i="31"/>
  <c r="Z47" i="31" a="1"/>
  <c r="Z47" i="31"/>
  <c r="AA47" i="31" a="1"/>
  <c r="AA47" i="31"/>
  <c r="AB47" i="31" a="1"/>
  <c r="AB47" i="31"/>
  <c r="AC47" i="31" a="1"/>
  <c r="AC47" i="31"/>
  <c r="AD47" i="31" a="1"/>
  <c r="AD47" i="31"/>
  <c r="AE47" i="31" a="1"/>
  <c r="AE47" i="31"/>
  <c r="AF47" i="31" a="1"/>
  <c r="AF47" i="31"/>
  <c r="AG47" i="31" a="1"/>
  <c r="AG47" i="31"/>
  <c r="AH47" i="31" a="1"/>
  <c r="AH47" i="31"/>
  <c r="AI47" i="31" a="1"/>
  <c r="AI47" i="31"/>
  <c r="AJ47" i="31" a="1"/>
  <c r="AJ47" i="31"/>
  <c r="AK47" i="31" a="1"/>
  <c r="AK47" i="31"/>
  <c r="AL47" i="31" a="1"/>
  <c r="AL47" i="31"/>
  <c r="AM47" i="31" a="1"/>
  <c r="AM47" i="31"/>
  <c r="AN47" i="31" a="1"/>
  <c r="AN47" i="31"/>
  <c r="AO47" i="31" a="1"/>
  <c r="AO47" i="31"/>
  <c r="AP47" i="31" a="1"/>
  <c r="AP47" i="31"/>
  <c r="AQ47" i="31" a="1"/>
  <c r="AQ47" i="31"/>
  <c r="AR47" i="31" a="1"/>
  <c r="AR47" i="31"/>
  <c r="AS47" i="31" a="1"/>
  <c r="AS47" i="31"/>
  <c r="AT47" i="31" a="1"/>
  <c r="AT47" i="31"/>
  <c r="AU47" i="31" a="1"/>
  <c r="AU47" i="31"/>
  <c r="AV47" i="31" a="1"/>
  <c r="AV47" i="31"/>
  <c r="AW47" i="31" a="1"/>
  <c r="AW47" i="31"/>
  <c r="AX47" i="31" a="1"/>
  <c r="AX47" i="31"/>
  <c r="AY47" i="31" a="1"/>
  <c r="AY47" i="31"/>
  <c r="AZ47" i="31" a="1"/>
  <c r="AZ47" i="31"/>
  <c r="BA47" i="31" a="1"/>
  <c r="BA47" i="31"/>
  <c r="BB47" i="31" a="1"/>
  <c r="BB47" i="31"/>
  <c r="BC47" i="31" a="1"/>
  <c r="BC47" i="31"/>
  <c r="BD47" i="31" a="1"/>
  <c r="BD47" i="31"/>
  <c r="BE47" i="31" a="1"/>
  <c r="BE47" i="31"/>
  <c r="BF47" i="31" a="1"/>
  <c r="BF47" i="31"/>
  <c r="BG47" i="31" a="1"/>
  <c r="BG47" i="31"/>
  <c r="BH47" i="31" a="1"/>
  <c r="BH47" i="31"/>
  <c r="BI47" i="31" a="1"/>
  <c r="BI47" i="31"/>
  <c r="BJ47" i="31" a="1"/>
  <c r="BJ47" i="31"/>
  <c r="BK47" i="31" a="1"/>
  <c r="BK47" i="31"/>
  <c r="BL47" i="31" a="1"/>
  <c r="BL47" i="31"/>
  <c r="BM47" i="31" a="1"/>
  <c r="BM47" i="31"/>
  <c r="BN47" i="31" a="1"/>
  <c r="BN47" i="31"/>
  <c r="BO47" i="31" a="1"/>
  <c r="BO47" i="31"/>
  <c r="BP47" i="31" a="1"/>
  <c r="BP47" i="31"/>
  <c r="E48" i="31" a="1"/>
  <c r="E48" i="31"/>
  <c r="F48" i="31" a="1"/>
  <c r="F48" i="31"/>
  <c r="G48" i="31" a="1"/>
  <c r="G48" i="31"/>
  <c r="H48" i="31" a="1"/>
  <c r="H48" i="31"/>
  <c r="I48" i="31" a="1"/>
  <c r="I48" i="31"/>
  <c r="J48" i="31" a="1"/>
  <c r="J48" i="31"/>
  <c r="K48" i="31" a="1"/>
  <c r="K48" i="31"/>
  <c r="L48" i="31" a="1"/>
  <c r="L48" i="31"/>
  <c r="M48" i="31" a="1"/>
  <c r="M48" i="31"/>
  <c r="N48" i="31" a="1"/>
  <c r="N48" i="31"/>
  <c r="O48" i="31" a="1"/>
  <c r="O48" i="31"/>
  <c r="P48" i="31" a="1"/>
  <c r="P48" i="31"/>
  <c r="Q48" i="31" a="1"/>
  <c r="Q48" i="31"/>
  <c r="R48" i="31" a="1"/>
  <c r="R48" i="31"/>
  <c r="S48" i="31" a="1"/>
  <c r="S48" i="31"/>
  <c r="T48" i="31" a="1"/>
  <c r="T48" i="31"/>
  <c r="U48" i="31" a="1"/>
  <c r="U48" i="31"/>
  <c r="V48" i="31" a="1"/>
  <c r="V48" i="31"/>
  <c r="W48" i="31" a="1"/>
  <c r="W48" i="31"/>
  <c r="X48" i="31" a="1"/>
  <c r="X48" i="31"/>
  <c r="Y48" i="31" a="1"/>
  <c r="Y48" i="31"/>
  <c r="Z48" i="31" a="1"/>
  <c r="Z48" i="31"/>
  <c r="AA48" i="31" a="1"/>
  <c r="AA48" i="31"/>
  <c r="AB48" i="31" a="1"/>
  <c r="AB48" i="31"/>
  <c r="AC48" i="31" a="1"/>
  <c r="AC48" i="31"/>
  <c r="AD48" i="31" a="1"/>
  <c r="AD48" i="31"/>
  <c r="AE48" i="31" a="1"/>
  <c r="AE48" i="31"/>
  <c r="AF48" i="31" a="1"/>
  <c r="AF48" i="31"/>
  <c r="AG48" i="31" a="1"/>
  <c r="AG48" i="31"/>
  <c r="AH48" i="31" a="1"/>
  <c r="AH48" i="31"/>
  <c r="AI48" i="31" a="1"/>
  <c r="AI48" i="31"/>
  <c r="AJ48" i="31" a="1"/>
  <c r="AJ48" i="31"/>
  <c r="AK48" i="31" a="1"/>
  <c r="AK48" i="31"/>
  <c r="AL48" i="31" a="1"/>
  <c r="AL48" i="31"/>
  <c r="AM48" i="31" a="1"/>
  <c r="AM48" i="31"/>
  <c r="AN48" i="31" a="1"/>
  <c r="AN48" i="31"/>
  <c r="AO48" i="31" a="1"/>
  <c r="AO48" i="31"/>
  <c r="AP48" i="31" a="1"/>
  <c r="AP48" i="31"/>
  <c r="AQ48" i="31" a="1"/>
  <c r="AQ48" i="31"/>
  <c r="AR48" i="31" a="1"/>
  <c r="AR48" i="31"/>
  <c r="AS48" i="31" a="1"/>
  <c r="AS48" i="31"/>
  <c r="AT48" i="31" a="1"/>
  <c r="AT48" i="31"/>
  <c r="AU48" i="31" a="1"/>
  <c r="AU48" i="31"/>
  <c r="AV48" i="31" a="1"/>
  <c r="AV48" i="31"/>
  <c r="AW48" i="31" a="1"/>
  <c r="AW48" i="31"/>
  <c r="AX48" i="31" a="1"/>
  <c r="AX48" i="31"/>
  <c r="AY48" i="31" a="1"/>
  <c r="AY48" i="31"/>
  <c r="AZ48" i="31" a="1"/>
  <c r="AZ48" i="31"/>
  <c r="BA48" i="31" a="1"/>
  <c r="BA48" i="31"/>
  <c r="BB48" i="31" a="1"/>
  <c r="BB48" i="31"/>
  <c r="BC48" i="31" a="1"/>
  <c r="BC48" i="31"/>
  <c r="BD48" i="31" a="1"/>
  <c r="BD48" i="31"/>
  <c r="BE48" i="31" a="1"/>
  <c r="BE48" i="31"/>
  <c r="BF48" i="31" a="1"/>
  <c r="BF48" i="31"/>
  <c r="BG48" i="31" a="1"/>
  <c r="BG48" i="31"/>
  <c r="BH48" i="31" a="1"/>
  <c r="BH48" i="31"/>
  <c r="BI48" i="31" a="1"/>
  <c r="BI48" i="31"/>
  <c r="BJ48" i="31" a="1"/>
  <c r="BJ48" i="31"/>
  <c r="BK48" i="31" a="1"/>
  <c r="BK48" i="31"/>
  <c r="BL48" i="31" a="1"/>
  <c r="BL48" i="31"/>
  <c r="BM48" i="31" a="1"/>
  <c r="BM48" i="31"/>
  <c r="BN48" i="31" a="1"/>
  <c r="BN48" i="31"/>
  <c r="BO48" i="31" a="1"/>
  <c r="BO48" i="31"/>
  <c r="BP48" i="31" a="1"/>
  <c r="BP48" i="31"/>
  <c r="E49" i="31" a="1"/>
  <c r="E49" i="31"/>
  <c r="F49" i="31" a="1"/>
  <c r="F49" i="31"/>
  <c r="G49" i="31" a="1"/>
  <c r="G49" i="31"/>
  <c r="H49" i="31" a="1"/>
  <c r="H49" i="31"/>
  <c r="I49" i="31" a="1"/>
  <c r="I49" i="31"/>
  <c r="J49" i="31" a="1"/>
  <c r="J49" i="31"/>
  <c r="K49" i="31" a="1"/>
  <c r="K49" i="31"/>
  <c r="L49" i="31" a="1"/>
  <c r="L49" i="31"/>
  <c r="M49" i="31" a="1"/>
  <c r="M49" i="31"/>
  <c r="N49" i="31" a="1"/>
  <c r="N49" i="31"/>
  <c r="O49" i="31" a="1"/>
  <c r="O49" i="31"/>
  <c r="P49" i="31" a="1"/>
  <c r="P49" i="31"/>
  <c r="Q49" i="31" a="1"/>
  <c r="Q49" i="31"/>
  <c r="R49" i="31" a="1"/>
  <c r="R49" i="31"/>
  <c r="S49" i="31" a="1"/>
  <c r="S49" i="31"/>
  <c r="T49" i="31" a="1"/>
  <c r="T49" i="31"/>
  <c r="U49" i="31" a="1"/>
  <c r="U49" i="31"/>
  <c r="V49" i="31" a="1"/>
  <c r="V49" i="31"/>
  <c r="W49" i="31" a="1"/>
  <c r="W49" i="31"/>
  <c r="X49" i="31" a="1"/>
  <c r="X49" i="31"/>
  <c r="Y49" i="31" a="1"/>
  <c r="Y49" i="31"/>
  <c r="Z49" i="31" a="1"/>
  <c r="Z49" i="31"/>
  <c r="AA49" i="31" a="1"/>
  <c r="AA49" i="31"/>
  <c r="AB49" i="31" a="1"/>
  <c r="AB49" i="31"/>
  <c r="AC49" i="31" a="1"/>
  <c r="AC49" i="31"/>
  <c r="AD49" i="31" a="1"/>
  <c r="AD49" i="31"/>
  <c r="AE49" i="31" a="1"/>
  <c r="AE49" i="31"/>
  <c r="AF49" i="31" a="1"/>
  <c r="AF49" i="31"/>
  <c r="AG49" i="31" a="1"/>
  <c r="AG49" i="31"/>
  <c r="AH49" i="31" a="1"/>
  <c r="AH49" i="31"/>
  <c r="AI49" i="31" a="1"/>
  <c r="AI49" i="31"/>
  <c r="AJ49" i="31" a="1"/>
  <c r="AJ49" i="31"/>
  <c r="AK49" i="31" a="1"/>
  <c r="AK49" i="31"/>
  <c r="AL49" i="31" a="1"/>
  <c r="AL49" i="31"/>
  <c r="AM49" i="31" a="1"/>
  <c r="AM49" i="31"/>
  <c r="AN49" i="31" a="1"/>
  <c r="AN49" i="31"/>
  <c r="AO49" i="31" a="1"/>
  <c r="AO49" i="31"/>
  <c r="AP49" i="31" a="1"/>
  <c r="AP49" i="31"/>
  <c r="AQ49" i="31" a="1"/>
  <c r="AQ49" i="31"/>
  <c r="AR49" i="31" a="1"/>
  <c r="AR49" i="31"/>
  <c r="AS49" i="31" a="1"/>
  <c r="AS49" i="31"/>
  <c r="AT49" i="31" a="1"/>
  <c r="AT49" i="31"/>
  <c r="AU49" i="31" a="1"/>
  <c r="AU49" i="31"/>
  <c r="AV49" i="31" a="1"/>
  <c r="AV49" i="31"/>
  <c r="AW49" i="31" a="1"/>
  <c r="AW49" i="31"/>
  <c r="AX49" i="31" a="1"/>
  <c r="AX49" i="31"/>
  <c r="AY49" i="31" a="1"/>
  <c r="AY49" i="31"/>
  <c r="AZ49" i="31" a="1"/>
  <c r="AZ49" i="31"/>
  <c r="BA49" i="31" a="1"/>
  <c r="BA49" i="31"/>
  <c r="BB49" i="31" a="1"/>
  <c r="BB49" i="31"/>
  <c r="BC49" i="31" a="1"/>
  <c r="BC49" i="31"/>
  <c r="BD49" i="31" a="1"/>
  <c r="BD49" i="31"/>
  <c r="BE49" i="31" a="1"/>
  <c r="BE49" i="31"/>
  <c r="BF49" i="31" a="1"/>
  <c r="BF49" i="31"/>
  <c r="BG49" i="31" a="1"/>
  <c r="BG49" i="31"/>
  <c r="BH49" i="31" a="1"/>
  <c r="BH49" i="31"/>
  <c r="BI49" i="31" a="1"/>
  <c r="BI49" i="31"/>
  <c r="BJ49" i="31" a="1"/>
  <c r="BJ49" i="31"/>
  <c r="BK49" i="31" a="1"/>
  <c r="BK49" i="31"/>
  <c r="BL49" i="31" a="1"/>
  <c r="BL49" i="31"/>
  <c r="BM49" i="31" a="1"/>
  <c r="BM49" i="31"/>
  <c r="BN49" i="31" a="1"/>
  <c r="BN49" i="31"/>
  <c r="BO49" i="31" a="1"/>
  <c r="BO49" i="31"/>
  <c r="BP49" i="31" a="1"/>
  <c r="BP49" i="31"/>
  <c r="E45" i="29" a="1"/>
  <c r="E45" i="29"/>
  <c r="F45" i="29" a="1"/>
  <c r="F45" i="29"/>
  <c r="G45" i="29" a="1"/>
  <c r="G45" i="29"/>
  <c r="H45" i="29" a="1"/>
  <c r="H45" i="29"/>
  <c r="I45" i="29" a="1"/>
  <c r="I45" i="29"/>
  <c r="J45" i="29" a="1"/>
  <c r="J45" i="29"/>
  <c r="K45" i="29" a="1"/>
  <c r="K45" i="29"/>
  <c r="L45" i="29" a="1"/>
  <c r="L45" i="29"/>
  <c r="M45" i="29" a="1"/>
  <c r="M45" i="29"/>
  <c r="N45" i="29" a="1"/>
  <c r="N45" i="29"/>
  <c r="O45" i="29" a="1"/>
  <c r="O45" i="29"/>
  <c r="P45" i="29" a="1"/>
  <c r="P45" i="29"/>
  <c r="Q45" i="29" a="1"/>
  <c r="Q45" i="29"/>
  <c r="R45" i="29" a="1"/>
  <c r="R45" i="29"/>
  <c r="S45" i="29" a="1"/>
  <c r="S45" i="29"/>
  <c r="T45" i="29" a="1"/>
  <c r="T45" i="29"/>
  <c r="U45" i="29" a="1"/>
  <c r="U45" i="29"/>
  <c r="V45" i="29" a="1"/>
  <c r="V45" i="29"/>
  <c r="W45" i="29" a="1"/>
  <c r="W45" i="29"/>
  <c r="X45" i="29" a="1"/>
  <c r="X45" i="29"/>
  <c r="Y45" i="29" a="1"/>
  <c r="Y45" i="29"/>
  <c r="Z45" i="29" a="1"/>
  <c r="Z45" i="29"/>
  <c r="AA45" i="29" a="1"/>
  <c r="AA45" i="29"/>
  <c r="AB45" i="29" a="1"/>
  <c r="AB45" i="29"/>
  <c r="AC45" i="29" a="1"/>
  <c r="AC45" i="29"/>
  <c r="AD45" i="29" a="1"/>
  <c r="AD45" i="29"/>
  <c r="AE45" i="29" a="1"/>
  <c r="AE45" i="29"/>
  <c r="AF45" i="29" a="1"/>
  <c r="AF45" i="29"/>
  <c r="AG45" i="29" a="1"/>
  <c r="AG45" i="29"/>
  <c r="AH45" i="29" a="1"/>
  <c r="AH45" i="29"/>
  <c r="AI45" i="29" a="1"/>
  <c r="AI45" i="29"/>
  <c r="AJ45" i="29" a="1"/>
  <c r="AJ45" i="29"/>
  <c r="AK45" i="29" a="1"/>
  <c r="AK45" i="29"/>
  <c r="AL45" i="29" a="1"/>
  <c r="AL45" i="29"/>
  <c r="AM45" i="29" a="1"/>
  <c r="AM45" i="29"/>
  <c r="AN45" i="29" a="1"/>
  <c r="AN45" i="29"/>
  <c r="AO45" i="29" a="1"/>
  <c r="AO45" i="29"/>
  <c r="AP45" i="29" a="1"/>
  <c r="AP45" i="29"/>
  <c r="AQ45" i="29" a="1"/>
  <c r="AQ45" i="29"/>
  <c r="AR45" i="29" a="1"/>
  <c r="AR45" i="29"/>
  <c r="AS45" i="29" a="1"/>
  <c r="AS45" i="29"/>
  <c r="AT45" i="29" a="1"/>
  <c r="AT45" i="29"/>
  <c r="AU45" i="29" a="1"/>
  <c r="AU45" i="29"/>
  <c r="AV45" i="29" a="1"/>
  <c r="AV45" i="29"/>
  <c r="AW45" i="29" a="1"/>
  <c r="AW45" i="29"/>
  <c r="AX45" i="29" a="1"/>
  <c r="AX45" i="29"/>
  <c r="AY45" i="29" a="1"/>
  <c r="AY45" i="29"/>
  <c r="AZ45" i="29" a="1"/>
  <c r="AZ45" i="29"/>
  <c r="BA45" i="29" a="1"/>
  <c r="BA45" i="29"/>
  <c r="BB45" i="29" a="1"/>
  <c r="BB45" i="29"/>
  <c r="BC45" i="29" a="1"/>
  <c r="BC45" i="29"/>
  <c r="BD45" i="29" a="1"/>
  <c r="BD45" i="29"/>
  <c r="BE45" i="29" a="1"/>
  <c r="BE45" i="29"/>
  <c r="BF45" i="29" a="1"/>
  <c r="BF45" i="29"/>
  <c r="BG45" i="29" a="1"/>
  <c r="BG45" i="29"/>
  <c r="BH45" i="29" a="1"/>
  <c r="BH45" i="29"/>
  <c r="BI45" i="29" a="1"/>
  <c r="BI45" i="29"/>
  <c r="BJ45" i="29" a="1"/>
  <c r="BJ45" i="29"/>
  <c r="BK45" i="29" a="1"/>
  <c r="BK45" i="29"/>
  <c r="BL45" i="29" a="1"/>
  <c r="BL45" i="29"/>
  <c r="BM45" i="29" a="1"/>
  <c r="BM45" i="29"/>
  <c r="BN45" i="29" a="1"/>
  <c r="BN45" i="29"/>
  <c r="BO45" i="29" a="1"/>
  <c r="BO45" i="29"/>
  <c r="BP45" i="29" a="1"/>
  <c r="BP45" i="29"/>
  <c r="E46" i="29" a="1"/>
  <c r="E46" i="29"/>
  <c r="F46" i="29" a="1"/>
  <c r="F46" i="29"/>
  <c r="G46" i="29" a="1"/>
  <c r="G46" i="29"/>
  <c r="H46" i="29" a="1"/>
  <c r="H46" i="29"/>
  <c r="I46" i="29" a="1"/>
  <c r="I46" i="29"/>
  <c r="J46" i="29" a="1"/>
  <c r="J46" i="29"/>
  <c r="K46" i="29" a="1"/>
  <c r="K46" i="29"/>
  <c r="L46" i="29" a="1"/>
  <c r="L46" i="29"/>
  <c r="M46" i="29" a="1"/>
  <c r="M46" i="29"/>
  <c r="N46" i="29" a="1"/>
  <c r="N46" i="29"/>
  <c r="O46" i="29" a="1"/>
  <c r="O46" i="29"/>
  <c r="P46" i="29" a="1"/>
  <c r="P46" i="29"/>
  <c r="Q46" i="29" a="1"/>
  <c r="Q46" i="29"/>
  <c r="R46" i="29" a="1"/>
  <c r="R46" i="29"/>
  <c r="S46" i="29" a="1"/>
  <c r="S46" i="29"/>
  <c r="T46" i="29" a="1"/>
  <c r="T46" i="29"/>
  <c r="U46" i="29" a="1"/>
  <c r="U46" i="29"/>
  <c r="V46" i="29" a="1"/>
  <c r="V46" i="29"/>
  <c r="W46" i="29" a="1"/>
  <c r="W46" i="29"/>
  <c r="X46" i="29" a="1"/>
  <c r="X46" i="29"/>
  <c r="Y46" i="29" a="1"/>
  <c r="Y46" i="29"/>
  <c r="Z46" i="29" a="1"/>
  <c r="Z46" i="29"/>
  <c r="AA46" i="29" a="1"/>
  <c r="AA46" i="29"/>
  <c r="AB46" i="29" a="1"/>
  <c r="AB46" i="29"/>
  <c r="AC46" i="29" a="1"/>
  <c r="AC46" i="29"/>
  <c r="AD46" i="29" a="1"/>
  <c r="AD46" i="29"/>
  <c r="AE46" i="29" a="1"/>
  <c r="AE46" i="29"/>
  <c r="AF46" i="29" a="1"/>
  <c r="AF46" i="29"/>
  <c r="AG46" i="29" a="1"/>
  <c r="AG46" i="29"/>
  <c r="AH46" i="29" a="1"/>
  <c r="AH46" i="29"/>
  <c r="AI46" i="29" a="1"/>
  <c r="AI46" i="29"/>
  <c r="AJ46" i="29" a="1"/>
  <c r="AJ46" i="29"/>
  <c r="AK46" i="29" a="1"/>
  <c r="AK46" i="29"/>
  <c r="AL46" i="29" a="1"/>
  <c r="AL46" i="29"/>
  <c r="AM46" i="29" a="1"/>
  <c r="AM46" i="29"/>
  <c r="AN46" i="29" a="1"/>
  <c r="AN46" i="29"/>
  <c r="AO46" i="29" a="1"/>
  <c r="AO46" i="29"/>
  <c r="AP46" i="29" a="1"/>
  <c r="AP46" i="29"/>
  <c r="AQ46" i="29" a="1"/>
  <c r="AQ46" i="29"/>
  <c r="AR46" i="29" a="1"/>
  <c r="AR46" i="29"/>
  <c r="AS46" i="29" a="1"/>
  <c r="AS46" i="29"/>
  <c r="AT46" i="29" a="1"/>
  <c r="AT46" i="29"/>
  <c r="AU46" i="29" a="1"/>
  <c r="AU46" i="29"/>
  <c r="AV46" i="29" a="1"/>
  <c r="AV46" i="29"/>
  <c r="AW46" i="29" a="1"/>
  <c r="AW46" i="29"/>
  <c r="AX46" i="29" a="1"/>
  <c r="AX46" i="29"/>
  <c r="AY46" i="29" a="1"/>
  <c r="AY46" i="29"/>
  <c r="AZ46" i="29" a="1"/>
  <c r="AZ46" i="29"/>
  <c r="BA46" i="29" a="1"/>
  <c r="BA46" i="29"/>
  <c r="BB46" i="29" a="1"/>
  <c r="BB46" i="29"/>
  <c r="BC46" i="29" a="1"/>
  <c r="BC46" i="29"/>
  <c r="BD46" i="29" a="1"/>
  <c r="BD46" i="29"/>
  <c r="BE46" i="29" a="1"/>
  <c r="BE46" i="29"/>
  <c r="BF46" i="29" a="1"/>
  <c r="BF46" i="29"/>
  <c r="BG46" i="29" a="1"/>
  <c r="BG46" i="29"/>
  <c r="BH46" i="29" a="1"/>
  <c r="BH46" i="29"/>
  <c r="BI46" i="29" a="1"/>
  <c r="BI46" i="29"/>
  <c r="BJ46" i="29" a="1"/>
  <c r="BJ46" i="29"/>
  <c r="BK46" i="29" a="1"/>
  <c r="BK46" i="29"/>
  <c r="BL46" i="29" a="1"/>
  <c r="BL46" i="29"/>
  <c r="BM46" i="29" a="1"/>
  <c r="BM46" i="29"/>
  <c r="BN46" i="29" a="1"/>
  <c r="BN46" i="29"/>
  <c r="BO46" i="29" a="1"/>
  <c r="BO46" i="29"/>
  <c r="BP46" i="29" a="1"/>
  <c r="BP46" i="29"/>
  <c r="E47" i="29" a="1"/>
  <c r="E47" i="29"/>
  <c r="F47" i="29" a="1"/>
  <c r="F47" i="29"/>
  <c r="G47" i="29" a="1"/>
  <c r="G47" i="29"/>
  <c r="H47" i="29" a="1"/>
  <c r="H47" i="29"/>
  <c r="I47" i="29" a="1"/>
  <c r="I47" i="29"/>
  <c r="J47" i="29" a="1"/>
  <c r="J47" i="29"/>
  <c r="K47" i="29" a="1"/>
  <c r="K47" i="29"/>
  <c r="L47" i="29" a="1"/>
  <c r="L47" i="29"/>
  <c r="M47" i="29" a="1"/>
  <c r="M47" i="29"/>
  <c r="N47" i="29" a="1"/>
  <c r="N47" i="29"/>
  <c r="O47" i="29" a="1"/>
  <c r="O47" i="29"/>
  <c r="P47" i="29" a="1"/>
  <c r="P47" i="29"/>
  <c r="Q47" i="29" a="1"/>
  <c r="Q47" i="29"/>
  <c r="R47" i="29" a="1"/>
  <c r="R47" i="29"/>
  <c r="S47" i="29" a="1"/>
  <c r="S47" i="29"/>
  <c r="T47" i="29" a="1"/>
  <c r="T47" i="29"/>
  <c r="U47" i="29" a="1"/>
  <c r="U47" i="29"/>
  <c r="V47" i="29" a="1"/>
  <c r="V47" i="29"/>
  <c r="W47" i="29" a="1"/>
  <c r="W47" i="29"/>
  <c r="X47" i="29" a="1"/>
  <c r="X47" i="29"/>
  <c r="Y47" i="29" a="1"/>
  <c r="Y47" i="29"/>
  <c r="Z47" i="29" a="1"/>
  <c r="Z47" i="29"/>
  <c r="AA47" i="29" a="1"/>
  <c r="AA47" i="29"/>
  <c r="AB47" i="29" a="1"/>
  <c r="AB47" i="29"/>
  <c r="AC47" i="29" a="1"/>
  <c r="AC47" i="29"/>
  <c r="AD47" i="29" a="1"/>
  <c r="AD47" i="29"/>
  <c r="AE47" i="29" a="1"/>
  <c r="AE47" i="29"/>
  <c r="AF47" i="29" a="1"/>
  <c r="AF47" i="29"/>
  <c r="AG47" i="29" a="1"/>
  <c r="AG47" i="29"/>
  <c r="AH47" i="29" a="1"/>
  <c r="AH47" i="29"/>
  <c r="AI47" i="29" a="1"/>
  <c r="AI47" i="29"/>
  <c r="AJ47" i="29" a="1"/>
  <c r="AJ47" i="29"/>
  <c r="AK47" i="29" a="1"/>
  <c r="AK47" i="29"/>
  <c r="AL47" i="29" a="1"/>
  <c r="AL47" i="29"/>
  <c r="AM47" i="29" a="1"/>
  <c r="AM47" i="29"/>
  <c r="AN47" i="29" a="1"/>
  <c r="AN47" i="29"/>
  <c r="AO47" i="29" a="1"/>
  <c r="AO47" i="29"/>
  <c r="AP47" i="29" a="1"/>
  <c r="AP47" i="29"/>
  <c r="AQ47" i="29" a="1"/>
  <c r="AQ47" i="29"/>
  <c r="AR47" i="29" a="1"/>
  <c r="AR47" i="29"/>
  <c r="AS47" i="29" a="1"/>
  <c r="AS47" i="29"/>
  <c r="AT47" i="29" a="1"/>
  <c r="AT47" i="29"/>
  <c r="AU47" i="29" a="1"/>
  <c r="AU47" i="29"/>
  <c r="AV47" i="29" a="1"/>
  <c r="AV47" i="29"/>
  <c r="AW47" i="29" a="1"/>
  <c r="AW47" i="29"/>
  <c r="AX47" i="29" a="1"/>
  <c r="AX47" i="29"/>
  <c r="AY47" i="29" a="1"/>
  <c r="AY47" i="29"/>
  <c r="AZ47" i="29" a="1"/>
  <c r="AZ47" i="29"/>
  <c r="BA47" i="29" a="1"/>
  <c r="BA47" i="29"/>
  <c r="BB47" i="29" a="1"/>
  <c r="BB47" i="29"/>
  <c r="BC47" i="29" a="1"/>
  <c r="BC47" i="29"/>
  <c r="BD47" i="29" a="1"/>
  <c r="BD47" i="29"/>
  <c r="BE47" i="29" a="1"/>
  <c r="BE47" i="29"/>
  <c r="BF47" i="29" a="1"/>
  <c r="BF47" i="29"/>
  <c r="BG47" i="29" a="1"/>
  <c r="BG47" i="29"/>
  <c r="BH47" i="29" a="1"/>
  <c r="BH47" i="29"/>
  <c r="BI47" i="29" a="1"/>
  <c r="BI47" i="29"/>
  <c r="BJ47" i="29" a="1"/>
  <c r="BJ47" i="29"/>
  <c r="BK47" i="29" a="1"/>
  <c r="BK47" i="29"/>
  <c r="BL47" i="29" a="1"/>
  <c r="BL47" i="29"/>
  <c r="BM47" i="29" a="1"/>
  <c r="BM47" i="29"/>
  <c r="BN47" i="29" a="1"/>
  <c r="BN47" i="29"/>
  <c r="BO47" i="29" a="1"/>
  <c r="BO47" i="29"/>
  <c r="BP47" i="29" a="1"/>
  <c r="BP47" i="29"/>
  <c r="E48" i="29" a="1"/>
  <c r="E48" i="29"/>
  <c r="F48" i="29" a="1"/>
  <c r="F48" i="29"/>
  <c r="G48" i="29" a="1"/>
  <c r="G48" i="29"/>
  <c r="H48" i="29" a="1"/>
  <c r="H48" i="29"/>
  <c r="I48" i="29" a="1"/>
  <c r="I48" i="29"/>
  <c r="J48" i="29" a="1"/>
  <c r="J48" i="29"/>
  <c r="K48" i="29" a="1"/>
  <c r="K48" i="29"/>
  <c r="L48" i="29" a="1"/>
  <c r="L48" i="29"/>
  <c r="M48" i="29" a="1"/>
  <c r="M48" i="29"/>
  <c r="N48" i="29" a="1"/>
  <c r="N48" i="29"/>
  <c r="O48" i="29" a="1"/>
  <c r="O48" i="29"/>
  <c r="P48" i="29" a="1"/>
  <c r="P48" i="29"/>
  <c r="Q48" i="29" a="1"/>
  <c r="Q48" i="29"/>
  <c r="R48" i="29" a="1"/>
  <c r="R48" i="29"/>
  <c r="S48" i="29" a="1"/>
  <c r="S48" i="29"/>
  <c r="T48" i="29" a="1"/>
  <c r="T48" i="29"/>
  <c r="U48" i="29" a="1"/>
  <c r="U48" i="29"/>
  <c r="V48" i="29" a="1"/>
  <c r="V48" i="29"/>
  <c r="W48" i="29" a="1"/>
  <c r="W48" i="29"/>
  <c r="X48" i="29" a="1"/>
  <c r="X48" i="29"/>
  <c r="Y48" i="29" a="1"/>
  <c r="Y48" i="29"/>
  <c r="Z48" i="29" a="1"/>
  <c r="Z48" i="29"/>
  <c r="AA48" i="29" a="1"/>
  <c r="AA48" i="29"/>
  <c r="AB48" i="29" a="1"/>
  <c r="AB48" i="29"/>
  <c r="AC48" i="29" a="1"/>
  <c r="AC48" i="29"/>
  <c r="AD48" i="29" a="1"/>
  <c r="AD48" i="29"/>
  <c r="AE48" i="29" a="1"/>
  <c r="AE48" i="29"/>
  <c r="AF48" i="29" a="1"/>
  <c r="AF48" i="29"/>
  <c r="AG48" i="29" a="1"/>
  <c r="AG48" i="29"/>
  <c r="AH48" i="29" a="1"/>
  <c r="AH48" i="29"/>
  <c r="AI48" i="29" a="1"/>
  <c r="AI48" i="29"/>
  <c r="AJ48" i="29" a="1"/>
  <c r="AJ48" i="29"/>
  <c r="AK48" i="29" a="1"/>
  <c r="AK48" i="29"/>
  <c r="AL48" i="29" a="1"/>
  <c r="AL48" i="29"/>
  <c r="AM48" i="29" a="1"/>
  <c r="AM48" i="29"/>
  <c r="AN48" i="29" a="1"/>
  <c r="AN48" i="29"/>
  <c r="AO48" i="29" a="1"/>
  <c r="AO48" i="29"/>
  <c r="AP48" i="29" a="1"/>
  <c r="AP48" i="29"/>
  <c r="AQ48" i="29" a="1"/>
  <c r="AQ48" i="29"/>
  <c r="AR48" i="29" a="1"/>
  <c r="AR48" i="29"/>
  <c r="AS48" i="29" a="1"/>
  <c r="AS48" i="29"/>
  <c r="AT48" i="29" a="1"/>
  <c r="AT48" i="29"/>
  <c r="AU48" i="29" a="1"/>
  <c r="AU48" i="29"/>
  <c r="AV48" i="29" a="1"/>
  <c r="AV48" i="29"/>
  <c r="AW48" i="29" a="1"/>
  <c r="AW48" i="29"/>
  <c r="AX48" i="29" a="1"/>
  <c r="AX48" i="29"/>
  <c r="AY48" i="29" a="1"/>
  <c r="AY48" i="29"/>
  <c r="AZ48" i="29" a="1"/>
  <c r="AZ48" i="29"/>
  <c r="BA48" i="29" a="1"/>
  <c r="BA48" i="29"/>
  <c r="BB48" i="29" a="1"/>
  <c r="BB48" i="29"/>
  <c r="BC48" i="29" a="1"/>
  <c r="BC48" i="29"/>
  <c r="BD48" i="29" a="1"/>
  <c r="BD48" i="29"/>
  <c r="BE48" i="29" a="1"/>
  <c r="BE48" i="29"/>
  <c r="BF48" i="29" a="1"/>
  <c r="BF48" i="29"/>
  <c r="BG48" i="29" a="1"/>
  <c r="BG48" i="29"/>
  <c r="BH48" i="29" a="1"/>
  <c r="BH48" i="29"/>
  <c r="BI48" i="29" a="1"/>
  <c r="BI48" i="29"/>
  <c r="BJ48" i="29" a="1"/>
  <c r="BJ48" i="29"/>
  <c r="BK48" i="29" a="1"/>
  <c r="BK48" i="29"/>
  <c r="BL48" i="29" a="1"/>
  <c r="BL48" i="29"/>
  <c r="BM48" i="29" a="1"/>
  <c r="BM48" i="29"/>
  <c r="BN48" i="29" a="1"/>
  <c r="BN48" i="29"/>
  <c r="BO48" i="29" a="1"/>
  <c r="BO48" i="29"/>
  <c r="BP48" i="29" a="1"/>
  <c r="BP48" i="29"/>
  <c r="E49" i="29" a="1"/>
  <c r="E49" i="29"/>
  <c r="F49" i="29" a="1"/>
  <c r="F49" i="29"/>
  <c r="G49" i="29" a="1"/>
  <c r="G49" i="29"/>
  <c r="H49" i="29" a="1"/>
  <c r="H49" i="29"/>
  <c r="I49" i="29" a="1"/>
  <c r="I49" i="29"/>
  <c r="J49" i="29" a="1"/>
  <c r="J49" i="29"/>
  <c r="K49" i="29" a="1"/>
  <c r="K49" i="29"/>
  <c r="L49" i="29" a="1"/>
  <c r="L49" i="29"/>
  <c r="M49" i="29" a="1"/>
  <c r="M49" i="29"/>
  <c r="N49" i="29" a="1"/>
  <c r="N49" i="29"/>
  <c r="O49" i="29" a="1"/>
  <c r="O49" i="29"/>
  <c r="P49" i="29" a="1"/>
  <c r="P49" i="29"/>
  <c r="Q49" i="29" a="1"/>
  <c r="Q49" i="29"/>
  <c r="R49" i="29" a="1"/>
  <c r="R49" i="29"/>
  <c r="S49" i="29" a="1"/>
  <c r="S49" i="29"/>
  <c r="T49" i="29" a="1"/>
  <c r="T49" i="29"/>
  <c r="U49" i="29" a="1"/>
  <c r="U49" i="29"/>
  <c r="V49" i="29" a="1"/>
  <c r="V49" i="29"/>
  <c r="W49" i="29" a="1"/>
  <c r="W49" i="29"/>
  <c r="X49" i="29" a="1"/>
  <c r="X49" i="29"/>
  <c r="Y49" i="29" a="1"/>
  <c r="Y49" i="29"/>
  <c r="Z49" i="29" a="1"/>
  <c r="Z49" i="29"/>
  <c r="AA49" i="29" a="1"/>
  <c r="AA49" i="29"/>
  <c r="AB49" i="29" a="1"/>
  <c r="AB49" i="29"/>
  <c r="AC49" i="29" a="1"/>
  <c r="AC49" i="29"/>
  <c r="AD49" i="29" a="1"/>
  <c r="AD49" i="29"/>
  <c r="AE49" i="29" a="1"/>
  <c r="AE49" i="29"/>
  <c r="AF49" i="29" a="1"/>
  <c r="AF49" i="29"/>
  <c r="AG49" i="29" a="1"/>
  <c r="AG49" i="29"/>
  <c r="AH49" i="29" a="1"/>
  <c r="AH49" i="29"/>
  <c r="AI49" i="29" a="1"/>
  <c r="AI49" i="29"/>
  <c r="AJ49" i="29" a="1"/>
  <c r="AJ49" i="29"/>
  <c r="AK49" i="29" a="1"/>
  <c r="AK49" i="29"/>
  <c r="AL49" i="29" a="1"/>
  <c r="AL49" i="29"/>
  <c r="AM49" i="29" a="1"/>
  <c r="AM49" i="29"/>
  <c r="AN49" i="29" a="1"/>
  <c r="AN49" i="29"/>
  <c r="AO49" i="29" a="1"/>
  <c r="AO49" i="29"/>
  <c r="AP49" i="29" a="1"/>
  <c r="AP49" i="29"/>
  <c r="AQ49" i="29" a="1"/>
  <c r="AQ49" i="29"/>
  <c r="AR49" i="29" a="1"/>
  <c r="AR49" i="29"/>
  <c r="AS49" i="29" a="1"/>
  <c r="AS49" i="29"/>
  <c r="AT49" i="29" a="1"/>
  <c r="AT49" i="29"/>
  <c r="AU49" i="29" a="1"/>
  <c r="AU49" i="29"/>
  <c r="AV49" i="29" a="1"/>
  <c r="AV49" i="29"/>
  <c r="AW49" i="29" a="1"/>
  <c r="AW49" i="29"/>
  <c r="AX49" i="29" a="1"/>
  <c r="AX49" i="29"/>
  <c r="AY49" i="29" a="1"/>
  <c r="AY49" i="29"/>
  <c r="AZ49" i="29" a="1"/>
  <c r="AZ49" i="29"/>
  <c r="BA49" i="29" a="1"/>
  <c r="BA49" i="29"/>
  <c r="BB49" i="29" a="1"/>
  <c r="BB49" i="29"/>
  <c r="BC49" i="29" a="1"/>
  <c r="BC49" i="29"/>
  <c r="BD49" i="29" a="1"/>
  <c r="BD49" i="29"/>
  <c r="BE49" i="29" a="1"/>
  <c r="BE49" i="29"/>
  <c r="BF49" i="29" a="1"/>
  <c r="BF49" i="29"/>
  <c r="BG49" i="29" a="1"/>
  <c r="BG49" i="29"/>
  <c r="BH49" i="29" a="1"/>
  <c r="BH49" i="29"/>
  <c r="BI49" i="29" a="1"/>
  <c r="BI49" i="29"/>
  <c r="BJ49" i="29" a="1"/>
  <c r="BJ49" i="29"/>
  <c r="BK49" i="29" a="1"/>
  <c r="BK49" i="29"/>
  <c r="BL49" i="29" a="1"/>
  <c r="BL49" i="29"/>
  <c r="BM49" i="29" a="1"/>
  <c r="BM49" i="29"/>
  <c r="BN49" i="29" a="1"/>
  <c r="BN49" i="29"/>
  <c r="BO49" i="29" a="1"/>
  <c r="BO49" i="29"/>
  <c r="BP49" i="29" a="1"/>
  <c r="BP49" i="29"/>
  <c r="E45" i="28" a="1"/>
  <c r="E45" i="28"/>
  <c r="F45" i="28" a="1"/>
  <c r="F45" i="28"/>
  <c r="G45" i="28" a="1"/>
  <c r="G45" i="28"/>
  <c r="H45" i="28" a="1"/>
  <c r="H45" i="28"/>
  <c r="I45" i="28" a="1"/>
  <c r="I45" i="28"/>
  <c r="J45" i="28" a="1"/>
  <c r="J45" i="28"/>
  <c r="K45" i="28" a="1"/>
  <c r="K45" i="28"/>
  <c r="L45" i="28" a="1"/>
  <c r="L45" i="28"/>
  <c r="M45" i="28" a="1"/>
  <c r="M45" i="28"/>
  <c r="N45" i="28" a="1"/>
  <c r="N45" i="28"/>
  <c r="O45" i="28" a="1"/>
  <c r="O45" i="28"/>
  <c r="P45" i="28" a="1"/>
  <c r="P45" i="28"/>
  <c r="Q45" i="28" a="1"/>
  <c r="Q45" i="28"/>
  <c r="R45" i="28" a="1"/>
  <c r="R45" i="28"/>
  <c r="S45" i="28" a="1"/>
  <c r="S45" i="28"/>
  <c r="T45" i="28" a="1"/>
  <c r="T45" i="28"/>
  <c r="U45" i="28" a="1"/>
  <c r="U45" i="28"/>
  <c r="V45" i="28" a="1"/>
  <c r="V45" i="28"/>
  <c r="W45" i="28" a="1"/>
  <c r="W45" i="28"/>
  <c r="X45" i="28" a="1"/>
  <c r="X45" i="28"/>
  <c r="Y45" i="28" a="1"/>
  <c r="Y45" i="28"/>
  <c r="Z45" i="28" a="1"/>
  <c r="Z45" i="28"/>
  <c r="AA45" i="28" a="1"/>
  <c r="AA45" i="28"/>
  <c r="AB45" i="28" a="1"/>
  <c r="AB45" i="28"/>
  <c r="AC45" i="28" a="1"/>
  <c r="AC45" i="28"/>
  <c r="AD45" i="28" a="1"/>
  <c r="AD45" i="28"/>
  <c r="AE45" i="28" a="1"/>
  <c r="AE45" i="28"/>
  <c r="AF45" i="28" a="1"/>
  <c r="AF45" i="28"/>
  <c r="AG45" i="28" a="1"/>
  <c r="AG45" i="28"/>
  <c r="AH45" i="28" a="1"/>
  <c r="AH45" i="28"/>
  <c r="AI45" i="28" a="1"/>
  <c r="AI45" i="28"/>
  <c r="AJ45" i="28" a="1"/>
  <c r="AJ45" i="28"/>
  <c r="AK45" i="28" a="1"/>
  <c r="AK45" i="28"/>
  <c r="AL45" i="28" a="1"/>
  <c r="AL45" i="28"/>
  <c r="AM45" i="28" a="1"/>
  <c r="AM45" i="28"/>
  <c r="AN45" i="28" a="1"/>
  <c r="AN45" i="28"/>
  <c r="AO45" i="28" a="1"/>
  <c r="AO45" i="28"/>
  <c r="AP45" i="28" a="1"/>
  <c r="AP45" i="28"/>
  <c r="AQ45" i="28" a="1"/>
  <c r="AQ45" i="28"/>
  <c r="AR45" i="28" a="1"/>
  <c r="AR45" i="28"/>
  <c r="AS45" i="28" a="1"/>
  <c r="AS45" i="28"/>
  <c r="AT45" i="28" a="1"/>
  <c r="AT45" i="28"/>
  <c r="AU45" i="28" a="1"/>
  <c r="AU45" i="28"/>
  <c r="AV45" i="28" a="1"/>
  <c r="AV45" i="28"/>
  <c r="AW45" i="28" a="1"/>
  <c r="AW45" i="28"/>
  <c r="AX45" i="28" a="1"/>
  <c r="AX45" i="28"/>
  <c r="AY45" i="28" a="1"/>
  <c r="AY45" i="28"/>
  <c r="AZ45" i="28" a="1"/>
  <c r="AZ45" i="28"/>
  <c r="BA45" i="28" a="1"/>
  <c r="BA45" i="28"/>
  <c r="BB45" i="28" a="1"/>
  <c r="BB45" i="28"/>
  <c r="BC45" i="28" a="1"/>
  <c r="BC45" i="28"/>
  <c r="BD45" i="28" a="1"/>
  <c r="BD45" i="28"/>
  <c r="BE45" i="28" a="1"/>
  <c r="BE45" i="28"/>
  <c r="BF45" i="28" a="1"/>
  <c r="BF45" i="28"/>
  <c r="BG45" i="28" a="1"/>
  <c r="BG45" i="28"/>
  <c r="BH45" i="28" a="1"/>
  <c r="BH45" i="28"/>
  <c r="BI45" i="28" a="1"/>
  <c r="BI45" i="28"/>
  <c r="BJ45" i="28" a="1"/>
  <c r="BJ45" i="28"/>
  <c r="BK45" i="28" a="1"/>
  <c r="BK45" i="28"/>
  <c r="BL45" i="28" a="1"/>
  <c r="BL45" i="28"/>
  <c r="BM45" i="28" a="1"/>
  <c r="BM45" i="28"/>
  <c r="BN45" i="28" a="1"/>
  <c r="BN45" i="28"/>
  <c r="BO45" i="28" a="1"/>
  <c r="BO45" i="28"/>
  <c r="BP45" i="28" a="1"/>
  <c r="BP45" i="28"/>
  <c r="E46" i="28" a="1"/>
  <c r="E46" i="28"/>
  <c r="F46" i="28" a="1"/>
  <c r="F46" i="28"/>
  <c r="G46" i="28" a="1"/>
  <c r="G46" i="28"/>
  <c r="H46" i="28" a="1"/>
  <c r="H46" i="28"/>
  <c r="I46" i="28" a="1"/>
  <c r="I46" i="28"/>
  <c r="J46" i="28" a="1"/>
  <c r="J46" i="28"/>
  <c r="K46" i="28" a="1"/>
  <c r="K46" i="28"/>
  <c r="L46" i="28" a="1"/>
  <c r="L46" i="28"/>
  <c r="M46" i="28" a="1"/>
  <c r="M46" i="28"/>
  <c r="N46" i="28" a="1"/>
  <c r="N46" i="28"/>
  <c r="O46" i="28" a="1"/>
  <c r="O46" i="28"/>
  <c r="P46" i="28" a="1"/>
  <c r="P46" i="28"/>
  <c r="Q46" i="28" a="1"/>
  <c r="Q46" i="28"/>
  <c r="R46" i="28" a="1"/>
  <c r="R46" i="28"/>
  <c r="S46" i="28" a="1"/>
  <c r="S46" i="28"/>
  <c r="T46" i="28" a="1"/>
  <c r="T46" i="28"/>
  <c r="U46" i="28" a="1"/>
  <c r="U46" i="28"/>
  <c r="V46" i="28" a="1"/>
  <c r="V46" i="28"/>
  <c r="W46" i="28" a="1"/>
  <c r="W46" i="28"/>
  <c r="X46" i="28" a="1"/>
  <c r="X46" i="28"/>
  <c r="Y46" i="28" a="1"/>
  <c r="Y46" i="28"/>
  <c r="Z46" i="28" a="1"/>
  <c r="Z46" i="28"/>
  <c r="AA46" i="28" a="1"/>
  <c r="AA46" i="28"/>
  <c r="AB46" i="28" a="1"/>
  <c r="AB46" i="28"/>
  <c r="AC46" i="28" a="1"/>
  <c r="AC46" i="28"/>
  <c r="AD46" i="28" a="1"/>
  <c r="AD46" i="28"/>
  <c r="AE46" i="28" a="1"/>
  <c r="AE46" i="28"/>
  <c r="AF46" i="28" a="1"/>
  <c r="AF46" i="28"/>
  <c r="AG46" i="28" a="1"/>
  <c r="AG46" i="28"/>
  <c r="AH46" i="28" a="1"/>
  <c r="AH46" i="28"/>
  <c r="AI46" i="28" a="1"/>
  <c r="AI46" i="28"/>
  <c r="AJ46" i="28" a="1"/>
  <c r="AJ46" i="28"/>
  <c r="AK46" i="28" a="1"/>
  <c r="AK46" i="28"/>
  <c r="AL46" i="28" a="1"/>
  <c r="AL46" i="28"/>
  <c r="AM46" i="28" a="1"/>
  <c r="AM46" i="28"/>
  <c r="AN46" i="28" a="1"/>
  <c r="AN46" i="28"/>
  <c r="AO46" i="28" a="1"/>
  <c r="AO46" i="28"/>
  <c r="AP46" i="28" a="1"/>
  <c r="AP46" i="28"/>
  <c r="AQ46" i="28" a="1"/>
  <c r="AQ46" i="28"/>
  <c r="AR46" i="28" a="1"/>
  <c r="AR46" i="28"/>
  <c r="AS46" i="28" a="1"/>
  <c r="AS46" i="28"/>
  <c r="AT46" i="28" a="1"/>
  <c r="AT46" i="28"/>
  <c r="AU46" i="28" a="1"/>
  <c r="AU46" i="28"/>
  <c r="AV46" i="28" a="1"/>
  <c r="AV46" i="28"/>
  <c r="AW46" i="28" a="1"/>
  <c r="AW46" i="28"/>
  <c r="AX46" i="28" a="1"/>
  <c r="AX46" i="28"/>
  <c r="AY46" i="28" a="1"/>
  <c r="AY46" i="28"/>
  <c r="AZ46" i="28" a="1"/>
  <c r="AZ46" i="28"/>
  <c r="BA46" i="28" a="1"/>
  <c r="BA46" i="28"/>
  <c r="BB46" i="28" a="1"/>
  <c r="BB46" i="28"/>
  <c r="BC46" i="28" a="1"/>
  <c r="BC46" i="28"/>
  <c r="BD46" i="28" a="1"/>
  <c r="BD46" i="28"/>
  <c r="BE46" i="28" a="1"/>
  <c r="BE46" i="28"/>
  <c r="BF46" i="28" a="1"/>
  <c r="BF46" i="28"/>
  <c r="BG46" i="28" a="1"/>
  <c r="BG46" i="28"/>
  <c r="BH46" i="28" a="1"/>
  <c r="BH46" i="28"/>
  <c r="BI46" i="28" a="1"/>
  <c r="BI46" i="28"/>
  <c r="BJ46" i="28" a="1"/>
  <c r="BJ46" i="28"/>
  <c r="BK46" i="28" a="1"/>
  <c r="BK46" i="28"/>
  <c r="BL46" i="28" a="1"/>
  <c r="BL46" i="28"/>
  <c r="BM46" i="28" a="1"/>
  <c r="BM46" i="28"/>
  <c r="BN46" i="28" a="1"/>
  <c r="BN46" i="28"/>
  <c r="BO46" i="28" a="1"/>
  <c r="BO46" i="28"/>
  <c r="BP46" i="28" a="1"/>
  <c r="BP46" i="28"/>
  <c r="E47" i="28" a="1"/>
  <c r="E47" i="28"/>
  <c r="F47" i="28" a="1"/>
  <c r="F47" i="28"/>
  <c r="G47" i="28" a="1"/>
  <c r="G47" i="28"/>
  <c r="H47" i="28" a="1"/>
  <c r="H47" i="28"/>
  <c r="I47" i="28" a="1"/>
  <c r="I47" i="28"/>
  <c r="J47" i="28" a="1"/>
  <c r="J47" i="28"/>
  <c r="K47" i="28" a="1"/>
  <c r="K47" i="28"/>
  <c r="L47" i="28" a="1"/>
  <c r="L47" i="28"/>
  <c r="M47" i="28" a="1"/>
  <c r="M47" i="28"/>
  <c r="N47" i="28" a="1"/>
  <c r="N47" i="28"/>
  <c r="O47" i="28" a="1"/>
  <c r="O47" i="28"/>
  <c r="P47" i="28" a="1"/>
  <c r="P47" i="28"/>
  <c r="Q47" i="28" a="1"/>
  <c r="Q47" i="28"/>
  <c r="R47" i="28" a="1"/>
  <c r="R47" i="28"/>
  <c r="S47" i="28" a="1"/>
  <c r="S47" i="28"/>
  <c r="T47" i="28" a="1"/>
  <c r="T47" i="28"/>
  <c r="U47" i="28" a="1"/>
  <c r="U47" i="28"/>
  <c r="V47" i="28" a="1"/>
  <c r="V47" i="28"/>
  <c r="W47" i="28" a="1"/>
  <c r="W47" i="28"/>
  <c r="X47" i="28" a="1"/>
  <c r="X47" i="28"/>
  <c r="Y47" i="28" a="1"/>
  <c r="Y47" i="28"/>
  <c r="Z47" i="28" a="1"/>
  <c r="Z47" i="28"/>
  <c r="AA47" i="28" a="1"/>
  <c r="AA47" i="28"/>
  <c r="AB47" i="28" a="1"/>
  <c r="AB47" i="28"/>
  <c r="AC47" i="28" a="1"/>
  <c r="AC47" i="28"/>
  <c r="AD47" i="28" a="1"/>
  <c r="AD47" i="28"/>
  <c r="AE47" i="28" a="1"/>
  <c r="AE47" i="28"/>
  <c r="AF47" i="28" a="1"/>
  <c r="AF47" i="28"/>
  <c r="AG47" i="28" a="1"/>
  <c r="AG47" i="28"/>
  <c r="AH47" i="28" a="1"/>
  <c r="AH47" i="28"/>
  <c r="AI47" i="28" a="1"/>
  <c r="AI47" i="28"/>
  <c r="AJ47" i="28" a="1"/>
  <c r="AJ47" i="28"/>
  <c r="AK47" i="28" a="1"/>
  <c r="AK47" i="28"/>
  <c r="AL47" i="28" a="1"/>
  <c r="AL47" i="28"/>
  <c r="AM47" i="28" a="1"/>
  <c r="AM47" i="28"/>
  <c r="AN47" i="28" a="1"/>
  <c r="AN47" i="28"/>
  <c r="AO47" i="28" a="1"/>
  <c r="AO47" i="28"/>
  <c r="AP47" i="28" a="1"/>
  <c r="AP47" i="28"/>
  <c r="AQ47" i="28" a="1"/>
  <c r="AQ47" i="28"/>
  <c r="AR47" i="28" a="1"/>
  <c r="AR47" i="28"/>
  <c r="AS47" i="28" a="1"/>
  <c r="AS47" i="28"/>
  <c r="AT47" i="28" a="1"/>
  <c r="AT47" i="28"/>
  <c r="AU47" i="28" a="1"/>
  <c r="AU47" i="28"/>
  <c r="AV47" i="28" a="1"/>
  <c r="AV47" i="28"/>
  <c r="AW47" i="28" a="1"/>
  <c r="AW47" i="28"/>
  <c r="AX47" i="28" a="1"/>
  <c r="AX47" i="28"/>
  <c r="AY47" i="28" a="1"/>
  <c r="AY47" i="28"/>
  <c r="AZ47" i="28" a="1"/>
  <c r="AZ47" i="28"/>
  <c r="BA47" i="28" a="1"/>
  <c r="BA47" i="28"/>
  <c r="BB47" i="28" a="1"/>
  <c r="BB47" i="28"/>
  <c r="BC47" i="28" a="1"/>
  <c r="BC47" i="28"/>
  <c r="BD47" i="28" a="1"/>
  <c r="BD47" i="28"/>
  <c r="BE47" i="28" a="1"/>
  <c r="BE47" i="28"/>
  <c r="BF47" i="28" a="1"/>
  <c r="BF47" i="28"/>
  <c r="BG47" i="28" a="1"/>
  <c r="BG47" i="28"/>
  <c r="BH47" i="28" a="1"/>
  <c r="BH47" i="28"/>
  <c r="BI47" i="28" a="1"/>
  <c r="BI47" i="28"/>
  <c r="BJ47" i="28" a="1"/>
  <c r="BJ47" i="28"/>
  <c r="BK47" i="28" a="1"/>
  <c r="BK47" i="28"/>
  <c r="BL47" i="28" a="1"/>
  <c r="BL47" i="28"/>
  <c r="BM47" i="28" a="1"/>
  <c r="BM47" i="28"/>
  <c r="BN47" i="28" a="1"/>
  <c r="BN47" i="28"/>
  <c r="BO47" i="28" a="1"/>
  <c r="BO47" i="28"/>
  <c r="BP47" i="28" a="1"/>
  <c r="BP47" i="28"/>
  <c r="E48" i="28" a="1"/>
  <c r="E48" i="28"/>
  <c r="F48" i="28" a="1"/>
  <c r="F48" i="28"/>
  <c r="G48" i="28" a="1"/>
  <c r="G48" i="28"/>
  <c r="H48" i="28" a="1"/>
  <c r="H48" i="28"/>
  <c r="I48" i="28" a="1"/>
  <c r="I48" i="28"/>
  <c r="J48" i="28" a="1"/>
  <c r="J48" i="28"/>
  <c r="K48" i="28" a="1"/>
  <c r="K48" i="28"/>
  <c r="L48" i="28" a="1"/>
  <c r="L48" i="28"/>
  <c r="M48" i="28" a="1"/>
  <c r="M48" i="28"/>
  <c r="N48" i="28" a="1"/>
  <c r="N48" i="28"/>
  <c r="O48" i="28" a="1"/>
  <c r="O48" i="28"/>
  <c r="P48" i="28" a="1"/>
  <c r="P48" i="28"/>
  <c r="Q48" i="28" a="1"/>
  <c r="Q48" i="28"/>
  <c r="R48" i="28" a="1"/>
  <c r="R48" i="28"/>
  <c r="S48" i="28" a="1"/>
  <c r="S48" i="28"/>
  <c r="T48" i="28" a="1"/>
  <c r="T48" i="28"/>
  <c r="U48" i="28" a="1"/>
  <c r="U48" i="28"/>
  <c r="V48" i="28" a="1"/>
  <c r="V48" i="28"/>
  <c r="W48" i="28" a="1"/>
  <c r="W48" i="28"/>
  <c r="X48" i="28" a="1"/>
  <c r="X48" i="28"/>
  <c r="Y48" i="28" a="1"/>
  <c r="Y48" i="28"/>
  <c r="Z48" i="28" a="1"/>
  <c r="Z48" i="28"/>
  <c r="AA48" i="28" a="1"/>
  <c r="AA48" i="28"/>
  <c r="AB48" i="28" a="1"/>
  <c r="AB48" i="28"/>
  <c r="AC48" i="28" a="1"/>
  <c r="AC48" i="28"/>
  <c r="AD48" i="28" a="1"/>
  <c r="AD48" i="28"/>
  <c r="AE48" i="28" a="1"/>
  <c r="AE48" i="28"/>
  <c r="AF48" i="28" a="1"/>
  <c r="AF48" i="28"/>
  <c r="AG48" i="28" a="1"/>
  <c r="AG48" i="28"/>
  <c r="AH48" i="28" a="1"/>
  <c r="AH48" i="28"/>
  <c r="AI48" i="28" a="1"/>
  <c r="AI48" i="28"/>
  <c r="AJ48" i="28" a="1"/>
  <c r="AJ48" i="28"/>
  <c r="AK48" i="28" a="1"/>
  <c r="AK48" i="28"/>
  <c r="AL48" i="28" a="1"/>
  <c r="AL48" i="28"/>
  <c r="AM48" i="28" a="1"/>
  <c r="AM48" i="28"/>
  <c r="AN48" i="28" a="1"/>
  <c r="AN48" i="28"/>
  <c r="AO48" i="28" a="1"/>
  <c r="AO48" i="28"/>
  <c r="AP48" i="28" a="1"/>
  <c r="AP48" i="28"/>
  <c r="AQ48" i="28" a="1"/>
  <c r="AQ48" i="28"/>
  <c r="AR48" i="28" a="1"/>
  <c r="AR48" i="28"/>
  <c r="AS48" i="28" a="1"/>
  <c r="AS48" i="28"/>
  <c r="AT48" i="28" a="1"/>
  <c r="AT48" i="28"/>
  <c r="AU48" i="28" a="1"/>
  <c r="AU48" i="28"/>
  <c r="AV48" i="28" a="1"/>
  <c r="AV48" i="28"/>
  <c r="AW48" i="28" a="1"/>
  <c r="AW48" i="28"/>
  <c r="AX48" i="28" a="1"/>
  <c r="AX48" i="28"/>
  <c r="AY48" i="28" a="1"/>
  <c r="AY48" i="28"/>
  <c r="AZ48" i="28" a="1"/>
  <c r="AZ48" i="28"/>
  <c r="BA48" i="28" a="1"/>
  <c r="BA48" i="28"/>
  <c r="BB48" i="28" a="1"/>
  <c r="BB48" i="28"/>
  <c r="BC48" i="28" a="1"/>
  <c r="BC48" i="28"/>
  <c r="BD48" i="28" a="1"/>
  <c r="BD48" i="28"/>
  <c r="BE48" i="28" a="1"/>
  <c r="BE48" i="28"/>
  <c r="BF48" i="28" a="1"/>
  <c r="BF48" i="28"/>
  <c r="BG48" i="28" a="1"/>
  <c r="BG48" i="28"/>
  <c r="BH48" i="28" a="1"/>
  <c r="BH48" i="28"/>
  <c r="BI48" i="28" a="1"/>
  <c r="BI48" i="28"/>
  <c r="BJ48" i="28" a="1"/>
  <c r="BJ48" i="28"/>
  <c r="BK48" i="28" a="1"/>
  <c r="BK48" i="28"/>
  <c r="BL48" i="28" a="1"/>
  <c r="BL48" i="28"/>
  <c r="BM48" i="28" a="1"/>
  <c r="BM48" i="28"/>
  <c r="BN48" i="28" a="1"/>
  <c r="BN48" i="28"/>
  <c r="BO48" i="28" a="1"/>
  <c r="BO48" i="28"/>
  <c r="BP48" i="28" a="1"/>
  <c r="BP48" i="28"/>
  <c r="E49" i="28" a="1"/>
  <c r="E49" i="28"/>
  <c r="F49" i="28" a="1"/>
  <c r="F49" i="28"/>
  <c r="G49" i="28" a="1"/>
  <c r="G49" i="28"/>
  <c r="H49" i="28" a="1"/>
  <c r="H49" i="28"/>
  <c r="I49" i="28" a="1"/>
  <c r="I49" i="28"/>
  <c r="J49" i="28" a="1"/>
  <c r="J49" i="28"/>
  <c r="K49" i="28" a="1"/>
  <c r="K49" i="28"/>
  <c r="L49" i="28" a="1"/>
  <c r="L49" i="28"/>
  <c r="M49" i="28" a="1"/>
  <c r="M49" i="28"/>
  <c r="N49" i="28" a="1"/>
  <c r="N49" i="28"/>
  <c r="O49" i="28" a="1"/>
  <c r="O49" i="28"/>
  <c r="P49" i="28" a="1"/>
  <c r="P49" i="28"/>
  <c r="Q49" i="28" a="1"/>
  <c r="Q49" i="28"/>
  <c r="R49" i="28" a="1"/>
  <c r="R49" i="28"/>
  <c r="S49" i="28" a="1"/>
  <c r="S49" i="28"/>
  <c r="T49" i="28" a="1"/>
  <c r="T49" i="28"/>
  <c r="U49" i="28" a="1"/>
  <c r="U49" i="28"/>
  <c r="V49" i="28" a="1"/>
  <c r="V49" i="28"/>
  <c r="W49" i="28" a="1"/>
  <c r="W49" i="28"/>
  <c r="X49" i="28" a="1"/>
  <c r="X49" i="28"/>
  <c r="Y49" i="28" a="1"/>
  <c r="Y49" i="28"/>
  <c r="Z49" i="28" a="1"/>
  <c r="Z49" i="28"/>
  <c r="AA49" i="28" a="1"/>
  <c r="AA49" i="28"/>
  <c r="AB49" i="28" a="1"/>
  <c r="AB49" i="28"/>
  <c r="AC49" i="28" a="1"/>
  <c r="AC49" i="28"/>
  <c r="AD49" i="28" a="1"/>
  <c r="AD49" i="28"/>
  <c r="AE49" i="28" a="1"/>
  <c r="AE49" i="28"/>
  <c r="AF49" i="28" a="1"/>
  <c r="AF49" i="28"/>
  <c r="AG49" i="28" a="1"/>
  <c r="AG49" i="28"/>
  <c r="AH49" i="28" a="1"/>
  <c r="AH49" i="28"/>
  <c r="AI49" i="28" a="1"/>
  <c r="AI49" i="28"/>
  <c r="AJ49" i="28" a="1"/>
  <c r="AJ49" i="28"/>
  <c r="AK49" i="28" a="1"/>
  <c r="AK49" i="28"/>
  <c r="AL49" i="28" a="1"/>
  <c r="AL49" i="28"/>
  <c r="AM49" i="28" a="1"/>
  <c r="AM49" i="28"/>
  <c r="AN49" i="28" a="1"/>
  <c r="AN49" i="28"/>
  <c r="AO49" i="28" a="1"/>
  <c r="AO49" i="28"/>
  <c r="AP49" i="28" a="1"/>
  <c r="AP49" i="28"/>
  <c r="AQ49" i="28" a="1"/>
  <c r="AQ49" i="28"/>
  <c r="AR49" i="28" a="1"/>
  <c r="AR49" i="28"/>
  <c r="AS49" i="28" a="1"/>
  <c r="AS49" i="28"/>
  <c r="AT49" i="28" a="1"/>
  <c r="AT49" i="28"/>
  <c r="AU49" i="28" a="1"/>
  <c r="AU49" i="28"/>
  <c r="AV49" i="28" a="1"/>
  <c r="AV49" i="28"/>
  <c r="AW49" i="28" a="1"/>
  <c r="AW49" i="28"/>
  <c r="AX49" i="28" a="1"/>
  <c r="AX49" i="28"/>
  <c r="AY49" i="28" a="1"/>
  <c r="AY49" i="28"/>
  <c r="AZ49" i="28" a="1"/>
  <c r="AZ49" i="28"/>
  <c r="BA49" i="28" a="1"/>
  <c r="BA49" i="28"/>
  <c r="BB49" i="28" a="1"/>
  <c r="BB49" i="28"/>
  <c r="BC49" i="28" a="1"/>
  <c r="BC49" i="28"/>
  <c r="BD49" i="28" a="1"/>
  <c r="BD49" i="28"/>
  <c r="BE49" i="28" a="1"/>
  <c r="BE49" i="28"/>
  <c r="BF49" i="28" a="1"/>
  <c r="BF49" i="28"/>
  <c r="BG49" i="28" a="1"/>
  <c r="BG49" i="28"/>
  <c r="BH49" i="28" a="1"/>
  <c r="BH49" i="28"/>
  <c r="BI49" i="28" a="1"/>
  <c r="BI49" i="28"/>
  <c r="BJ49" i="28" a="1"/>
  <c r="BJ49" i="28"/>
  <c r="BK49" i="28" a="1"/>
  <c r="BK49" i="28"/>
  <c r="BL49" i="28" a="1"/>
  <c r="BL49" i="28"/>
  <c r="BM49" i="28" a="1"/>
  <c r="BM49" i="28"/>
  <c r="BN49" i="28" a="1"/>
  <c r="BN49" i="28"/>
  <c r="BO49" i="28" a="1"/>
  <c r="BO49" i="28"/>
  <c r="BP49" i="28" a="1"/>
  <c r="BP49" i="28"/>
  <c r="E45" i="27" a="1"/>
  <c r="E45" i="27"/>
  <c r="F45" i="27" a="1"/>
  <c r="F45" i="27"/>
  <c r="G45" i="27" a="1"/>
  <c r="G45" i="27"/>
  <c r="H45" i="27" a="1"/>
  <c r="H45" i="27"/>
  <c r="I45" i="27" a="1"/>
  <c r="I45" i="27"/>
  <c r="J45" i="27" a="1"/>
  <c r="J45" i="27"/>
  <c r="K45" i="27" a="1"/>
  <c r="K45" i="27"/>
  <c r="L45" i="27" a="1"/>
  <c r="L45" i="27"/>
  <c r="M45" i="27" a="1"/>
  <c r="M45" i="27"/>
  <c r="N45" i="27" a="1"/>
  <c r="N45" i="27"/>
  <c r="O45" i="27" a="1"/>
  <c r="O45" i="27"/>
  <c r="P45" i="27" a="1"/>
  <c r="P45" i="27"/>
  <c r="Q45" i="27" a="1"/>
  <c r="Q45" i="27"/>
  <c r="R45" i="27" a="1"/>
  <c r="R45" i="27"/>
  <c r="S45" i="27" a="1"/>
  <c r="S45" i="27"/>
  <c r="T45" i="27" a="1"/>
  <c r="T45" i="27"/>
  <c r="U45" i="27" a="1"/>
  <c r="U45" i="27"/>
  <c r="V45" i="27" a="1"/>
  <c r="V45" i="27"/>
  <c r="W45" i="27" a="1"/>
  <c r="W45" i="27"/>
  <c r="X45" i="27" a="1"/>
  <c r="X45" i="27"/>
  <c r="Y45" i="27" a="1"/>
  <c r="Y45" i="27"/>
  <c r="Z45" i="27" a="1"/>
  <c r="Z45" i="27"/>
  <c r="AA45" i="27" a="1"/>
  <c r="AA45" i="27"/>
  <c r="AB45" i="27" a="1"/>
  <c r="AB45" i="27"/>
  <c r="AC45" i="27" a="1"/>
  <c r="AC45" i="27"/>
  <c r="AD45" i="27" a="1"/>
  <c r="AD45" i="27"/>
  <c r="AE45" i="27" a="1"/>
  <c r="AE45" i="27"/>
  <c r="AF45" i="27" a="1"/>
  <c r="AF45" i="27"/>
  <c r="AG45" i="27" a="1"/>
  <c r="AG45" i="27"/>
  <c r="AH45" i="27" a="1"/>
  <c r="AH45" i="27"/>
  <c r="AI45" i="27" a="1"/>
  <c r="AI45" i="27"/>
  <c r="AJ45" i="27" a="1"/>
  <c r="AJ45" i="27"/>
  <c r="AK45" i="27" a="1"/>
  <c r="AK45" i="27"/>
  <c r="AL45" i="27" a="1"/>
  <c r="AL45" i="27"/>
  <c r="AM45" i="27" a="1"/>
  <c r="AM45" i="27"/>
  <c r="AN45" i="27" a="1"/>
  <c r="AN45" i="27"/>
  <c r="AO45" i="27" a="1"/>
  <c r="AO45" i="27"/>
  <c r="AP45" i="27" a="1"/>
  <c r="AP45" i="27"/>
  <c r="AQ45" i="27" a="1"/>
  <c r="AQ45" i="27"/>
  <c r="AR45" i="27" a="1"/>
  <c r="AR45" i="27"/>
  <c r="AS45" i="27" a="1"/>
  <c r="AS45" i="27"/>
  <c r="AT45" i="27" a="1"/>
  <c r="AT45" i="27"/>
  <c r="AU45" i="27" a="1"/>
  <c r="AU45" i="27"/>
  <c r="AV45" i="27" a="1"/>
  <c r="AV45" i="27"/>
  <c r="AW45" i="27" a="1"/>
  <c r="AW45" i="27"/>
  <c r="AX45" i="27" a="1"/>
  <c r="AX45" i="27"/>
  <c r="AY45" i="27" a="1"/>
  <c r="AY45" i="27"/>
  <c r="AZ45" i="27" a="1"/>
  <c r="AZ45" i="27"/>
  <c r="BA45" i="27" a="1"/>
  <c r="BA45" i="27"/>
  <c r="BB45" i="27" a="1"/>
  <c r="BB45" i="27"/>
  <c r="BC45" i="27" a="1"/>
  <c r="BC45" i="27"/>
  <c r="BD45" i="27" a="1"/>
  <c r="BD45" i="27"/>
  <c r="BE45" i="27" a="1"/>
  <c r="BE45" i="27"/>
  <c r="BF45" i="27" a="1"/>
  <c r="BF45" i="27"/>
  <c r="BG45" i="27" a="1"/>
  <c r="BG45" i="27"/>
  <c r="BH45" i="27" a="1"/>
  <c r="BH45" i="27"/>
  <c r="BI45" i="27" a="1"/>
  <c r="BI45" i="27"/>
  <c r="BJ45" i="27" a="1"/>
  <c r="BJ45" i="27"/>
  <c r="BK45" i="27" a="1"/>
  <c r="BK45" i="27"/>
  <c r="BL45" i="27" a="1"/>
  <c r="BL45" i="27"/>
  <c r="BM45" i="27" a="1"/>
  <c r="BM45" i="27"/>
  <c r="BN45" i="27" a="1"/>
  <c r="BN45" i="27"/>
  <c r="BO45" i="27" a="1"/>
  <c r="BO45" i="27"/>
  <c r="BP45" i="27" a="1"/>
  <c r="BP45" i="27"/>
  <c r="E46" i="27" a="1"/>
  <c r="E46" i="27"/>
  <c r="F46" i="27" a="1"/>
  <c r="F46" i="27"/>
  <c r="G46" i="27" a="1"/>
  <c r="G46" i="27"/>
  <c r="H46" i="27" a="1"/>
  <c r="H46" i="27"/>
  <c r="I46" i="27" a="1"/>
  <c r="I46" i="27"/>
  <c r="J46" i="27" a="1"/>
  <c r="J46" i="27"/>
  <c r="K46" i="27" a="1"/>
  <c r="K46" i="27"/>
  <c r="L46" i="27" a="1"/>
  <c r="L46" i="27"/>
  <c r="M46" i="27" a="1"/>
  <c r="M46" i="27"/>
  <c r="N46" i="27" a="1"/>
  <c r="N46" i="27"/>
  <c r="O46" i="27" a="1"/>
  <c r="O46" i="27"/>
  <c r="P46" i="27" a="1"/>
  <c r="P46" i="27"/>
  <c r="Q46" i="27" a="1"/>
  <c r="Q46" i="27"/>
  <c r="R46" i="27" a="1"/>
  <c r="R46" i="27"/>
  <c r="S46" i="27" a="1"/>
  <c r="S46" i="27"/>
  <c r="T46" i="27" a="1"/>
  <c r="T46" i="27"/>
  <c r="U46" i="27" a="1"/>
  <c r="U46" i="27"/>
  <c r="V46" i="27" a="1"/>
  <c r="V46" i="27"/>
  <c r="W46" i="27" a="1"/>
  <c r="W46" i="27"/>
  <c r="X46" i="27" a="1"/>
  <c r="X46" i="27"/>
  <c r="Y46" i="27" a="1"/>
  <c r="Y46" i="27"/>
  <c r="Z46" i="27" a="1"/>
  <c r="Z46" i="27"/>
  <c r="AA46" i="27" a="1"/>
  <c r="AA46" i="27"/>
  <c r="AB46" i="27" a="1"/>
  <c r="AB46" i="27"/>
  <c r="AC46" i="27" a="1"/>
  <c r="AC46" i="27"/>
  <c r="AD46" i="27" a="1"/>
  <c r="AD46" i="27"/>
  <c r="AE46" i="27" a="1"/>
  <c r="AE46" i="27"/>
  <c r="AF46" i="27" a="1"/>
  <c r="AF46" i="27"/>
  <c r="AG46" i="27" a="1"/>
  <c r="AG46" i="27"/>
  <c r="AH46" i="27" a="1"/>
  <c r="AH46" i="27"/>
  <c r="AI46" i="27" a="1"/>
  <c r="AI46" i="27"/>
  <c r="AJ46" i="27" a="1"/>
  <c r="AJ46" i="27"/>
  <c r="AK46" i="27" a="1"/>
  <c r="AK46" i="27"/>
  <c r="AL46" i="27" a="1"/>
  <c r="AL46" i="27"/>
  <c r="AM46" i="27" a="1"/>
  <c r="AM46" i="27"/>
  <c r="AN46" i="27" a="1"/>
  <c r="AN46" i="27"/>
  <c r="AO46" i="27" a="1"/>
  <c r="AO46" i="27"/>
  <c r="AP46" i="27" a="1"/>
  <c r="AP46" i="27"/>
  <c r="AQ46" i="27" a="1"/>
  <c r="AQ46" i="27"/>
  <c r="AR46" i="27" a="1"/>
  <c r="AR46" i="27"/>
  <c r="AS46" i="27" a="1"/>
  <c r="AS46" i="27"/>
  <c r="AT46" i="27" a="1"/>
  <c r="AT46" i="27"/>
  <c r="AU46" i="27" a="1"/>
  <c r="AU46" i="27"/>
  <c r="AV46" i="27" a="1"/>
  <c r="AV46" i="27"/>
  <c r="AW46" i="27" a="1"/>
  <c r="AW46" i="27"/>
  <c r="AX46" i="27" a="1"/>
  <c r="AX46" i="27"/>
  <c r="AY46" i="27" a="1"/>
  <c r="AY46" i="27"/>
  <c r="AZ46" i="27" a="1"/>
  <c r="AZ46" i="27"/>
  <c r="BA46" i="27" a="1"/>
  <c r="BA46" i="27"/>
  <c r="BB46" i="27" a="1"/>
  <c r="BB46" i="27"/>
  <c r="BC46" i="27" a="1"/>
  <c r="BC46" i="27"/>
  <c r="BD46" i="27" a="1"/>
  <c r="BD46" i="27"/>
  <c r="BE46" i="27" a="1"/>
  <c r="BE46" i="27"/>
  <c r="BF46" i="27" a="1"/>
  <c r="BF46" i="27"/>
  <c r="BG46" i="27" a="1"/>
  <c r="BG46" i="27"/>
  <c r="BH46" i="27" a="1"/>
  <c r="BH46" i="27"/>
  <c r="BI46" i="27" a="1"/>
  <c r="BI46" i="27"/>
  <c r="BJ46" i="27" a="1"/>
  <c r="BJ46" i="27"/>
  <c r="BK46" i="27" a="1"/>
  <c r="BK46" i="27"/>
  <c r="BL46" i="27" a="1"/>
  <c r="BL46" i="27"/>
  <c r="BM46" i="27" a="1"/>
  <c r="BM46" i="27"/>
  <c r="BN46" i="27" a="1"/>
  <c r="BN46" i="27"/>
  <c r="BO46" i="27" a="1"/>
  <c r="BO46" i="27"/>
  <c r="BP46" i="27" a="1"/>
  <c r="BP46" i="27"/>
  <c r="E47" i="27" a="1"/>
  <c r="E47" i="27"/>
  <c r="F47" i="27" a="1"/>
  <c r="F47" i="27"/>
  <c r="G47" i="27" a="1"/>
  <c r="G47" i="27"/>
  <c r="H47" i="27" a="1"/>
  <c r="H47" i="27"/>
  <c r="I47" i="27" a="1"/>
  <c r="I47" i="27"/>
  <c r="J47" i="27" a="1"/>
  <c r="J47" i="27"/>
  <c r="K47" i="27" a="1"/>
  <c r="K47" i="27"/>
  <c r="L47" i="27" a="1"/>
  <c r="L47" i="27"/>
  <c r="M47" i="27" a="1"/>
  <c r="M47" i="27"/>
  <c r="N47" i="27" a="1"/>
  <c r="N47" i="27"/>
  <c r="O47" i="27" a="1"/>
  <c r="O47" i="27"/>
  <c r="P47" i="27" a="1"/>
  <c r="P47" i="27"/>
  <c r="Q47" i="27" a="1"/>
  <c r="Q47" i="27"/>
  <c r="R47" i="27" a="1"/>
  <c r="R47" i="27"/>
  <c r="S47" i="27" a="1"/>
  <c r="S47" i="27"/>
  <c r="T47" i="27" a="1"/>
  <c r="T47" i="27"/>
  <c r="U47" i="27" a="1"/>
  <c r="U47" i="27"/>
  <c r="V47" i="27" a="1"/>
  <c r="V47" i="27"/>
  <c r="W47" i="27" a="1"/>
  <c r="W47" i="27"/>
  <c r="X47" i="27" a="1"/>
  <c r="X47" i="27"/>
  <c r="Y47" i="27" a="1"/>
  <c r="Y47" i="27"/>
  <c r="Z47" i="27" a="1"/>
  <c r="Z47" i="27"/>
  <c r="AA47" i="27" a="1"/>
  <c r="AA47" i="27"/>
  <c r="AB47" i="27" a="1"/>
  <c r="AB47" i="27"/>
  <c r="AC47" i="27" a="1"/>
  <c r="AC47" i="27"/>
  <c r="AD47" i="27" a="1"/>
  <c r="AD47" i="27"/>
  <c r="AE47" i="27" a="1"/>
  <c r="AE47" i="27"/>
  <c r="AF47" i="27" a="1"/>
  <c r="AF47" i="27"/>
  <c r="AG47" i="27" a="1"/>
  <c r="AG47" i="27"/>
  <c r="AH47" i="27" a="1"/>
  <c r="AH47" i="27"/>
  <c r="AI47" i="27" a="1"/>
  <c r="AI47" i="27"/>
  <c r="AJ47" i="27" a="1"/>
  <c r="AJ47" i="27"/>
  <c r="AK47" i="27" a="1"/>
  <c r="AK47" i="27"/>
  <c r="AL47" i="27" a="1"/>
  <c r="AL47" i="27"/>
  <c r="AM47" i="27" a="1"/>
  <c r="AM47" i="27"/>
  <c r="AN47" i="27" a="1"/>
  <c r="AN47" i="27"/>
  <c r="AO47" i="27" a="1"/>
  <c r="AO47" i="27"/>
  <c r="AP47" i="27" a="1"/>
  <c r="AP47" i="27"/>
  <c r="AQ47" i="27" a="1"/>
  <c r="AQ47" i="27"/>
  <c r="AR47" i="27" a="1"/>
  <c r="AR47" i="27"/>
  <c r="AS47" i="27" a="1"/>
  <c r="AS47" i="27"/>
  <c r="AT47" i="27" a="1"/>
  <c r="AT47" i="27"/>
  <c r="AU47" i="27" a="1"/>
  <c r="AU47" i="27"/>
  <c r="AV47" i="27" a="1"/>
  <c r="AV47" i="27"/>
  <c r="AW47" i="27" a="1"/>
  <c r="AW47" i="27"/>
  <c r="AX47" i="27" a="1"/>
  <c r="AX47" i="27"/>
  <c r="AY47" i="27" a="1"/>
  <c r="AY47" i="27"/>
  <c r="AZ47" i="27" a="1"/>
  <c r="AZ47" i="27"/>
  <c r="BA47" i="27" a="1"/>
  <c r="BA47" i="27"/>
  <c r="BB47" i="27" a="1"/>
  <c r="BB47" i="27"/>
  <c r="BC47" i="27" a="1"/>
  <c r="BC47" i="27"/>
  <c r="BD47" i="27" a="1"/>
  <c r="BD47" i="27"/>
  <c r="BE47" i="27" a="1"/>
  <c r="BE47" i="27"/>
  <c r="BF47" i="27" a="1"/>
  <c r="BF47" i="27"/>
  <c r="BG47" i="27" a="1"/>
  <c r="BG47" i="27"/>
  <c r="BH47" i="27" a="1"/>
  <c r="BH47" i="27"/>
  <c r="BI47" i="27" a="1"/>
  <c r="BI47" i="27"/>
  <c r="BJ47" i="27" a="1"/>
  <c r="BJ47" i="27"/>
  <c r="BK47" i="27" a="1"/>
  <c r="BK47" i="27"/>
  <c r="BL47" i="27" a="1"/>
  <c r="BL47" i="27"/>
  <c r="BM47" i="27" a="1"/>
  <c r="BM47" i="27"/>
  <c r="BN47" i="27" a="1"/>
  <c r="BN47" i="27"/>
  <c r="BO47" i="27" a="1"/>
  <c r="BO47" i="27"/>
  <c r="BP47" i="27" a="1"/>
  <c r="BP47" i="27"/>
  <c r="E48" i="27" a="1"/>
  <c r="E48" i="27"/>
  <c r="F48" i="27" a="1"/>
  <c r="F48" i="27"/>
  <c r="G48" i="27" a="1"/>
  <c r="G48" i="27"/>
  <c r="H48" i="27" a="1"/>
  <c r="H48" i="27"/>
  <c r="I48" i="27" a="1"/>
  <c r="I48" i="27"/>
  <c r="J48" i="27" a="1"/>
  <c r="J48" i="27"/>
  <c r="K48" i="27" a="1"/>
  <c r="K48" i="27"/>
  <c r="L48" i="27" a="1"/>
  <c r="L48" i="27"/>
  <c r="M48" i="27" a="1"/>
  <c r="M48" i="27"/>
  <c r="N48" i="27" a="1"/>
  <c r="N48" i="27"/>
  <c r="O48" i="27" a="1"/>
  <c r="O48" i="27"/>
  <c r="P48" i="27" a="1"/>
  <c r="P48" i="27"/>
  <c r="Q48" i="27" a="1"/>
  <c r="Q48" i="27"/>
  <c r="R48" i="27" a="1"/>
  <c r="R48" i="27"/>
  <c r="S48" i="27" a="1"/>
  <c r="S48" i="27"/>
  <c r="T48" i="27" a="1"/>
  <c r="T48" i="27"/>
  <c r="U48" i="27" a="1"/>
  <c r="U48" i="27"/>
  <c r="V48" i="27" a="1"/>
  <c r="V48" i="27"/>
  <c r="W48" i="27" a="1"/>
  <c r="W48" i="27"/>
  <c r="X48" i="27" a="1"/>
  <c r="X48" i="27"/>
  <c r="Y48" i="27" a="1"/>
  <c r="Y48" i="27"/>
  <c r="Z48" i="27" a="1"/>
  <c r="Z48" i="27"/>
  <c r="AA48" i="27" a="1"/>
  <c r="AA48" i="27"/>
  <c r="AB48" i="27" a="1"/>
  <c r="AB48" i="27"/>
  <c r="AC48" i="27" a="1"/>
  <c r="AC48" i="27"/>
  <c r="AD48" i="27" a="1"/>
  <c r="AD48" i="27"/>
  <c r="AE48" i="27" a="1"/>
  <c r="AE48" i="27"/>
  <c r="AF48" i="27" a="1"/>
  <c r="AF48" i="27"/>
  <c r="AG48" i="27" a="1"/>
  <c r="AG48" i="27"/>
  <c r="AH48" i="27" a="1"/>
  <c r="AH48" i="27"/>
  <c r="AI48" i="27" a="1"/>
  <c r="AI48" i="27"/>
  <c r="AJ48" i="27" a="1"/>
  <c r="AJ48" i="27"/>
  <c r="AK48" i="27" a="1"/>
  <c r="AK48" i="27"/>
  <c r="AL48" i="27" a="1"/>
  <c r="AL48" i="27"/>
  <c r="AM48" i="27" a="1"/>
  <c r="AM48" i="27"/>
  <c r="AN48" i="27" a="1"/>
  <c r="AN48" i="27"/>
  <c r="AO48" i="27" a="1"/>
  <c r="AO48" i="27"/>
  <c r="AP48" i="27" a="1"/>
  <c r="AP48" i="27"/>
  <c r="AQ48" i="27" a="1"/>
  <c r="AQ48" i="27"/>
  <c r="AR48" i="27" a="1"/>
  <c r="AR48" i="27"/>
  <c r="AS48" i="27" a="1"/>
  <c r="AS48" i="27"/>
  <c r="AT48" i="27" a="1"/>
  <c r="AT48" i="27"/>
  <c r="AU48" i="27" a="1"/>
  <c r="AU48" i="27"/>
  <c r="AV48" i="27" a="1"/>
  <c r="AV48" i="27"/>
  <c r="AW48" i="27" a="1"/>
  <c r="AW48" i="27"/>
  <c r="AX48" i="27" a="1"/>
  <c r="AX48" i="27"/>
  <c r="AY48" i="27" a="1"/>
  <c r="AY48" i="27"/>
  <c r="AZ48" i="27" a="1"/>
  <c r="AZ48" i="27"/>
  <c r="BA48" i="27" a="1"/>
  <c r="BA48" i="27"/>
  <c r="BB48" i="27" a="1"/>
  <c r="BB48" i="27"/>
  <c r="BC48" i="27" a="1"/>
  <c r="BC48" i="27"/>
  <c r="BD48" i="27" a="1"/>
  <c r="BD48" i="27"/>
  <c r="BE48" i="27" a="1"/>
  <c r="BE48" i="27"/>
  <c r="BF48" i="27" a="1"/>
  <c r="BF48" i="27"/>
  <c r="BG48" i="27" a="1"/>
  <c r="BG48" i="27"/>
  <c r="BH48" i="27" a="1"/>
  <c r="BH48" i="27"/>
  <c r="BI48" i="27" a="1"/>
  <c r="BI48" i="27"/>
  <c r="BJ48" i="27" a="1"/>
  <c r="BJ48" i="27"/>
  <c r="BK48" i="27" a="1"/>
  <c r="BK48" i="27"/>
  <c r="BL48" i="27" a="1"/>
  <c r="BL48" i="27"/>
  <c r="BM48" i="27" a="1"/>
  <c r="BM48" i="27"/>
  <c r="BN48" i="27" a="1"/>
  <c r="BN48" i="27"/>
  <c r="BO48" i="27" a="1"/>
  <c r="BO48" i="27"/>
  <c r="BP48" i="27" a="1"/>
  <c r="BP48" i="27"/>
  <c r="E49" i="27" a="1"/>
  <c r="E49" i="27"/>
  <c r="F49" i="27" a="1"/>
  <c r="F49" i="27"/>
  <c r="G49" i="27" a="1"/>
  <c r="G49" i="27"/>
  <c r="H49" i="27" a="1"/>
  <c r="H49" i="27"/>
  <c r="I49" i="27" a="1"/>
  <c r="I49" i="27"/>
  <c r="J49" i="27" a="1"/>
  <c r="J49" i="27"/>
  <c r="K49" i="27" a="1"/>
  <c r="K49" i="27"/>
  <c r="L49" i="27" a="1"/>
  <c r="L49" i="27"/>
  <c r="M49" i="27" a="1"/>
  <c r="M49" i="27"/>
  <c r="N49" i="27" a="1"/>
  <c r="N49" i="27"/>
  <c r="O49" i="27" a="1"/>
  <c r="O49" i="27"/>
  <c r="P49" i="27" a="1"/>
  <c r="P49" i="27"/>
  <c r="Q49" i="27" a="1"/>
  <c r="Q49" i="27"/>
  <c r="R49" i="27" a="1"/>
  <c r="R49" i="27"/>
  <c r="S49" i="27" a="1"/>
  <c r="S49" i="27"/>
  <c r="T49" i="27" a="1"/>
  <c r="T49" i="27"/>
  <c r="U49" i="27" a="1"/>
  <c r="U49" i="27"/>
  <c r="V49" i="27" a="1"/>
  <c r="V49" i="27"/>
  <c r="W49" i="27" a="1"/>
  <c r="W49" i="27"/>
  <c r="X49" i="27" a="1"/>
  <c r="X49" i="27"/>
  <c r="Y49" i="27" a="1"/>
  <c r="Y49" i="27"/>
  <c r="Z49" i="27" a="1"/>
  <c r="Z49" i="27"/>
  <c r="AA49" i="27" a="1"/>
  <c r="AA49" i="27"/>
  <c r="AB49" i="27" a="1"/>
  <c r="AB49" i="27"/>
  <c r="AC49" i="27" a="1"/>
  <c r="AC49" i="27"/>
  <c r="AD49" i="27" a="1"/>
  <c r="AD49" i="27"/>
  <c r="AE49" i="27" a="1"/>
  <c r="AE49" i="27"/>
  <c r="AF49" i="27" a="1"/>
  <c r="AF49" i="27"/>
  <c r="AG49" i="27" a="1"/>
  <c r="AG49" i="27"/>
  <c r="AH49" i="27" a="1"/>
  <c r="AH49" i="27"/>
  <c r="AI49" i="27" a="1"/>
  <c r="AI49" i="27"/>
  <c r="AJ49" i="27" a="1"/>
  <c r="AJ49" i="27"/>
  <c r="AK49" i="27" a="1"/>
  <c r="AK49" i="27"/>
  <c r="AL49" i="27" a="1"/>
  <c r="AL49" i="27"/>
  <c r="AM49" i="27" a="1"/>
  <c r="AM49" i="27"/>
  <c r="AN49" i="27" a="1"/>
  <c r="AN49" i="27"/>
  <c r="AO49" i="27" a="1"/>
  <c r="AO49" i="27"/>
  <c r="AP49" i="27" a="1"/>
  <c r="AP49" i="27"/>
  <c r="AQ49" i="27" a="1"/>
  <c r="AQ49" i="27"/>
  <c r="AR49" i="27" a="1"/>
  <c r="AR49" i="27"/>
  <c r="AS49" i="27" a="1"/>
  <c r="AS49" i="27"/>
  <c r="AT49" i="27" a="1"/>
  <c r="AT49" i="27"/>
  <c r="AU49" i="27" a="1"/>
  <c r="AU49" i="27"/>
  <c r="AV49" i="27" a="1"/>
  <c r="AV49" i="27"/>
  <c r="AW49" i="27" a="1"/>
  <c r="AW49" i="27"/>
  <c r="AX49" i="27" a="1"/>
  <c r="AX49" i="27"/>
  <c r="AY49" i="27" a="1"/>
  <c r="AY49" i="27"/>
  <c r="AZ49" i="27" a="1"/>
  <c r="AZ49" i="27"/>
  <c r="BA49" i="27" a="1"/>
  <c r="BA49" i="27"/>
  <c r="BB49" i="27" a="1"/>
  <c r="BB49" i="27"/>
  <c r="BC49" i="27" a="1"/>
  <c r="BC49" i="27"/>
  <c r="BD49" i="27" a="1"/>
  <c r="BD49" i="27"/>
  <c r="BE49" i="27" a="1"/>
  <c r="BE49" i="27"/>
  <c r="BF49" i="27" a="1"/>
  <c r="BF49" i="27"/>
  <c r="BG49" i="27" a="1"/>
  <c r="BG49" i="27"/>
  <c r="BH49" i="27" a="1"/>
  <c r="BH49" i="27"/>
  <c r="BI49" i="27" a="1"/>
  <c r="BI49" i="27"/>
  <c r="BJ49" i="27" a="1"/>
  <c r="BJ49" i="27"/>
  <c r="BK49" i="27" a="1"/>
  <c r="BK49" i="27"/>
  <c r="BL49" i="27" a="1"/>
  <c r="BL49" i="27"/>
  <c r="BM49" i="27" a="1"/>
  <c r="BM49" i="27"/>
  <c r="BN49" i="27" a="1"/>
  <c r="BN49" i="27"/>
  <c r="BO49" i="27" a="1"/>
  <c r="BO49" i="27"/>
  <c r="BP49" i="27" a="1"/>
  <c r="BP49" i="27"/>
  <c r="E45" i="26" a="1"/>
  <c r="E45" i="26"/>
  <c r="F45" i="26" a="1"/>
  <c r="F45" i="26"/>
  <c r="G45" i="26" a="1"/>
  <c r="G45" i="26"/>
  <c r="H45" i="26" a="1"/>
  <c r="H45" i="26"/>
  <c r="I45" i="26" a="1"/>
  <c r="I45" i="26"/>
  <c r="J45" i="26" a="1"/>
  <c r="J45" i="26"/>
  <c r="K45" i="26" a="1"/>
  <c r="K45" i="26"/>
  <c r="L45" i="26" a="1"/>
  <c r="L45" i="26"/>
  <c r="M45" i="26" a="1"/>
  <c r="M45" i="26"/>
  <c r="N45" i="26" a="1"/>
  <c r="N45" i="26"/>
  <c r="O45" i="26" a="1"/>
  <c r="O45" i="26"/>
  <c r="P45" i="26" a="1"/>
  <c r="P45" i="26"/>
  <c r="Q45" i="26" a="1"/>
  <c r="Q45" i="26"/>
  <c r="R45" i="26" a="1"/>
  <c r="R45" i="26"/>
  <c r="S45" i="26" a="1"/>
  <c r="S45" i="26"/>
  <c r="T45" i="26" a="1"/>
  <c r="T45" i="26"/>
  <c r="U45" i="26" a="1"/>
  <c r="U45" i="26"/>
  <c r="V45" i="26" a="1"/>
  <c r="V45" i="26"/>
  <c r="W45" i="26" a="1"/>
  <c r="W45" i="26"/>
  <c r="X45" i="26" a="1"/>
  <c r="X45" i="26"/>
  <c r="Y45" i="26" a="1"/>
  <c r="Y45" i="26"/>
  <c r="Z45" i="26" a="1"/>
  <c r="Z45" i="26"/>
  <c r="AA45" i="26" a="1"/>
  <c r="AA45" i="26"/>
  <c r="AB45" i="26" a="1"/>
  <c r="AB45" i="26"/>
  <c r="AC45" i="26" a="1"/>
  <c r="AC45" i="26"/>
  <c r="AD45" i="26" a="1"/>
  <c r="AD45" i="26"/>
  <c r="AE45" i="26" a="1"/>
  <c r="AE45" i="26"/>
  <c r="AF45" i="26" a="1"/>
  <c r="AF45" i="26"/>
  <c r="AG45" i="26" a="1"/>
  <c r="AG45" i="26"/>
  <c r="AH45" i="26" a="1"/>
  <c r="AH45" i="26"/>
  <c r="AI45" i="26" a="1"/>
  <c r="AI45" i="26"/>
  <c r="AJ45" i="26" a="1"/>
  <c r="AJ45" i="26"/>
  <c r="AK45" i="26" a="1"/>
  <c r="AK45" i="26"/>
  <c r="AL45" i="26" a="1"/>
  <c r="AL45" i="26"/>
  <c r="AM45" i="26" a="1"/>
  <c r="AM45" i="26"/>
  <c r="AN45" i="26" a="1"/>
  <c r="AN45" i="26"/>
  <c r="AO45" i="26" a="1"/>
  <c r="AO45" i="26"/>
  <c r="AP45" i="26" a="1"/>
  <c r="AP45" i="26"/>
  <c r="AQ45" i="26" a="1"/>
  <c r="AQ45" i="26"/>
  <c r="AR45" i="26" a="1"/>
  <c r="AR45" i="26"/>
  <c r="AS45" i="26" a="1"/>
  <c r="AS45" i="26"/>
  <c r="AT45" i="26" a="1"/>
  <c r="AT45" i="26"/>
  <c r="AU45" i="26" a="1"/>
  <c r="AU45" i="26"/>
  <c r="AV45" i="26" a="1"/>
  <c r="AV45" i="26"/>
  <c r="AW45" i="26" a="1"/>
  <c r="AW45" i="26"/>
  <c r="AX45" i="26" a="1"/>
  <c r="AX45" i="26"/>
  <c r="AY45" i="26" a="1"/>
  <c r="AY45" i="26"/>
  <c r="AZ45" i="26" a="1"/>
  <c r="AZ45" i="26"/>
  <c r="BA45" i="26" a="1"/>
  <c r="BA45" i="26"/>
  <c r="BB45" i="26" a="1"/>
  <c r="BB45" i="26"/>
  <c r="BC45" i="26" a="1"/>
  <c r="BC45" i="26"/>
  <c r="BD45" i="26" a="1"/>
  <c r="BD45" i="26"/>
  <c r="BE45" i="26" a="1"/>
  <c r="BE45" i="26"/>
  <c r="BF45" i="26" a="1"/>
  <c r="BF45" i="26"/>
  <c r="BG45" i="26" a="1"/>
  <c r="BG45" i="26"/>
  <c r="BH45" i="26" a="1"/>
  <c r="BH45" i="26"/>
  <c r="BI45" i="26" a="1"/>
  <c r="BI45" i="26"/>
  <c r="BJ45" i="26" a="1"/>
  <c r="BJ45" i="26"/>
  <c r="BK45" i="26" a="1"/>
  <c r="BK45" i="26"/>
  <c r="BL45" i="26" a="1"/>
  <c r="BL45" i="26"/>
  <c r="BM45" i="26" a="1"/>
  <c r="BM45" i="26"/>
  <c r="BN45" i="26" a="1"/>
  <c r="BN45" i="26"/>
  <c r="BO45" i="26" a="1"/>
  <c r="BO45" i="26"/>
  <c r="BP45" i="26" a="1"/>
  <c r="BP45" i="26"/>
  <c r="E46" i="26" a="1"/>
  <c r="E46" i="26"/>
  <c r="F46" i="26" a="1"/>
  <c r="F46" i="26"/>
  <c r="G46" i="26" a="1"/>
  <c r="G46" i="26"/>
  <c r="H46" i="26" a="1"/>
  <c r="H46" i="26"/>
  <c r="I46" i="26" a="1"/>
  <c r="I46" i="26"/>
  <c r="J46" i="26" a="1"/>
  <c r="J46" i="26"/>
  <c r="K46" i="26" a="1"/>
  <c r="K46" i="26"/>
  <c r="L46" i="26" a="1"/>
  <c r="L46" i="26"/>
  <c r="M46" i="26" a="1"/>
  <c r="M46" i="26"/>
  <c r="N46" i="26" a="1"/>
  <c r="N46" i="26"/>
  <c r="O46" i="26" a="1"/>
  <c r="O46" i="26"/>
  <c r="P46" i="26" a="1"/>
  <c r="P46" i="26"/>
  <c r="Q46" i="26" a="1"/>
  <c r="Q46" i="26"/>
  <c r="R46" i="26" a="1"/>
  <c r="R46" i="26"/>
  <c r="S46" i="26" a="1"/>
  <c r="S46" i="26"/>
  <c r="T46" i="26" a="1"/>
  <c r="T46" i="26"/>
  <c r="U46" i="26" a="1"/>
  <c r="U46" i="26"/>
  <c r="V46" i="26" a="1"/>
  <c r="V46" i="26"/>
  <c r="W46" i="26" a="1"/>
  <c r="W46" i="26"/>
  <c r="X46" i="26" a="1"/>
  <c r="X46" i="26"/>
  <c r="Y46" i="26" a="1"/>
  <c r="Y46" i="26"/>
  <c r="Z46" i="26" a="1"/>
  <c r="Z46" i="26"/>
  <c r="AA46" i="26" a="1"/>
  <c r="AA46" i="26"/>
  <c r="AB46" i="26" a="1"/>
  <c r="AB46" i="26"/>
  <c r="AC46" i="26" a="1"/>
  <c r="AC46" i="26"/>
  <c r="AD46" i="26" a="1"/>
  <c r="AD46" i="26"/>
  <c r="AE46" i="26" a="1"/>
  <c r="AE46" i="26"/>
  <c r="AF46" i="26" a="1"/>
  <c r="AF46" i="26"/>
  <c r="AG46" i="26" a="1"/>
  <c r="AG46" i="26"/>
  <c r="AH46" i="26" a="1"/>
  <c r="AH46" i="26"/>
  <c r="AI46" i="26" a="1"/>
  <c r="AI46" i="26"/>
  <c r="AJ46" i="26" a="1"/>
  <c r="AJ46" i="26"/>
  <c r="AK46" i="26" a="1"/>
  <c r="AK46" i="26"/>
  <c r="AL46" i="26" a="1"/>
  <c r="AL46" i="26"/>
  <c r="AM46" i="26" a="1"/>
  <c r="AM46" i="26"/>
  <c r="AN46" i="26" a="1"/>
  <c r="AN46" i="26"/>
  <c r="AO46" i="26" a="1"/>
  <c r="AO46" i="26"/>
  <c r="AP46" i="26" a="1"/>
  <c r="AP46" i="26"/>
  <c r="AQ46" i="26" a="1"/>
  <c r="AQ46" i="26"/>
  <c r="AR46" i="26" a="1"/>
  <c r="AR46" i="26"/>
  <c r="AS46" i="26" a="1"/>
  <c r="AS46" i="26"/>
  <c r="AT46" i="26" a="1"/>
  <c r="AT46" i="26"/>
  <c r="AU46" i="26" a="1"/>
  <c r="AU46" i="26"/>
  <c r="AV46" i="26" a="1"/>
  <c r="AV46" i="26"/>
  <c r="AW46" i="26" a="1"/>
  <c r="AW46" i="26"/>
  <c r="AX46" i="26" a="1"/>
  <c r="AX46" i="26"/>
  <c r="AY46" i="26" a="1"/>
  <c r="AY46" i="26"/>
  <c r="AZ46" i="26" a="1"/>
  <c r="AZ46" i="26"/>
  <c r="BA46" i="26" a="1"/>
  <c r="BA46" i="26"/>
  <c r="BB46" i="26" a="1"/>
  <c r="BB46" i="26"/>
  <c r="BC46" i="26" a="1"/>
  <c r="BC46" i="26"/>
  <c r="BD46" i="26" a="1"/>
  <c r="BD46" i="26"/>
  <c r="BE46" i="26" a="1"/>
  <c r="BE46" i="26"/>
  <c r="BF46" i="26" a="1"/>
  <c r="BF46" i="26"/>
  <c r="BG46" i="26" a="1"/>
  <c r="BG46" i="26"/>
  <c r="BH46" i="26" a="1"/>
  <c r="BH46" i="26"/>
  <c r="BI46" i="26" a="1"/>
  <c r="BI46" i="26"/>
  <c r="BJ46" i="26" a="1"/>
  <c r="BJ46" i="26"/>
  <c r="BK46" i="26" a="1"/>
  <c r="BK46" i="26"/>
  <c r="BL46" i="26" a="1"/>
  <c r="BL46" i="26"/>
  <c r="BM46" i="26" a="1"/>
  <c r="BM46" i="26"/>
  <c r="BN46" i="26" a="1"/>
  <c r="BN46" i="26"/>
  <c r="BO46" i="26" a="1"/>
  <c r="BO46" i="26"/>
  <c r="BP46" i="26" a="1"/>
  <c r="BP46" i="26"/>
  <c r="E47" i="26" a="1"/>
  <c r="E47" i="26"/>
  <c r="F47" i="26" a="1"/>
  <c r="F47" i="26"/>
  <c r="G47" i="26" a="1"/>
  <c r="G47" i="26"/>
  <c r="H47" i="26" a="1"/>
  <c r="H47" i="26"/>
  <c r="I47" i="26" a="1"/>
  <c r="I47" i="26"/>
  <c r="J47" i="26" a="1"/>
  <c r="J47" i="26"/>
  <c r="K47" i="26" a="1"/>
  <c r="K47" i="26"/>
  <c r="L47" i="26" a="1"/>
  <c r="L47" i="26"/>
  <c r="M47" i="26" a="1"/>
  <c r="M47" i="26"/>
  <c r="N47" i="26" a="1"/>
  <c r="N47" i="26"/>
  <c r="O47" i="26" a="1"/>
  <c r="O47" i="26"/>
  <c r="P47" i="26" a="1"/>
  <c r="P47" i="26"/>
  <c r="Q47" i="26" a="1"/>
  <c r="Q47" i="26"/>
  <c r="R47" i="26" a="1"/>
  <c r="R47" i="26"/>
  <c r="S47" i="26" a="1"/>
  <c r="S47" i="26"/>
  <c r="T47" i="26" a="1"/>
  <c r="T47" i="26"/>
  <c r="U47" i="26" a="1"/>
  <c r="U47" i="26"/>
  <c r="V47" i="26" a="1"/>
  <c r="V47" i="26"/>
  <c r="W47" i="26" a="1"/>
  <c r="W47" i="26"/>
  <c r="X47" i="26" a="1"/>
  <c r="X47" i="26"/>
  <c r="Y47" i="26" a="1"/>
  <c r="Y47" i="26"/>
  <c r="Z47" i="26" a="1"/>
  <c r="Z47" i="26"/>
  <c r="AA47" i="26" a="1"/>
  <c r="AA47" i="26"/>
  <c r="AB47" i="26" a="1"/>
  <c r="AB47" i="26"/>
  <c r="AC47" i="26" a="1"/>
  <c r="AC47" i="26"/>
  <c r="AD47" i="26" a="1"/>
  <c r="AD47" i="26"/>
  <c r="AE47" i="26" a="1"/>
  <c r="AE47" i="26"/>
  <c r="AF47" i="26" a="1"/>
  <c r="AF47" i="26"/>
  <c r="AG47" i="26" a="1"/>
  <c r="AG47" i="26"/>
  <c r="AH47" i="26" a="1"/>
  <c r="AH47" i="26"/>
  <c r="AI47" i="26" a="1"/>
  <c r="AI47" i="26"/>
  <c r="AJ47" i="26" a="1"/>
  <c r="AJ47" i="26"/>
  <c r="AK47" i="26" a="1"/>
  <c r="AK47" i="26"/>
  <c r="AL47" i="26" a="1"/>
  <c r="AL47" i="26"/>
  <c r="AM47" i="26" a="1"/>
  <c r="AM47" i="26"/>
  <c r="AN47" i="26" a="1"/>
  <c r="AN47" i="26"/>
  <c r="AO47" i="26" a="1"/>
  <c r="AO47" i="26"/>
  <c r="AP47" i="26" a="1"/>
  <c r="AP47" i="26"/>
  <c r="AQ47" i="26" a="1"/>
  <c r="AQ47" i="26"/>
  <c r="AR47" i="26" a="1"/>
  <c r="AR47" i="26"/>
  <c r="AS47" i="26" a="1"/>
  <c r="AS47" i="26"/>
  <c r="AT47" i="26" a="1"/>
  <c r="AT47" i="26"/>
  <c r="AU47" i="26" a="1"/>
  <c r="AU47" i="26"/>
  <c r="AV47" i="26" a="1"/>
  <c r="AV47" i="26"/>
  <c r="AW47" i="26" a="1"/>
  <c r="AW47" i="26"/>
  <c r="AX47" i="26" a="1"/>
  <c r="AX47" i="26"/>
  <c r="AY47" i="26" a="1"/>
  <c r="AY47" i="26"/>
  <c r="AZ47" i="26" a="1"/>
  <c r="AZ47" i="26"/>
  <c r="BA47" i="26" a="1"/>
  <c r="BA47" i="26"/>
  <c r="BB47" i="26" a="1"/>
  <c r="BB47" i="26"/>
  <c r="BC47" i="26" a="1"/>
  <c r="BC47" i="26"/>
  <c r="BD47" i="26" a="1"/>
  <c r="BD47" i="26"/>
  <c r="BE47" i="26" a="1"/>
  <c r="BE47" i="26"/>
  <c r="BF47" i="26" a="1"/>
  <c r="BF47" i="26"/>
  <c r="BG47" i="26" a="1"/>
  <c r="BG47" i="26"/>
  <c r="BH47" i="26" a="1"/>
  <c r="BH47" i="26"/>
  <c r="BI47" i="26" a="1"/>
  <c r="BI47" i="26"/>
  <c r="BJ47" i="26" a="1"/>
  <c r="BJ47" i="26"/>
  <c r="BK47" i="26" a="1"/>
  <c r="BK47" i="26"/>
  <c r="BL47" i="26" a="1"/>
  <c r="BL47" i="26"/>
  <c r="BM47" i="26" a="1"/>
  <c r="BM47" i="26"/>
  <c r="BN47" i="26" a="1"/>
  <c r="BN47" i="26"/>
  <c r="BO47" i="26" a="1"/>
  <c r="BO47" i="26"/>
  <c r="BP47" i="26" a="1"/>
  <c r="BP47" i="26"/>
  <c r="E48" i="26" a="1"/>
  <c r="E48" i="26"/>
  <c r="F48" i="26" a="1"/>
  <c r="F48" i="26"/>
  <c r="G48" i="26" a="1"/>
  <c r="G48" i="26"/>
  <c r="H48" i="26" a="1"/>
  <c r="H48" i="26"/>
  <c r="I48" i="26" a="1"/>
  <c r="I48" i="26"/>
  <c r="J48" i="26" a="1"/>
  <c r="J48" i="26"/>
  <c r="K48" i="26" a="1"/>
  <c r="K48" i="26"/>
  <c r="L48" i="26" a="1"/>
  <c r="L48" i="26"/>
  <c r="M48" i="26" a="1"/>
  <c r="M48" i="26"/>
  <c r="N48" i="26" a="1"/>
  <c r="N48" i="26"/>
  <c r="O48" i="26" a="1"/>
  <c r="O48" i="26"/>
  <c r="P48" i="26" a="1"/>
  <c r="P48" i="26"/>
  <c r="Q48" i="26" a="1"/>
  <c r="Q48" i="26"/>
  <c r="R48" i="26" a="1"/>
  <c r="R48" i="26"/>
  <c r="S48" i="26" a="1"/>
  <c r="S48" i="26"/>
  <c r="T48" i="26" a="1"/>
  <c r="T48" i="26"/>
  <c r="U48" i="26" a="1"/>
  <c r="U48" i="26"/>
  <c r="V48" i="26" a="1"/>
  <c r="V48" i="26"/>
  <c r="W48" i="26" a="1"/>
  <c r="W48" i="26"/>
  <c r="X48" i="26" a="1"/>
  <c r="X48" i="26"/>
  <c r="Y48" i="26" a="1"/>
  <c r="Y48" i="26"/>
  <c r="Z48" i="26" a="1"/>
  <c r="Z48" i="26"/>
  <c r="AA48" i="26" a="1"/>
  <c r="AA48" i="26"/>
  <c r="AB48" i="26" a="1"/>
  <c r="AB48" i="26"/>
  <c r="AC48" i="26" a="1"/>
  <c r="AC48" i="26"/>
  <c r="AD48" i="26" a="1"/>
  <c r="AD48" i="26"/>
  <c r="AE48" i="26" a="1"/>
  <c r="AE48" i="26"/>
  <c r="AF48" i="26" a="1"/>
  <c r="AF48" i="26"/>
  <c r="AG48" i="26" a="1"/>
  <c r="AG48" i="26"/>
  <c r="AH48" i="26" a="1"/>
  <c r="AH48" i="26"/>
  <c r="AI48" i="26" a="1"/>
  <c r="AI48" i="26"/>
  <c r="AJ48" i="26" a="1"/>
  <c r="AJ48" i="26"/>
  <c r="AK48" i="26" a="1"/>
  <c r="AK48" i="26"/>
  <c r="AL48" i="26" a="1"/>
  <c r="AL48" i="26"/>
  <c r="AM48" i="26" a="1"/>
  <c r="AM48" i="26"/>
  <c r="AN48" i="26" a="1"/>
  <c r="AN48" i="26"/>
  <c r="AO48" i="26" a="1"/>
  <c r="AO48" i="26"/>
  <c r="AP48" i="26" a="1"/>
  <c r="AP48" i="26"/>
  <c r="AQ48" i="26" a="1"/>
  <c r="AQ48" i="26"/>
  <c r="AR48" i="26" a="1"/>
  <c r="AR48" i="26"/>
  <c r="AS48" i="26" a="1"/>
  <c r="AS48" i="26"/>
  <c r="AT48" i="26" a="1"/>
  <c r="AT48" i="26"/>
  <c r="AU48" i="26" a="1"/>
  <c r="AU48" i="26"/>
  <c r="AV48" i="26" a="1"/>
  <c r="AV48" i="26"/>
  <c r="AW48" i="26" a="1"/>
  <c r="AW48" i="26"/>
  <c r="AX48" i="26" a="1"/>
  <c r="AX48" i="26"/>
  <c r="AY48" i="26" a="1"/>
  <c r="AY48" i="26"/>
  <c r="AZ48" i="26" a="1"/>
  <c r="AZ48" i="26"/>
  <c r="BA48" i="26" a="1"/>
  <c r="BA48" i="26"/>
  <c r="BB48" i="26" a="1"/>
  <c r="BB48" i="26"/>
  <c r="BC48" i="26" a="1"/>
  <c r="BC48" i="26"/>
  <c r="BD48" i="26" a="1"/>
  <c r="BD48" i="26"/>
  <c r="BE48" i="26" a="1"/>
  <c r="BE48" i="26"/>
  <c r="BF48" i="26" a="1"/>
  <c r="BF48" i="26"/>
  <c r="BG48" i="26" a="1"/>
  <c r="BG48" i="26"/>
  <c r="BH48" i="26" a="1"/>
  <c r="BH48" i="26"/>
  <c r="BI48" i="26" a="1"/>
  <c r="BI48" i="26"/>
  <c r="BJ48" i="26" a="1"/>
  <c r="BJ48" i="26"/>
  <c r="BK48" i="26" a="1"/>
  <c r="BK48" i="26"/>
  <c r="BL48" i="26" a="1"/>
  <c r="BL48" i="26"/>
  <c r="BM48" i="26" a="1"/>
  <c r="BM48" i="26"/>
  <c r="BN48" i="26" a="1"/>
  <c r="BN48" i="26"/>
  <c r="BO48" i="26" a="1"/>
  <c r="BO48" i="26"/>
  <c r="BP48" i="26" a="1"/>
  <c r="BP48" i="26"/>
  <c r="E49" i="26" a="1"/>
  <c r="E49" i="26"/>
  <c r="F49" i="26" a="1"/>
  <c r="F49" i="26"/>
  <c r="G49" i="26" a="1"/>
  <c r="G49" i="26"/>
  <c r="H49" i="26" a="1"/>
  <c r="H49" i="26"/>
  <c r="I49" i="26" a="1"/>
  <c r="I49" i="26"/>
  <c r="J49" i="26" a="1"/>
  <c r="J49" i="26"/>
  <c r="K49" i="26" a="1"/>
  <c r="K49" i="26"/>
  <c r="L49" i="26" a="1"/>
  <c r="L49" i="26"/>
  <c r="M49" i="26" a="1"/>
  <c r="M49" i="26"/>
  <c r="N49" i="26" a="1"/>
  <c r="N49" i="26"/>
  <c r="O49" i="26" a="1"/>
  <c r="O49" i="26"/>
  <c r="P49" i="26" a="1"/>
  <c r="P49" i="26"/>
  <c r="Q49" i="26" a="1"/>
  <c r="Q49" i="26"/>
  <c r="R49" i="26" a="1"/>
  <c r="R49" i="26"/>
  <c r="S49" i="26" a="1"/>
  <c r="S49" i="26"/>
  <c r="T49" i="26" a="1"/>
  <c r="T49" i="26"/>
  <c r="U49" i="26" a="1"/>
  <c r="U49" i="26"/>
  <c r="V49" i="26" a="1"/>
  <c r="V49" i="26"/>
  <c r="W49" i="26" a="1"/>
  <c r="W49" i="26"/>
  <c r="X49" i="26" a="1"/>
  <c r="X49" i="26"/>
  <c r="Y49" i="26" a="1"/>
  <c r="Y49" i="26"/>
  <c r="Z49" i="26" a="1"/>
  <c r="Z49" i="26"/>
  <c r="AA49" i="26" a="1"/>
  <c r="AA49" i="26"/>
  <c r="AB49" i="26" a="1"/>
  <c r="AB49" i="26"/>
  <c r="AC49" i="26" a="1"/>
  <c r="AC49" i="26"/>
  <c r="AD49" i="26" a="1"/>
  <c r="AD49" i="26"/>
  <c r="AE49" i="26" a="1"/>
  <c r="AE49" i="26"/>
  <c r="AF49" i="26" a="1"/>
  <c r="AF49" i="26"/>
  <c r="AG49" i="26" a="1"/>
  <c r="AG49" i="26"/>
  <c r="AH49" i="26" a="1"/>
  <c r="AH49" i="26"/>
  <c r="AI49" i="26" a="1"/>
  <c r="AI49" i="26"/>
  <c r="AJ49" i="26" a="1"/>
  <c r="AJ49" i="26"/>
  <c r="AK49" i="26" a="1"/>
  <c r="AK49" i="26"/>
  <c r="AL49" i="26" a="1"/>
  <c r="AL49" i="26"/>
  <c r="AM49" i="26" a="1"/>
  <c r="AM49" i="26"/>
  <c r="AN49" i="26" a="1"/>
  <c r="AN49" i="26"/>
  <c r="AO49" i="26" a="1"/>
  <c r="AO49" i="26"/>
  <c r="AP49" i="26" a="1"/>
  <c r="AP49" i="26"/>
  <c r="AQ49" i="26" a="1"/>
  <c r="AQ49" i="26"/>
  <c r="AR49" i="26" a="1"/>
  <c r="AR49" i="26"/>
  <c r="AS49" i="26" a="1"/>
  <c r="AS49" i="26"/>
  <c r="AT49" i="26" a="1"/>
  <c r="AT49" i="26"/>
  <c r="AU49" i="26" a="1"/>
  <c r="AU49" i="26"/>
  <c r="AV49" i="26" a="1"/>
  <c r="AV49" i="26"/>
  <c r="AW49" i="26" a="1"/>
  <c r="AW49" i="26"/>
  <c r="AX49" i="26" a="1"/>
  <c r="AX49" i="26"/>
  <c r="AY49" i="26" a="1"/>
  <c r="AY49" i="26"/>
  <c r="AZ49" i="26" a="1"/>
  <c r="AZ49" i="26"/>
  <c r="BA49" i="26" a="1"/>
  <c r="BA49" i="26"/>
  <c r="BB49" i="26" a="1"/>
  <c r="BB49" i="26"/>
  <c r="BC49" i="26" a="1"/>
  <c r="BC49" i="26"/>
  <c r="BD49" i="26" a="1"/>
  <c r="BD49" i="26"/>
  <c r="BE49" i="26" a="1"/>
  <c r="BE49" i="26"/>
  <c r="BF49" i="26" a="1"/>
  <c r="BF49" i="26"/>
  <c r="BG49" i="26" a="1"/>
  <c r="BG49" i="26"/>
  <c r="BH49" i="26" a="1"/>
  <c r="BH49" i="26"/>
  <c r="BI49" i="26" a="1"/>
  <c r="BI49" i="26"/>
  <c r="BJ49" i="26" a="1"/>
  <c r="BJ49" i="26"/>
  <c r="BK49" i="26" a="1"/>
  <c r="BK49" i="26"/>
  <c r="BL49" i="26" a="1"/>
  <c r="BL49" i="26"/>
  <c r="BM49" i="26" a="1"/>
  <c r="BM49" i="26"/>
  <c r="BN49" i="26" a="1"/>
  <c r="BN49" i="26"/>
  <c r="BO49" i="26" a="1"/>
  <c r="BO49" i="26"/>
  <c r="BP49" i="26" a="1"/>
  <c r="BP49" i="26"/>
  <c r="K4" i="29"/>
  <c r="K13" i="29"/>
  <c r="AA29" i="49"/>
  <c r="H68" i="49"/>
  <c r="AA28" i="49"/>
  <c r="H67" i="49"/>
  <c r="AA27" i="49"/>
  <c r="H66" i="49"/>
  <c r="AA26" i="49"/>
  <c r="H65" i="49"/>
  <c r="Z26" i="49"/>
  <c r="Z27" i="49"/>
  <c r="Z28" i="49"/>
  <c r="Z29" i="49"/>
  <c r="D17" i="29"/>
  <c r="N4" i="29"/>
  <c r="G17" i="29"/>
  <c r="AB26" i="49"/>
  <c r="AC26" i="49"/>
  <c r="AD26" i="49"/>
  <c r="AE26" i="49"/>
  <c r="AF26" i="49"/>
  <c r="AH26" i="49"/>
  <c r="AI26" i="49"/>
  <c r="AJ26" i="49"/>
  <c r="AL26" i="49"/>
  <c r="AM26" i="49"/>
  <c r="AN26" i="49"/>
  <c r="AB27" i="49"/>
  <c r="AC27" i="49"/>
  <c r="AD27" i="49"/>
  <c r="AE27" i="49"/>
  <c r="AF27" i="49"/>
  <c r="AH27" i="49"/>
  <c r="AI27" i="49"/>
  <c r="AJ27" i="49"/>
  <c r="AL27" i="49"/>
  <c r="AM27" i="49"/>
  <c r="AN27" i="49"/>
  <c r="AB28" i="49"/>
  <c r="AC28" i="49"/>
  <c r="AD28" i="49"/>
  <c r="AE28" i="49"/>
  <c r="AF28" i="49"/>
  <c r="AH28" i="49"/>
  <c r="AI28" i="49"/>
  <c r="AJ28" i="49"/>
  <c r="AL28" i="49"/>
  <c r="AM28" i="49"/>
  <c r="AN28" i="49"/>
  <c r="AB29" i="49"/>
  <c r="AC29" i="49"/>
  <c r="AD29" i="49"/>
  <c r="AE29" i="49"/>
  <c r="AF29" i="49"/>
  <c r="AH29" i="49"/>
  <c r="AI29" i="49"/>
  <c r="AJ29" i="49"/>
  <c r="AL29" i="49"/>
  <c r="AM29" i="49"/>
  <c r="AN29" i="49"/>
  <c r="K4" i="30"/>
  <c r="K13" i="30"/>
  <c r="N4" i="30"/>
  <c r="AI21" i="49"/>
  <c r="AH21" i="49"/>
  <c r="AF21" i="49"/>
  <c r="AM22" i="49"/>
  <c r="AM20" i="49"/>
  <c r="AH19" i="49"/>
  <c r="AA22" i="49"/>
  <c r="H72" i="49"/>
  <c r="AA21" i="49"/>
  <c r="H71" i="49"/>
  <c r="AA20" i="49"/>
  <c r="H70" i="49"/>
  <c r="AA19" i="49"/>
  <c r="H69" i="49"/>
  <c r="AL22" i="49"/>
  <c r="AJ22" i="49"/>
  <c r="AE22" i="49"/>
  <c r="AD22" i="49"/>
  <c r="AC22" i="49"/>
  <c r="AB22" i="49"/>
  <c r="Z19" i="49"/>
  <c r="Z20" i="49"/>
  <c r="Z21" i="49"/>
  <c r="Z22" i="49"/>
  <c r="AL21" i="49"/>
  <c r="AJ21" i="49"/>
  <c r="AE21" i="49"/>
  <c r="AD21" i="49"/>
  <c r="AC21" i="49"/>
  <c r="AB21" i="49"/>
  <c r="AL20" i="49"/>
  <c r="AJ20" i="49"/>
  <c r="AE20" i="49"/>
  <c r="AD20" i="49"/>
  <c r="AC20" i="49"/>
  <c r="AB20" i="49"/>
  <c r="AL19" i="49"/>
  <c r="AJ19" i="49"/>
  <c r="AE19" i="49"/>
  <c r="AD19" i="49"/>
  <c r="AC19" i="49"/>
  <c r="AB19" i="49"/>
  <c r="AF19" i="49"/>
  <c r="AI19" i="49"/>
  <c r="AM19" i="49"/>
  <c r="AM21" i="49"/>
  <c r="AF20" i="49"/>
  <c r="AH20" i="49"/>
  <c r="AI20" i="49"/>
  <c r="AF22" i="49"/>
  <c r="AH22" i="49"/>
  <c r="AI22" i="49"/>
  <c r="AN19" i="49"/>
  <c r="AN20" i="49"/>
  <c r="AN21" i="49"/>
  <c r="AN22" i="49"/>
  <c r="G17" i="30"/>
  <c r="D17" i="30"/>
  <c r="K4" i="26"/>
  <c r="K13" i="26"/>
  <c r="AA50" i="49"/>
  <c r="H56" i="49"/>
  <c r="AA49" i="49"/>
  <c r="H55" i="49"/>
  <c r="AA48" i="49"/>
  <c r="H54" i="49"/>
  <c r="AA47" i="49"/>
  <c r="H53" i="49"/>
  <c r="Z47" i="49"/>
  <c r="Z48" i="49"/>
  <c r="Z49" i="49"/>
  <c r="Z50" i="49"/>
  <c r="D17" i="26"/>
  <c r="N4" i="26"/>
  <c r="G17" i="26"/>
  <c r="AB47" i="49"/>
  <c r="AC47" i="49"/>
  <c r="AD47" i="49"/>
  <c r="AE47" i="49"/>
  <c r="AF47" i="49"/>
  <c r="AH47" i="49"/>
  <c r="AI47" i="49"/>
  <c r="AJ47" i="49"/>
  <c r="AL47" i="49"/>
  <c r="AM47" i="49"/>
  <c r="AN47" i="49"/>
  <c r="AB48" i="49"/>
  <c r="AC48" i="49"/>
  <c r="AD48" i="49"/>
  <c r="AE48" i="49"/>
  <c r="AF48" i="49"/>
  <c r="AH48" i="49"/>
  <c r="AI48" i="49"/>
  <c r="AJ48" i="49"/>
  <c r="AL48" i="49"/>
  <c r="AM48" i="49"/>
  <c r="AN48" i="49"/>
  <c r="AB49" i="49"/>
  <c r="AC49" i="49"/>
  <c r="AD49" i="49"/>
  <c r="AE49" i="49"/>
  <c r="AF49" i="49"/>
  <c r="AH49" i="49"/>
  <c r="AI49" i="49"/>
  <c r="AJ49" i="49"/>
  <c r="AL49" i="49"/>
  <c r="AM49" i="49"/>
  <c r="AN49" i="49"/>
  <c r="AB50" i="49"/>
  <c r="AC50" i="49"/>
  <c r="AD50" i="49"/>
  <c r="AE50" i="49"/>
  <c r="AF50" i="49"/>
  <c r="AH50" i="49"/>
  <c r="AI50" i="49"/>
  <c r="AJ50" i="49"/>
  <c r="AL50" i="49"/>
  <c r="AM50" i="49"/>
  <c r="AN50" i="49"/>
  <c r="K4" i="27"/>
  <c r="K13" i="27"/>
  <c r="AA43" i="49"/>
  <c r="H60" i="49"/>
  <c r="AA42" i="49"/>
  <c r="H59" i="49"/>
  <c r="AA41" i="49"/>
  <c r="H58" i="49"/>
  <c r="AA40" i="49"/>
  <c r="H57" i="49"/>
  <c r="Z40" i="49"/>
  <c r="Z41" i="49"/>
  <c r="Z42" i="49"/>
  <c r="Z43" i="49"/>
  <c r="D17" i="27"/>
  <c r="N4" i="27"/>
  <c r="G17" i="27"/>
  <c r="AB40" i="49"/>
  <c r="AC40" i="49"/>
  <c r="AD40" i="49"/>
  <c r="AE40" i="49"/>
  <c r="AF40" i="49"/>
  <c r="AH40" i="49"/>
  <c r="AI40" i="49"/>
  <c r="AJ40" i="49"/>
  <c r="AL40" i="49"/>
  <c r="AM40" i="49"/>
  <c r="AN40" i="49"/>
  <c r="AB41" i="49"/>
  <c r="AC41" i="49"/>
  <c r="AD41" i="49"/>
  <c r="AE41" i="49"/>
  <c r="AF41" i="49"/>
  <c r="AH41" i="49"/>
  <c r="AI41" i="49"/>
  <c r="AJ41" i="49"/>
  <c r="AL41" i="49"/>
  <c r="AM41" i="49"/>
  <c r="AN41" i="49"/>
  <c r="AB42" i="49"/>
  <c r="AC42" i="49"/>
  <c r="AD42" i="49"/>
  <c r="AE42" i="49"/>
  <c r="AF42" i="49"/>
  <c r="AH42" i="49"/>
  <c r="AI42" i="49"/>
  <c r="AJ42" i="49"/>
  <c r="AL42" i="49"/>
  <c r="AM42" i="49"/>
  <c r="AN42" i="49"/>
  <c r="AB43" i="49"/>
  <c r="AC43" i="49"/>
  <c r="AD43" i="49"/>
  <c r="AE43" i="49"/>
  <c r="AF43" i="49"/>
  <c r="AH43" i="49"/>
  <c r="AI43" i="49"/>
  <c r="AJ43" i="49"/>
  <c r="AL43" i="49"/>
  <c r="AM43" i="49"/>
  <c r="AN43" i="49"/>
  <c r="K4" i="28"/>
  <c r="K13" i="28"/>
  <c r="AA36" i="49"/>
  <c r="H64" i="49"/>
  <c r="AA35" i="49"/>
  <c r="H63" i="49"/>
  <c r="AA34" i="49"/>
  <c r="H62" i="49"/>
  <c r="AA33" i="49"/>
  <c r="H61" i="49"/>
  <c r="Z33" i="49"/>
  <c r="Z34" i="49"/>
  <c r="Z35" i="49"/>
  <c r="Z36" i="49"/>
  <c r="D17" i="28"/>
  <c r="N4" i="28"/>
  <c r="G17" i="28"/>
  <c r="AB33" i="49"/>
  <c r="AC33" i="49"/>
  <c r="AD33" i="49"/>
  <c r="AE33" i="49"/>
  <c r="AF33" i="49"/>
  <c r="AH33" i="49"/>
  <c r="AI33" i="49"/>
  <c r="AJ33" i="49"/>
  <c r="AL33" i="49"/>
  <c r="AM33" i="49"/>
  <c r="AN33" i="49"/>
  <c r="AB34" i="49"/>
  <c r="AC34" i="49"/>
  <c r="AD34" i="49"/>
  <c r="AE34" i="49"/>
  <c r="AF34" i="49"/>
  <c r="AH34" i="49"/>
  <c r="AI34" i="49"/>
  <c r="AJ34" i="49"/>
  <c r="AL34" i="49"/>
  <c r="AM34" i="49"/>
  <c r="AN34" i="49"/>
  <c r="AB35" i="49"/>
  <c r="AC35" i="49"/>
  <c r="AD35" i="49"/>
  <c r="AE35" i="49"/>
  <c r="AF35" i="49"/>
  <c r="AH35" i="49"/>
  <c r="AI35" i="49"/>
  <c r="AJ35" i="49"/>
  <c r="AL35" i="49"/>
  <c r="AM35" i="49"/>
  <c r="AN35" i="49"/>
  <c r="AB36" i="49"/>
  <c r="AC36" i="49"/>
  <c r="AD36" i="49"/>
  <c r="AE36" i="49"/>
  <c r="AF36" i="49"/>
  <c r="AH36" i="49"/>
  <c r="AI36" i="49"/>
  <c r="AJ36" i="49"/>
  <c r="AL36" i="49"/>
  <c r="AM36" i="49"/>
  <c r="AN36" i="49"/>
  <c r="K4" i="31"/>
  <c r="K13" i="31"/>
  <c r="H76" i="49"/>
  <c r="H75" i="49"/>
  <c r="H74" i="49"/>
  <c r="H73" i="49"/>
  <c r="AA15" i="49"/>
  <c r="Z15" i="49"/>
  <c r="AA14" i="49"/>
  <c r="Z14" i="49"/>
  <c r="AA13" i="49"/>
  <c r="Z13" i="49"/>
  <c r="AA12" i="49"/>
  <c r="Z12" i="49"/>
  <c r="D17" i="31"/>
  <c r="N4" i="31"/>
  <c r="G17" i="31"/>
  <c r="AB12" i="49"/>
  <c r="AC12" i="49"/>
  <c r="AD12" i="49"/>
  <c r="AE12" i="49"/>
  <c r="AF12" i="49"/>
  <c r="AH12" i="49"/>
  <c r="AI12" i="49"/>
  <c r="AJ12" i="49"/>
  <c r="AL12" i="49"/>
  <c r="AM12" i="49"/>
  <c r="AN12" i="49"/>
  <c r="AB13" i="49"/>
  <c r="AC13" i="49"/>
  <c r="AD13" i="49"/>
  <c r="AE13" i="49"/>
  <c r="AF13" i="49"/>
  <c r="AH13" i="49"/>
  <c r="AI13" i="49"/>
  <c r="AJ13" i="49"/>
  <c r="AL13" i="49"/>
  <c r="AM13" i="49"/>
  <c r="AN13" i="49"/>
  <c r="AB14" i="49"/>
  <c r="AC14" i="49"/>
  <c r="AD14" i="49"/>
  <c r="AE14" i="49"/>
  <c r="AF14" i="49"/>
  <c r="AH14" i="49"/>
  <c r="AI14" i="49"/>
  <c r="AJ14" i="49"/>
  <c r="AL14" i="49"/>
  <c r="AM14" i="49"/>
  <c r="AN14" i="49"/>
  <c r="AB15" i="49"/>
  <c r="AC15" i="49"/>
  <c r="AD15" i="49"/>
  <c r="AE15" i="49"/>
  <c r="AF15" i="49"/>
  <c r="AH15" i="49"/>
  <c r="AI15" i="49"/>
  <c r="AJ15" i="49"/>
  <c r="AL15" i="49"/>
  <c r="AM15" i="49"/>
  <c r="AN15" i="49"/>
</calcChain>
</file>

<file path=xl/sharedStrings.xml><?xml version="1.0" encoding="utf-8"?>
<sst xmlns="http://schemas.openxmlformats.org/spreadsheetml/2006/main" count="2454" uniqueCount="478">
  <si>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</si>
  <si>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</si>
  <si>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</si>
  <si>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</si>
  <si>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</si>
  <si>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</si>
  <si>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</si>
  <si>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</si>
  <si>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</si>
  <si>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</si>
  <si>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</si>
  <si>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</si>
  <si>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</si>
  <si>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</si>
  <si>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</si>
  <si>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</si>
  <si>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</si>
  <si>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</si>
  <si>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</si>
  <si>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</si>
  <si>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</si>
  <si>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</si>
  <si>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</si>
  <si>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</si>
  <si>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</si>
  <si>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</si>
  <si>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</si>
  <si>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</si>
  <si>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</si>
  <si>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</si>
  <si>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</si>
  <si>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</si>
  <si>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</si>
  <si>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</si>
  <si>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</si>
  <si>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</si>
  <si>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</si>
  <si>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</si>
  <si>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</si>
  <si>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</si>
  <si>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</si>
  <si>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</si>
  <si>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</si>
  <si>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</si>
  <si>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</si>
  <si>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</si>
  <si>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</si>
  <si>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</si>
  <si>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</si>
  <si>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</si>
  <si>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</si>
  <si>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</si>
  <si>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</si>
  <si>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</si>
  <si>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</si>
  <si>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</si>
  <si>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</si>
  <si>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</si>
  <si>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</si>
  <si>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</si>
  <si>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</si>
  <si>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</si>
  <si>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</si>
  <si>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</si>
  <si>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</si>
  <si>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</si>
  <si>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</si>
  <si>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</si>
  <si>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</si>
  <si>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</si>
  <si>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</si>
  <si>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</si>
  <si>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</si>
  <si>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</si>
  <si>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</si>
  <si>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</si>
  <si>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</si>
  <si>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</si>
  <si>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</si>
  <si>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</si>
  <si>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</si>
  <si>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</si>
  <si>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</si>
  <si>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</si>
  <si>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</si>
  <si>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</si>
  <si>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</si>
  <si>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</si>
  <si>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</si>
  <si>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</si>
  <si>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</si>
  <si>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</si>
  <si>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</si>
  <si>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</si>
  <si>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</si>
  <si>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</si>
  <si>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</si>
  <si>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</si>
  <si>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</si>
  <si>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</si>
  <si>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</si>
  <si>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</si>
  <si>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</si>
  <si>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</si>
  <si>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</si>
  <si>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</si>
  <si>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</si>
  <si>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</si>
  <si>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</si>
  <si>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</si>
  <si>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</si>
  <si>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</si>
  <si>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</si>
  <si>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</si>
  <si>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</si>
  <si>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</si>
  <si>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</si>
  <si>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</si>
  <si>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</si>
  <si>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</si>
  <si>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</si>
  <si>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</si>
  <si>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</si>
  <si>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</si>
  <si>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</si>
  <si>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</si>
  <si>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</si>
  <si>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</si>
  <si>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</si>
  <si>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</si>
  <si>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</si>
  <si>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</si>
  <si>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</si>
  <si>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</si>
  <si>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</si>
  <si>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</si>
  <si>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</si>
  <si>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</si>
  <si>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</si>
  <si>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</si>
  <si>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</si>
  <si>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</si>
  <si>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</si>
  <si>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</si>
  <si>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</si>
  <si>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</si>
  <si>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</si>
  <si>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</si>
  <si>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</si>
  <si>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</si>
  <si>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</si>
  <si>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</si>
  <si>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</si>
  <si>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</si>
  <si>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</si>
  <si>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</si>
  <si>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</si>
  <si>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</si>
  <si>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</si>
  <si>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</si>
  <si>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</si>
  <si>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</si>
  <si>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</si>
  <si>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</si>
  <si>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</si>
  <si>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</si>
  <si>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</si>
  <si>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</si>
  <si>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</si>
  <si>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</si>
  <si>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</si>
  <si>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</si>
  <si>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</si>
  <si>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</si>
  <si>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</si>
  <si>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</si>
  <si>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</si>
  <si>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</si>
  <si>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</si>
  <si>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</si>
  <si>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</si>
  <si>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</si>
  <si>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</si>
  <si>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</si>
  <si>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</si>
  <si>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</si>
  <si>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</si>
  <si>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</si>
  <si>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</si>
  <si>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</si>
  <si>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</si>
  <si>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</si>
  <si>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</si>
  <si>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</si>
  <si>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</si>
  <si>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</si>
  <si>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</si>
  <si>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</si>
  <si>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</si>
  <si>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</si>
  <si>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</si>
  <si>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</si>
  <si>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</si>
  <si>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Zusätzl. Pause (min)</t>
  </si>
  <si>
    <t>Addit. Pause (min)</t>
  </si>
  <si>
    <t>Turnierende:</t>
  </si>
  <si>
    <t>Start:</t>
  </si>
  <si>
    <t>Beginn:</t>
  </si>
  <si>
    <t>End of preliminary round:</t>
  </si>
  <si>
    <t>Ende der Vorrunde:</t>
  </si>
  <si>
    <t>Playing time per match:</t>
  </si>
  <si>
    <t>Spielzeit pro Spiel:</t>
  </si>
  <si>
    <t>Change time:</t>
  </si>
  <si>
    <t>Wechselzeit:</t>
  </si>
  <si>
    <t>Field</t>
  </si>
  <si>
    <t>Rang</t>
  </si>
  <si>
    <t>Rank</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</si>
  <si>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</si>
  <si>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</si>
  <si>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</si>
  <si>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</si>
  <si>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</si>
  <si>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</si>
  <si>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</si>
  <si>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</si>
  <si>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</si>
  <si>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</si>
  <si>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</si>
  <si>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</si>
  <si>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</si>
  <si>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</si>
  <si>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</si>
  <si>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</si>
  <si>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</si>
  <si>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</si>
  <si>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</si>
  <si>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</si>
  <si>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</si>
  <si>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</si>
  <si>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</si>
  <si>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</si>
  <si>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Sporthalle Wiesengrund, Wendiger Str. 51, 65432 Riedwald</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</si>
  <si>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</si>
  <si>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</si>
  <si>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</si>
  <si>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</si>
  <si>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</si>
  <si>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</si>
  <si>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</si>
  <si>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</si>
  <si>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</si>
  <si>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</si>
  <si>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</si>
  <si>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</si>
  <si>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</si>
  <si>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</si>
  <si>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</si>
  <si>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</si>
  <si>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</si>
  <si>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</si>
  <si>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</si>
  <si>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</si>
  <si>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</si>
  <si>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</si>
  <si>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</si>
  <si>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</si>
  <si>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</si>
  <si>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</si>
  <si>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</si>
  <si>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</si>
  <si>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</si>
  <si>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</si>
  <si>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</si>
  <si>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</si>
  <si>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</si>
  <si>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</si>
  <si>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</si>
  <si>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</si>
  <si>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</si>
  <si>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</si>
  <si>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</si>
  <si>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</si>
  <si>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</si>
  <si>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</si>
  <si>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</si>
  <si>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</si>
  <si>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</si>
  <si>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</si>
  <si>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</si>
  <si>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</si>
  <si>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</si>
  <si>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</si>
  <si>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Entering a bonus point
as a tie breaker on the
'PrelimRound' sheet</t>
  </si>
  <si>
    <t>Eingabe eines Bonus-Punktes
als Tie Breaker auf dem
Tabellenblatt 'Vorrunde'</t>
  </si>
  <si>
    <t>ZEITKONFLIKT
Zu viele Spielplätze!</t>
  </si>
  <si>
    <t>TIME CONFLICT
Too many pitches!</t>
  </si>
  <si>
    <t xml:space="preserve"> pitches at the same time.</t>
  </si>
  <si>
    <t>D1</t>
  </si>
  <si>
    <t>D2</t>
  </si>
  <si>
    <t>D3</t>
  </si>
  <si>
    <t>D4</t>
  </si>
  <si>
    <t>D5</t>
  </si>
  <si>
    <t>D6</t>
  </si>
  <si>
    <t>TSG Saalberg eV</t>
  </si>
  <si>
    <t>Paris St. Germain</t>
  </si>
  <si>
    <t>HSV</t>
  </si>
  <si>
    <t>RB Leipzig</t>
  </si>
  <si>
    <t>SV Oberredenburg</t>
  </si>
  <si>
    <t>&lt;-- max(A;B;C;D) --&gt;</t>
  </si>
  <si>
    <t>Gruppenerste</t>
  </si>
  <si>
    <t>Gruppenzweite</t>
  </si>
  <si>
    <t>Gruppenvierte</t>
  </si>
  <si>
    <t>Gruppenfünfte</t>
  </si>
  <si>
    <t>Gruppensechste</t>
  </si>
  <si>
    <t>Group winners</t>
  </si>
  <si>
    <t>Runners-up</t>
  </si>
  <si>
    <t>Fifth place</t>
  </si>
  <si>
    <t>Sixth place</t>
  </si>
  <si>
    <t>Fourth-place</t>
  </si>
  <si>
    <t>Third-place</t>
  </si>
  <si>
    <t>1D</t>
  </si>
  <si>
    <t>2D</t>
  </si>
  <si>
    <t>3D</t>
  </si>
  <si>
    <t>4D</t>
  </si>
  <si>
    <t>5D</t>
  </si>
  <si>
    <t>6D</t>
  </si>
  <si>
    <t>3rd place match</t>
  </si>
  <si>
    <t>Spiel um den dritten Platz</t>
  </si>
  <si>
    <t xml:space="preserve"> bis </t>
  </si>
  <si>
    <t xml:space="preserve"> to </t>
  </si>
  <si>
    <t>Halbfinalspiele</t>
  </si>
  <si>
    <t>Semi-final matches</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</si>
  <si>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</si>
  <si>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</si>
  <si>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</si>
  <si>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</si>
  <si>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</si>
  <si>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</si>
  <si>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</si>
  <si>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</si>
  <si>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</si>
  <si>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 xml:space="preserve">Finalspiele um die Plätze </t>
  </si>
  <si>
    <t xml:space="preserve">Final matches for places </t>
  </si>
  <si>
    <t>(Abbreviation for 'quarterfinals')</t>
  </si>
  <si>
    <t>(Abkürzung für 'Viertelfinale')</t>
  </si>
  <si>
    <t xml:space="preserve">QF </t>
  </si>
  <si>
    <t xml:space="preserve">VF </t>
  </si>
  <si>
    <t>(Abkürzung für 'Halbfinale')</t>
  </si>
  <si>
    <t>(Abbreviation for 'semi-finals')</t>
  </si>
  <si>
    <t xml:space="preserve">HF </t>
  </si>
  <si>
    <t xml:space="preserve">SF </t>
  </si>
  <si>
    <t>Anzahl der Spielfelder:</t>
  </si>
  <si>
    <t>Number of fields:</t>
  </si>
  <si>
    <t>Feld</t>
  </si>
  <si>
    <t>2a</t>
  </si>
  <si>
    <t>End of tournament (final round 3):</t>
  </si>
  <si>
    <t>End of tournament (final round 4):</t>
  </si>
  <si>
    <t>Turnierende (Endrunde 3):</t>
  </si>
  <si>
    <t>Turnierende (Endrunde 4):</t>
  </si>
  <si>
    <t>GDz</t>
  </si>
  <si>
    <t>erz. Pkte.</t>
  </si>
  <si>
    <t>PF</t>
  </si>
  <si>
    <t>Sätze</t>
  </si>
  <si>
    <t>sets</t>
  </si>
  <si>
    <t>1. Satz</t>
  </si>
  <si>
    <t>2. Satz</t>
  </si>
  <si>
    <t>1st set</t>
  </si>
  <si>
    <t>2nd set</t>
  </si>
  <si>
    <t>W (sets)</t>
  </si>
  <si>
    <t>Bälle</t>
  </si>
  <si>
    <t>balls</t>
  </si>
  <si>
    <t>Sets won</t>
  </si>
  <si>
    <t>result</t>
  </si>
  <si>
    <t>3. Satz</t>
  </si>
  <si>
    <t>3rd set</t>
  </si>
  <si>
    <t>Sieger</t>
  </si>
  <si>
    <t>Winner</t>
  </si>
  <si>
    <t>invalid 1</t>
  </si>
  <si>
    <t>invalid 2</t>
  </si>
  <si>
    <t>invalid 3</t>
  </si>
  <si>
    <t>Pts+ GD</t>
  </si>
  <si>
    <t>Tie-Break</t>
  </si>
  <si>
    <t>Tie break</t>
  </si>
  <si>
    <t>Rote Schrift bedeutet, dass die Rangfolge auch mit dem direkten Vergleich nicht geklärt ist. Ein Entscheidungsspiel oder Los muss hier entscheiden.</t>
  </si>
  <si>
    <t>Red font means that the ranking is not clear even with the direct comparison. A playoff match or drawing of lots must decide here.</t>
  </si>
  <si>
    <t>Tie break prel. round</t>
  </si>
  <si>
    <t>Tie Break Endrunde 4</t>
  </si>
  <si>
    <t>Tie break final round 4</t>
  </si>
  <si>
    <t>Team IDs</t>
  </si>
  <si>
    <t>Team-Kürzel</t>
  </si>
  <si>
    <t>e.g.  A2 - A4</t>
  </si>
  <si>
    <t>z.B.  A2 - A4</t>
  </si>
  <si>
    <t>Quot.</t>
  </si>
  <si>
    <t>Ball difference or ball quotient</t>
  </si>
  <si>
    <t>Balldifferenz oder Ballquotient</t>
  </si>
  <si>
    <t>Ball difference</t>
  </si>
  <si>
    <t>Balldifferenz</t>
  </si>
  <si>
    <t>Ball quotient</t>
  </si>
  <si>
    <t>Ballquotient</t>
  </si>
  <si>
    <t>max quot.</t>
  </si>
  <si>
    <t>Diff./Quot.</t>
  </si>
  <si>
    <t>Nr of dec places</t>
  </si>
  <si>
    <t>Ballpunkte</t>
  </si>
  <si>
    <t>Satzpunkte</t>
  </si>
  <si>
    <t>Set points</t>
  </si>
  <si>
    <t>Ball points</t>
  </si>
  <si>
    <t>Ball/Set points</t>
  </si>
  <si>
    <t>Anzeige in den Kreuztabellen der Vorrunde:</t>
  </si>
  <si>
    <t>Display in the crosstabs of the preliminary round:</t>
  </si>
  <si>
    <t>winner</t>
  </si>
  <si>
    <t>looser</t>
  </si>
  <si>
    <t>3rd set?</t>
  </si>
  <si>
    <t>valid 1 + 2</t>
  </si>
  <si>
    <t>valid 3</t>
  </si>
  <si>
    <t>Diff/Quot</t>
  </si>
  <si>
    <t>Sets lost</t>
  </si>
  <si>
    <t>Schiedsrichter</t>
  </si>
  <si>
    <t>Referee</t>
  </si>
  <si>
    <t>Anzahl der (Sieg-)Punkte</t>
  </si>
  <si>
    <t>Ja</t>
  </si>
  <si>
    <t>Nein</t>
  </si>
  <si>
    <t xml:space="preserve"> : </t>
  </si>
  <si>
    <t>Set difference as the second criterion?</t>
  </si>
  <si>
    <t>Satzdifferenz als zweites Kriterium?</t>
  </si>
  <si>
    <t>Yes</t>
  </si>
  <si>
    <t>No</t>
  </si>
  <si>
    <t>Setpts.</t>
  </si>
  <si>
    <t>Satzpkt.</t>
  </si>
  <si>
    <t>First criterion for the ranking:</t>
  </si>
  <si>
    <t>Erstes Kriterium für die Rangliste:</t>
  </si>
  <si>
    <t>Number of (victory) points</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</si>
  <si>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</si>
  <si>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</si>
  <si>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</si>
  <si>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</si>
  <si>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</si>
  <si>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</si>
  <si>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</si>
  <si>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</si>
  <si>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Dzero</t>
  </si>
  <si>
    <t>pts/sets</t>
  </si>
  <si>
    <t>Diff</t>
  </si>
  <si>
    <t>sets won</t>
  </si>
  <si>
    <t>goals</t>
  </si>
  <si>
    <t>Sets</t>
  </si>
  <si>
    <t>Balls</t>
  </si>
  <si>
    <t>GD/Quot</t>
  </si>
  <si>
    <t>Pts/Sets won</t>
  </si>
  <si>
    <t>Sets diff</t>
  </si>
  <si>
    <t>rank</t>
  </si>
  <si>
    <t>TieBr+PO</t>
  </si>
  <si>
    <t>DirC + TieBr/PO</t>
  </si>
  <si>
    <t>playoffs</t>
  </si>
  <si>
    <t>Bonus</t>
  </si>
  <si>
    <t>bonus</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</si>
  <si>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</si>
  <si>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</si>
  <si>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Rounded</t>
  </si>
  <si>
    <t>Endrunde 4</t>
  </si>
  <si>
    <t>Ball difference or ball quotient:</t>
  </si>
  <si>
    <t>Balldifferenz oder Ballquotient:</t>
  </si>
  <si>
    <t>Version  2.1
27.01.2026</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</si>
  <si>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</si>
  <si>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</si>
  <si>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</si>
  <si>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</si>
  <si>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</si>
  <si>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</si>
  <si>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No draw in a set:</t>
  </si>
  <si>
    <t>format 1 + 2</t>
  </si>
  <si>
    <t>format 3</t>
  </si>
  <si>
    <t>valid 1</t>
  </si>
  <si>
    <t>valid 2</t>
  </si>
  <si>
    <t>final result</t>
  </si>
  <si>
    <t>No draws in a set</t>
  </si>
  <si>
    <t>Conditional formatting</t>
  </si>
  <si>
    <t>A draw in a set is possible</t>
  </si>
  <si>
    <t>Internationales U10-Turnier am 27.01.2026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</si>
</sst>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7"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b/>
      <sz val="10"/>
      <color rgb="FF0070C0"/>
      <name val="Calibri"/>
      <family val="2"/>
      <scheme val="minor"/>
    </font>
    <font>
      <b/>
      <sz val="10"/>
      <name val="Calibri"/>
      <family val="2"/>
      <scheme val="minor"/>
    </font>
    <font>
      <sz val="11"/>
      <color theme="8" tint="-0.249977111117893"/>
      <name val="Calibri"/>
      <family val="2"/>
      <scheme val="minor"/>
    </font>
    <font>
      <sz val="9"/>
      <color theme="5"/>
      <name val="Calibri"/>
      <family val="2"/>
      <scheme val="minor"/>
    </font>
    <font>
      <sz val="9"/>
      <color theme="5"/>
      <name val="Arial"/>
      <family val="2"/>
    </font>
    <font>
      <sz val="9"/>
      <name val="Arial"/>
      <family val="2"/>
    </font>
    <font>
      <sz val="11"/>
      <color theme="8" tint="-0.499984740745262"/>
      <name val="Calibri"/>
      <family val="2"/>
    </font>
    <font>
      <sz val="10"/>
      <color theme="5"/>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3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n">
        <color theme="2" tint="-0.499984740745262"/>
      </top>
      <bottom style="thick">
        <color theme="2" tint="-0.499984740745262"/>
      </bottom>
      <diagonal/>
    </border>
    <border>
      <left style="thin">
        <color theme="2" tint="-0.24994659260841701"/>
      </left>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7"/>
      </left>
      <right style="thick">
        <color theme="7"/>
      </right>
      <top style="thick">
        <color theme="7"/>
      </top>
      <bottom style="thick">
        <color theme="7"/>
      </bottom>
      <diagonal/>
    </border>
    <border>
      <left style="thin">
        <color theme="2" tint="-0.24994659260841701"/>
      </left>
      <right/>
      <top/>
      <bottom/>
      <diagonal/>
    </border>
    <border>
      <left style="thick">
        <color theme="2" tint="-0.499984740745262"/>
      </left>
      <right style="thin">
        <color theme="2" tint="-0.24994659260841701"/>
      </right>
      <top style="thick">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ck">
        <color theme="2" tint="-0.499984740745262"/>
      </bottom>
      <diagonal/>
    </border>
    <border>
      <left style="thin">
        <color theme="2" tint="-0.24994659260841701"/>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right style="thin">
        <color theme="2" tint="-0.24994659260841701"/>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right style="thin">
        <color theme="2" tint="-0.24994659260841701"/>
      </right>
      <top style="thin">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9" tint="0.39988402966399123"/>
      </left>
      <right/>
      <top/>
      <bottom/>
      <diagonal/>
    </border>
    <border>
      <left style="thick">
        <color theme="9" tint="0.39991454817346722"/>
      </left>
      <right/>
      <top/>
      <bottom/>
      <diagonal/>
    </border>
    <border>
      <left/>
      <right style="thick">
        <color theme="2" tint="-0.499984740745262"/>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right style="thick">
        <color theme="7"/>
      </right>
      <top/>
      <bottom/>
      <diagonal/>
    </border>
    <border>
      <left/>
      <right style="thick">
        <color theme="9" tint="0.39991454817346722"/>
      </right>
      <top style="thick">
        <color theme="9" tint="0.39991454817346722"/>
      </top>
      <bottom/>
      <diagonal/>
    </border>
    <border>
      <left/>
      <right style="thick">
        <color theme="9" tint="0.39991454817346722"/>
      </right>
      <top/>
      <bottom style="thick">
        <color theme="9" tint="0.39991454817346722"/>
      </bottom>
      <diagonal/>
    </border>
    <border>
      <left/>
      <right style="thin">
        <color theme="2" tint="-0.24994659260841701"/>
      </right>
      <top/>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right style="thin">
        <color theme="2" tint="-0.499984740745262"/>
      </right>
      <top style="thick">
        <color theme="2" tint="-0.499984740745262"/>
      </top>
      <bottom style="thin">
        <color theme="2" tint="-0.24994659260841701"/>
      </bottom>
      <diagonal/>
    </border>
    <border>
      <left/>
      <right style="thin">
        <color theme="2" tint="-0.499984740745262"/>
      </right>
      <top style="thin">
        <color theme="2" tint="-0.24994659260841701"/>
      </top>
      <bottom style="thick">
        <color theme="2" tint="-0.499984740745262"/>
      </bottom>
      <diagonal/>
    </border>
    <border>
      <left/>
      <right style="thin">
        <color theme="2" tint="-0.499984740745262"/>
      </right>
      <top style="thick">
        <color theme="2" tint="-0.499984740745262"/>
      </top>
      <bottom style="thick">
        <color theme="2" tint="-0.499984740745262"/>
      </bottom>
      <diagonal/>
    </border>
    <border>
      <left style="thin">
        <color theme="2" tint="-0.499984740745262"/>
      </left>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right style="thin">
        <color theme="2" tint="-0.499984740745262"/>
      </right>
      <top style="thin">
        <color theme="2" tint="-0.499984740745262"/>
      </top>
      <bottom style="thin">
        <color theme="2" tint="-0.24994659260841701"/>
      </bottom>
      <diagonal/>
    </border>
    <border>
      <left/>
      <right style="thin">
        <color theme="2" tint="-0.499984740745262"/>
      </right>
      <top style="thin">
        <color theme="2" tint="-0.24994659260841701"/>
      </top>
      <bottom style="thin">
        <color theme="2" tint="-0.24994659260841701"/>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indexed="64"/>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right style="medium">
        <color theme="2" tint="-0.499984740745262"/>
      </right>
      <top style="thin">
        <color theme="2" tint="-0.24994659260841701"/>
      </top>
      <bottom/>
      <diagonal/>
    </border>
    <border>
      <left style="thick">
        <color theme="2" tint="-0.499984740745262"/>
      </left>
      <right style="medium">
        <color theme="2" tint="-0.499984740745262"/>
      </right>
      <top/>
      <bottom style="thin">
        <color theme="2" tint="-0.24994659260841701"/>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7"/>
      </left>
      <right/>
      <top/>
      <bottom/>
      <diagonal/>
    </border>
    <border>
      <left/>
      <right style="thick">
        <color theme="9" tint="0.39991454817346722"/>
      </right>
      <top style="thick">
        <color theme="9" tint="0.39994506668294322"/>
      </top>
      <bottom/>
      <diagonal/>
    </border>
    <border>
      <left/>
      <right style="thick">
        <color theme="9" tint="0.39991454817346722"/>
      </right>
      <top/>
      <bottom style="thick">
        <color theme="9" tint="0.39994506668294322"/>
      </bottom>
      <diagonal/>
    </border>
    <border>
      <left style="medium">
        <color theme="2" tint="-0.499984740745262"/>
      </left>
      <right style="medium">
        <color theme="2" tint="-0.499984740745262"/>
      </right>
      <top style="medium">
        <color theme="2" tint="-0.499984740745262"/>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499984740745262"/>
      </left>
      <right/>
      <top/>
      <bottom style="thin">
        <color theme="2" tint="-0.24994659260841701"/>
      </bottom>
      <diagonal/>
    </border>
    <border>
      <left/>
      <right style="thick">
        <color theme="9" tint="0.39988402966399123"/>
      </right>
      <top style="thick">
        <color theme="9" tint="0.39991454817346722"/>
      </top>
      <bottom/>
      <diagonal/>
    </border>
    <border>
      <left/>
      <right style="thick">
        <color theme="9" tint="0.39988402966399123"/>
      </right>
      <top/>
      <bottom style="thick">
        <color theme="9" tint="0.39991454817346722"/>
      </bottom>
      <diagonal/>
    </border>
    <border>
      <left style="thin">
        <color theme="2" tint="-0.499984740745262"/>
      </left>
      <right/>
      <top style="thick">
        <color theme="2" tint="-0.499984740745262"/>
      </top>
      <bottom style="thin">
        <color theme="2" tint="-0.499984740745262"/>
      </bottom>
      <diagonal/>
    </border>
    <border>
      <left style="medium">
        <color theme="2" tint="-0.499984740745262"/>
      </left>
      <right style="thin">
        <color rgb="FFA50021"/>
      </right>
      <top style="thick">
        <color theme="2" tint="-0.499984740745262"/>
      </top>
      <bottom style="thin">
        <color theme="2" tint="-0.499984740745262"/>
      </bottom>
      <diagonal/>
    </border>
    <border>
      <left style="medium">
        <color theme="2" tint="-0.499984740745262"/>
      </left>
      <right/>
      <top style="thin">
        <color theme="2" tint="-0.499984740745262"/>
      </top>
      <bottom style="thin">
        <color theme="2" tint="-0.499984740745262"/>
      </bottom>
      <diagonal/>
    </border>
    <border>
      <left style="medium">
        <color theme="2" tint="-0.499984740745262"/>
      </left>
      <right/>
      <top style="thin">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ck">
        <color theme="2" tint="-0.499984740745262"/>
      </left>
      <right style="thick">
        <color theme="2" tint="-0.499984740745262"/>
      </right>
      <top style="thick">
        <color rgb="FFFF0000"/>
      </top>
      <bottom/>
      <diagonal/>
    </border>
    <border>
      <left style="thick">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n">
        <color theme="2" tint="-0.24994659260841701"/>
      </left>
      <right/>
      <top style="thin">
        <color theme="2" tint="-0.499984740745262"/>
      </top>
      <bottom style="thin">
        <color theme="2" tint="-0.499984740745262"/>
      </bottom>
      <diagonal/>
    </border>
  </borders>
  <cellStyleXfs count="5">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xf numFmtId="0" fontId="4" fillId="0" borderId="0"/>
  </cellStyleXfs>
  <cellXfs count="1060">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7" fillId="0" borderId="41" xfId="0" applyNumberFormat="1" applyFont="1" applyFill="1" applyBorder="1" applyAlignment="1" applyProtection="1">
      <alignment horizontal="right" vertical="center" indent="1"/>
      <protection hidden="1"/>
    </xf>
    <xf numFmtId="0" fontId="7" fillId="0" borderId="44" xfId="0" applyNumberFormat="1" applyFont="1" applyFill="1" applyBorder="1" applyAlignment="1" applyProtection="1">
      <alignment horizontal="right" vertical="center" indent="1"/>
      <protection hidden="1"/>
    </xf>
    <xf numFmtId="0" fontId="7" fillId="0" borderId="46" xfId="0" applyNumberFormat="1" applyFont="1" applyFill="1" applyBorder="1" applyAlignment="1" applyProtection="1">
      <alignment horizontal="right" vertical="center" indent="1"/>
      <protection hidden="1"/>
    </xf>
    <xf numFmtId="0" fontId="18" fillId="0" borderId="0" xfId="0" applyFont="1"/>
    <xf numFmtId="0" fontId="21" fillId="0" borderId="60" xfId="0" applyFont="1" applyBorder="1" applyAlignment="1">
      <alignment horizontal="center" vertical="center"/>
    </xf>
    <xf numFmtId="0" fontId="21" fillId="0" borderId="74" xfId="0" applyFont="1" applyBorder="1" applyAlignment="1">
      <alignment horizontal="left" vertical="center"/>
    </xf>
    <xf numFmtId="0" fontId="21" fillId="0" borderId="55"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80" xfId="0" applyNumberFormat="1" applyFont="1" applyFill="1" applyBorder="1" applyAlignment="1" applyProtection="1">
      <alignment vertical="center"/>
      <protection hidden="1"/>
    </xf>
    <xf numFmtId="0" fontId="7" fillId="0" borderId="81" xfId="0" applyNumberFormat="1" applyFont="1" applyFill="1" applyBorder="1" applyAlignment="1" applyProtection="1">
      <alignment vertical="center"/>
      <protection hidden="1"/>
    </xf>
    <xf numFmtId="0" fontId="7" fillId="0" borderId="82" xfId="0" applyNumberFormat="1" applyFont="1" applyFill="1" applyBorder="1" applyAlignment="1" applyProtection="1">
      <alignment vertical="center"/>
      <protection hidden="1"/>
    </xf>
    <xf numFmtId="0" fontId="7" fillId="0" borderId="83" xfId="0" applyNumberFormat="1" applyFont="1" applyFill="1" applyBorder="1" applyAlignment="1" applyProtection="1">
      <alignment vertical="center"/>
      <protection hidden="1"/>
    </xf>
    <xf numFmtId="0" fontId="7" fillId="0" borderId="43" xfId="0" applyNumberFormat="1" applyFont="1" applyFill="1" applyBorder="1" applyAlignment="1" applyProtection="1">
      <alignment horizontal="left" vertical="center"/>
      <protection hidden="1"/>
    </xf>
    <xf numFmtId="0" fontId="7" fillId="0" borderId="45" xfId="0" applyNumberFormat="1" applyFont="1" applyFill="1" applyBorder="1" applyAlignment="1" applyProtection="1">
      <alignment horizontal="left" vertical="center"/>
      <protection hidden="1"/>
    </xf>
    <xf numFmtId="0" fontId="7" fillId="0" borderId="47"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4" fillId="9" borderId="38" xfId="0" applyFont="1" applyFill="1" applyBorder="1" applyAlignment="1">
      <alignment horizontal="center" vertical="center"/>
    </xf>
    <xf numFmtId="0" fontId="18" fillId="0" borderId="0" xfId="0" applyNumberFormat="1" applyFont="1" applyAlignment="1">
      <alignment horizontal="center"/>
    </xf>
    <xf numFmtId="0" fontId="7" fillId="0" borderId="88" xfId="0" applyNumberFormat="1" applyFont="1" applyFill="1" applyBorder="1" applyAlignment="1" applyProtection="1">
      <alignment horizontal="right" vertical="center" indent="1"/>
      <protection hidden="1"/>
    </xf>
    <xf numFmtId="0" fontId="7" fillId="0" borderId="89" xfId="0" applyNumberFormat="1" applyFont="1" applyFill="1" applyBorder="1" applyAlignment="1" applyProtection="1">
      <alignment horizontal="right" vertical="center" indent="1"/>
      <protection hidden="1"/>
    </xf>
    <xf numFmtId="0" fontId="7" fillId="0" borderId="90"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103" xfId="0" applyFill="1" applyBorder="1" applyAlignment="1" applyProtection="1">
      <alignment horizontal="left" indent="1"/>
      <protection locked="0"/>
    </xf>
    <xf numFmtId="0" fontId="0" fillId="13" borderId="104" xfId="0" applyFill="1" applyBorder="1" applyAlignment="1" applyProtection="1">
      <alignment horizontal="left" indent="1"/>
      <protection locked="0"/>
    </xf>
    <xf numFmtId="0" fontId="0" fillId="14" borderId="105" xfId="0" applyFill="1" applyBorder="1" applyAlignment="1" applyProtection="1">
      <alignment horizontal="left" indent="1"/>
      <protection locked="0"/>
    </xf>
    <xf numFmtId="0" fontId="35" fillId="0" borderId="98" xfId="0" applyFont="1" applyFill="1" applyBorder="1" applyAlignment="1">
      <alignment horizontal="left" indent="1"/>
    </xf>
    <xf numFmtId="0" fontId="0" fillId="0" borderId="99" xfId="0" applyBorder="1" applyAlignment="1">
      <alignment horizontal="left" indent="1"/>
    </xf>
    <xf numFmtId="0" fontId="0" fillId="0" borderId="106" xfId="0" applyBorder="1" applyAlignment="1">
      <alignment horizontal="left" indent="1"/>
    </xf>
    <xf numFmtId="0" fontId="35" fillId="0" borderId="101" xfId="0" applyFont="1" applyFill="1" applyBorder="1" applyAlignment="1">
      <alignment horizontal="left" indent="1"/>
    </xf>
    <xf numFmtId="0" fontId="0" fillId="0" borderId="0" xfId="0" applyBorder="1" applyAlignment="1">
      <alignment horizontal="left" indent="1"/>
    </xf>
    <xf numFmtId="0" fontId="0" fillId="0" borderId="97"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105" xfId="0" applyFill="1" applyBorder="1" applyAlignment="1" applyProtection="1">
      <alignment horizontal="left" vertical="top" wrapText="1" indent="1"/>
      <protection locked="0"/>
    </xf>
    <xf numFmtId="0" fontId="0" fillId="12" borderId="103" xfId="0" applyFill="1" applyBorder="1" applyAlignment="1" applyProtection="1">
      <alignment horizontal="left" vertical="top" wrapText="1" indent="1"/>
      <protection locked="0"/>
    </xf>
    <xf numFmtId="0" fontId="0" fillId="13" borderId="104" xfId="0" applyFill="1" applyBorder="1" applyAlignment="1" applyProtection="1">
      <alignment horizontal="left" vertical="top" wrapText="1" indent="1"/>
      <protection locked="0"/>
    </xf>
    <xf numFmtId="0" fontId="0" fillId="13" borderId="10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indent="1"/>
      <protection locked="0"/>
    </xf>
    <xf numFmtId="0" fontId="4" fillId="12" borderId="103" xfId="0" applyFont="1" applyFill="1" applyBorder="1" applyAlignment="1" applyProtection="1">
      <alignment horizontal="left" vertical="center" indent="1"/>
      <protection locked="0"/>
    </xf>
    <xf numFmtId="0" fontId="4" fillId="14" borderId="105" xfId="0" applyFont="1" applyFill="1" applyBorder="1" applyAlignment="1" applyProtection="1">
      <alignment horizontal="left" vertical="center" indent="1"/>
      <protection locked="0"/>
    </xf>
    <xf numFmtId="0" fontId="4" fillId="14" borderId="105" xfId="0" applyFont="1" applyFill="1" applyBorder="1" applyAlignment="1" applyProtection="1">
      <alignment horizontal="left" vertical="top" wrapText="1" indent="1"/>
      <protection locked="0"/>
    </xf>
    <xf numFmtId="0" fontId="4" fillId="12" borderId="103" xfId="0" applyFont="1" applyFill="1" applyBorder="1" applyAlignment="1" applyProtection="1">
      <alignment horizontal="left" indent="1"/>
      <protection locked="0"/>
    </xf>
    <xf numFmtId="0" fontId="4" fillId="14" borderId="105" xfId="0" applyFont="1" applyFill="1" applyBorder="1" applyAlignment="1" applyProtection="1">
      <alignment horizontal="left" indent="1"/>
      <protection locked="0"/>
    </xf>
    <xf numFmtId="0" fontId="4" fillId="14" borderId="105" xfId="0" applyFont="1" applyFill="1" applyBorder="1" applyAlignment="1">
      <alignment horizontal="left" indent="1"/>
    </xf>
    <xf numFmtId="0" fontId="4" fillId="13" borderId="104" xfId="0" applyFont="1" applyFill="1" applyBorder="1" applyAlignment="1" applyProtection="1">
      <alignment horizontal="left" indent="1"/>
      <protection locked="0"/>
    </xf>
    <xf numFmtId="0" fontId="4" fillId="12" borderId="107" xfId="0" applyFont="1" applyFill="1" applyBorder="1" applyAlignment="1" applyProtection="1">
      <alignment horizontal="left" vertical="top" indent="1"/>
      <protection locked="0"/>
    </xf>
    <xf numFmtId="0" fontId="4" fillId="14" borderId="105" xfId="0" applyFont="1" applyFill="1" applyBorder="1" applyAlignment="1" applyProtection="1">
      <alignment horizontal="left" vertical="top" indent="1"/>
      <protection locked="0"/>
    </xf>
    <xf numFmtId="0" fontId="4" fillId="0" borderId="0" xfId="0" applyFont="1"/>
    <xf numFmtId="0" fontId="31" fillId="0" borderId="0" xfId="0" applyFont="1" applyBorder="1" applyAlignment="1">
      <alignment horizontal="left" vertical="center" wrapText="1"/>
    </xf>
    <xf numFmtId="0" fontId="4" fillId="12" borderId="109" xfId="0" applyFont="1" applyFill="1" applyBorder="1" applyAlignment="1" applyProtection="1">
      <alignment horizontal="left" vertical="top" indent="1"/>
      <protection locked="0"/>
    </xf>
    <xf numFmtId="0" fontId="1" fillId="13" borderId="96" xfId="0" applyFont="1" applyFill="1" applyBorder="1" applyAlignment="1" applyProtection="1">
      <alignment horizontal="center" vertical="center"/>
      <protection locked="0"/>
    </xf>
    <xf numFmtId="0" fontId="4" fillId="14" borderId="101" xfId="0" applyFont="1" applyFill="1" applyBorder="1" applyAlignment="1" applyProtection="1">
      <alignment horizontal="left" vertical="top" indent="1"/>
      <protection locked="0"/>
    </xf>
    <xf numFmtId="0" fontId="7" fillId="0" borderId="35"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7" xfId="0" applyFont="1" applyBorder="1" applyAlignment="1">
      <alignment horizontal="center" vertical="center"/>
    </xf>
    <xf numFmtId="0" fontId="20" fillId="0" borderId="49" xfId="0" applyFont="1" applyBorder="1" applyAlignment="1">
      <alignment horizontal="center" vertical="center"/>
    </xf>
    <xf numFmtId="0" fontId="20" fillId="0" borderId="52" xfId="0" applyFont="1" applyBorder="1" applyAlignment="1">
      <alignment horizontal="center" vertical="center"/>
    </xf>
    <xf numFmtId="0" fontId="30" fillId="13" borderId="118" xfId="0" applyFont="1" applyFill="1" applyBorder="1" applyAlignment="1">
      <alignment horizontal="center" vertical="center"/>
    </xf>
    <xf numFmtId="164" fontId="20" fillId="0" borderId="39" xfId="0" applyNumberFormat="1" applyFont="1" applyBorder="1" applyAlignment="1">
      <alignment horizontal="center" vertical="center"/>
    </xf>
    <xf numFmtId="164" fontId="20" fillId="0" borderId="40" xfId="0" applyNumberFormat="1" applyFont="1" applyBorder="1" applyAlignment="1">
      <alignment horizontal="center" vertical="center"/>
    </xf>
    <xf numFmtId="0" fontId="18" fillId="13" borderId="38" xfId="0" applyFont="1" applyFill="1" applyBorder="1"/>
    <xf numFmtId="3" fontId="7" fillId="0" borderId="35"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9" xfId="0" applyFont="1" applyFill="1" applyBorder="1" applyAlignment="1">
      <alignment horizontal="center" vertical="center"/>
    </xf>
    <xf numFmtId="0" fontId="30" fillId="13" borderId="122" xfId="0" applyFont="1" applyFill="1" applyBorder="1" applyAlignment="1">
      <alignment horizontal="left" vertical="center" indent="1"/>
    </xf>
    <xf numFmtId="0" fontId="20" fillId="0" borderId="123" xfId="0" applyFont="1" applyBorder="1" applyAlignment="1">
      <alignment horizontal="left" vertical="center" indent="1"/>
    </xf>
    <xf numFmtId="0" fontId="20" fillId="0" borderId="124" xfId="0" applyFont="1" applyBorder="1" applyAlignment="1">
      <alignment horizontal="left" vertical="center" indent="1"/>
    </xf>
    <xf numFmtId="0" fontId="20" fillId="0" borderId="125" xfId="0" applyFont="1" applyBorder="1" applyAlignment="1">
      <alignment horizontal="left" vertical="center" indent="1"/>
    </xf>
    <xf numFmtId="0" fontId="30" fillId="13" borderId="120" xfId="0" applyFont="1" applyFill="1" applyBorder="1" applyAlignment="1">
      <alignment horizontal="center" vertical="center"/>
    </xf>
    <xf numFmtId="0" fontId="39" fillId="0" borderId="121" xfId="0" applyFont="1" applyBorder="1" applyAlignment="1">
      <alignment horizontal="center" vertical="center"/>
    </xf>
    <xf numFmtId="0" fontId="39" fillId="0" borderId="54" xfId="0" applyFont="1" applyBorder="1" applyAlignment="1">
      <alignment horizontal="center" vertical="center"/>
    </xf>
    <xf numFmtId="0" fontId="39" fillId="0" borderId="56" xfId="0" applyFont="1" applyBorder="1" applyAlignment="1">
      <alignment horizontal="center" vertical="center"/>
    </xf>
    <xf numFmtId="165" fontId="21" fillId="13" borderId="126" xfId="0" applyNumberFormat="1" applyFont="1" applyFill="1" applyBorder="1" applyAlignment="1">
      <alignment horizontal="center" vertical="center"/>
    </xf>
    <xf numFmtId="165" fontId="21" fillId="13" borderId="118"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8" xfId="0" applyFont="1" applyFill="1" applyBorder="1" applyAlignment="1">
      <alignment horizontal="center" vertical="center"/>
    </xf>
    <xf numFmtId="0" fontId="20" fillId="0" borderId="129" xfId="0" applyFont="1" applyBorder="1" applyAlignment="1">
      <alignment horizontal="center" vertical="center"/>
    </xf>
    <xf numFmtId="0" fontId="20" fillId="0" borderId="131" xfId="0" applyFont="1" applyBorder="1" applyAlignment="1">
      <alignment horizontal="center" vertical="center"/>
    </xf>
    <xf numFmtId="0" fontId="4" fillId="12" borderId="103" xfId="0" applyFont="1" applyFill="1" applyBorder="1" applyAlignment="1" applyProtection="1">
      <alignment horizontal="left" vertical="top" wrapText="1" indent="1"/>
      <protection locked="0"/>
    </xf>
    <xf numFmtId="0" fontId="7" fillId="0" borderId="4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45" xfId="0" applyNumberFormat="1" applyFont="1" applyFill="1" applyBorder="1" applyAlignment="1" applyProtection="1">
      <alignment horizontal="center" vertical="center"/>
      <protection hidden="1"/>
    </xf>
    <xf numFmtId="0" fontId="7" fillId="0" borderId="76" xfId="0" applyNumberFormat="1" applyFont="1" applyFill="1" applyBorder="1" applyAlignment="1" applyProtection="1">
      <alignment horizontal="center" vertical="center"/>
      <protection hidden="1"/>
    </xf>
    <xf numFmtId="0" fontId="7" fillId="0" borderId="47"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44" xfId="0" applyNumberFormat="1" applyFont="1" applyFill="1" applyBorder="1" applyAlignment="1" applyProtection="1">
      <alignment horizontal="center" vertical="center"/>
      <protection hidden="1"/>
    </xf>
    <xf numFmtId="0" fontId="7" fillId="0" borderId="46" xfId="0" applyNumberFormat="1" applyFont="1" applyFill="1" applyBorder="1" applyAlignment="1" applyProtection="1">
      <alignment horizontal="center" vertical="center"/>
      <protection hidden="1"/>
    </xf>
    <xf numFmtId="0" fontId="18" fillId="0" borderId="132" xfId="0" applyFont="1" applyBorder="1" applyAlignment="1">
      <alignment horizontal="center" vertical="center"/>
    </xf>
    <xf numFmtId="0" fontId="18" fillId="0" borderId="133" xfId="0" applyFont="1" applyBorder="1" applyAlignment="1">
      <alignment horizontal="center" vertical="center"/>
    </xf>
    <xf numFmtId="0" fontId="18" fillId="0" borderId="134" xfId="0" applyFont="1" applyBorder="1" applyAlignment="1">
      <alignment horizontal="center" vertical="center"/>
    </xf>
    <xf numFmtId="0" fontId="30" fillId="13" borderId="137" xfId="0" applyFont="1" applyFill="1" applyBorder="1" applyAlignment="1">
      <alignment horizontal="center" vertical="center"/>
    </xf>
    <xf numFmtId="0" fontId="20" fillId="0" borderId="127" xfId="0" applyFont="1" applyBorder="1" applyAlignment="1">
      <alignment horizontal="center" vertical="center"/>
    </xf>
    <xf numFmtId="0" fontId="20" fillId="0" borderId="60" xfId="0" applyFont="1" applyBorder="1" applyAlignment="1">
      <alignment horizontal="center" vertical="center"/>
    </xf>
    <xf numFmtId="0" fontId="20" fillId="0" borderId="61" xfId="0" applyFont="1" applyBorder="1" applyAlignment="1">
      <alignment horizontal="center" vertical="center"/>
    </xf>
    <xf numFmtId="165" fontId="21" fillId="13" borderId="140" xfId="0" applyNumberFormat="1" applyFont="1" applyFill="1" applyBorder="1" applyAlignment="1">
      <alignment horizontal="center" vertical="center"/>
    </xf>
    <xf numFmtId="0" fontId="20" fillId="0" borderId="141" xfId="0" applyFont="1" applyBorder="1" applyAlignment="1">
      <alignment horizontal="center" vertical="center"/>
    </xf>
    <xf numFmtId="0" fontId="20" fillId="0" borderId="50" xfId="0" applyFont="1" applyBorder="1" applyAlignment="1">
      <alignment horizontal="center" vertical="center"/>
    </xf>
    <xf numFmtId="0" fontId="20" fillId="8" borderId="53"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 fillId="12" borderId="109" xfId="0" applyFont="1" applyFill="1" applyBorder="1" applyAlignment="1" applyProtection="1">
      <alignment horizontal="left" vertical="top" wrapText="1" indent="1"/>
      <protection locked="0"/>
    </xf>
    <xf numFmtId="0" fontId="4" fillId="14" borderId="101"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9" xfId="0" applyNumberFormat="1" applyFont="1" applyBorder="1" applyAlignment="1">
      <alignment horizontal="center" vertical="center"/>
    </xf>
    <xf numFmtId="0" fontId="23" fillId="0" borderId="117" xfId="0" applyNumberFormat="1" applyFont="1" applyBorder="1" applyAlignment="1">
      <alignment horizontal="center" vertical="center"/>
    </xf>
    <xf numFmtId="0" fontId="23" fillId="0" borderId="49" xfId="0" applyNumberFormat="1" applyFont="1" applyBorder="1" applyAlignment="1">
      <alignment horizontal="center" vertical="center"/>
    </xf>
    <xf numFmtId="167" fontId="23" fillId="0" borderId="52" xfId="0" applyNumberFormat="1" applyFont="1" applyBorder="1" applyAlignment="1">
      <alignment horizontal="center" vertical="center"/>
    </xf>
    <xf numFmtId="0" fontId="23" fillId="0" borderId="52" xfId="0" applyNumberFormat="1" applyFont="1" applyBorder="1" applyAlignment="1">
      <alignment horizontal="center" vertical="center"/>
    </xf>
    <xf numFmtId="0" fontId="21" fillId="0" borderId="153" xfId="0" applyFont="1" applyBorder="1" applyAlignment="1">
      <alignment horizontal="right" vertical="center"/>
    </xf>
    <xf numFmtId="0" fontId="21" fillId="0" borderId="154" xfId="0" applyFont="1" applyBorder="1" applyAlignment="1">
      <alignment horizontal="center" vertical="center"/>
    </xf>
    <xf numFmtId="0" fontId="21" fillId="0" borderId="156" xfId="0" applyFont="1" applyBorder="1" applyAlignment="1">
      <alignment horizontal="left" vertical="center"/>
    </xf>
    <xf numFmtId="0" fontId="19" fillId="9" borderId="157" xfId="0" applyFont="1" applyFill="1" applyBorder="1" applyAlignment="1">
      <alignment horizontal="center"/>
    </xf>
    <xf numFmtId="0" fontId="19" fillId="9" borderId="120" xfId="0" applyFont="1" applyFill="1" applyBorder="1" applyAlignment="1">
      <alignment horizontal="center"/>
    </xf>
    <xf numFmtId="167" fontId="23" fillId="0" borderId="117" xfId="0" applyNumberFormat="1" applyFont="1" applyBorder="1" applyAlignment="1">
      <alignment horizontal="center" vertical="center"/>
    </xf>
    <xf numFmtId="0" fontId="14" fillId="9" borderId="84" xfId="0" applyFont="1" applyFill="1" applyBorder="1" applyAlignment="1">
      <alignment horizontal="center" vertical="center"/>
    </xf>
    <xf numFmtId="0" fontId="20" fillId="0" borderId="138" xfId="0" applyFont="1" applyBorder="1" applyAlignment="1">
      <alignment horizontal="left" vertical="center"/>
    </xf>
    <xf numFmtId="0" fontId="20" fillId="0" borderId="130" xfId="0" applyFont="1" applyBorder="1" applyAlignment="1">
      <alignment horizontal="left" vertical="center"/>
    </xf>
    <xf numFmtId="0" fontId="20" fillId="0" borderId="139" xfId="0" applyFont="1" applyBorder="1" applyAlignment="1">
      <alignment horizontal="left" vertical="center"/>
    </xf>
    <xf numFmtId="0" fontId="48" fillId="0" borderId="0" xfId="0" applyNumberFormat="1" applyFont="1" applyAlignment="1">
      <alignment horizontal="center" vertical="center"/>
    </xf>
    <xf numFmtId="0" fontId="7" fillId="0" borderId="163" xfId="0" applyNumberFormat="1" applyFont="1" applyFill="1" applyBorder="1" applyAlignment="1" applyProtection="1">
      <alignment vertical="center"/>
      <protection hidden="1"/>
    </xf>
    <xf numFmtId="0" fontId="6" fillId="0" borderId="49"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6" xfId="0" applyFont="1" applyFill="1" applyBorder="1" applyAlignment="1">
      <alignment horizontal="center" vertical="center" shrinkToFit="1"/>
    </xf>
    <xf numFmtId="0" fontId="14" fillId="9" borderId="75" xfId="0" applyFont="1" applyFill="1" applyBorder="1" applyAlignment="1">
      <alignment horizontal="center" vertical="center" shrinkToFit="1"/>
    </xf>
    <xf numFmtId="0" fontId="14" fillId="9" borderId="58" xfId="0" applyFont="1" applyFill="1" applyBorder="1" applyAlignment="1">
      <alignment horizontal="center" vertical="center" shrinkToFit="1"/>
    </xf>
    <xf numFmtId="0" fontId="14" fillId="9" borderId="70" xfId="0" applyFont="1" applyFill="1" applyBorder="1" applyAlignment="1">
      <alignment horizontal="center" vertical="center" shrinkToFit="1"/>
    </xf>
    <xf numFmtId="165" fontId="14" fillId="9" borderId="66" xfId="0" applyNumberFormat="1" applyFont="1" applyFill="1" applyBorder="1" applyAlignment="1">
      <alignment vertical="center" shrinkToFit="1"/>
    </xf>
    <xf numFmtId="165" fontId="14" fillId="9" borderId="75" xfId="0" applyNumberFormat="1" applyFont="1" applyFill="1" applyBorder="1" applyAlignment="1">
      <alignment vertical="center" shrinkToFit="1"/>
    </xf>
    <xf numFmtId="0" fontId="6" fillId="0" borderId="142" xfId="0" applyFont="1" applyBorder="1" applyAlignment="1">
      <alignment horizontal="center" vertical="center" shrinkToFit="1"/>
    </xf>
    <xf numFmtId="0" fontId="6" fillId="0" borderId="143" xfId="0" applyFont="1" applyBorder="1" applyAlignment="1">
      <alignment horizontal="center" vertical="center" shrinkToFit="1"/>
    </xf>
    <xf numFmtId="0" fontId="6" fillId="0" borderId="144" xfId="0" applyFont="1" applyBorder="1" applyAlignment="1">
      <alignment horizontal="center" vertical="center" shrinkToFit="1"/>
    </xf>
    <xf numFmtId="0" fontId="6" fillId="0" borderId="144" xfId="0" applyFont="1" applyBorder="1" applyAlignment="1">
      <alignment horizontal="right" vertical="center" shrinkToFit="1"/>
    </xf>
    <xf numFmtId="0" fontId="6" fillId="0" borderId="145" xfId="0" applyFont="1" applyBorder="1" applyAlignment="1">
      <alignment horizontal="center" vertical="center" shrinkToFit="1"/>
    </xf>
    <xf numFmtId="0" fontId="6" fillId="0" borderId="142" xfId="0" applyFont="1" applyBorder="1" applyAlignment="1">
      <alignment horizontal="left" vertical="center" shrinkToFit="1"/>
    </xf>
    <xf numFmtId="0" fontId="16" fillId="0" borderId="146" xfId="0" applyFont="1" applyBorder="1" applyAlignment="1">
      <alignment horizontal="center" vertical="center" shrinkToFit="1"/>
    </xf>
    <xf numFmtId="0" fontId="6" fillId="8" borderId="147" xfId="0" applyFont="1" applyFill="1" applyBorder="1" applyAlignment="1">
      <alignment horizontal="center" vertical="center" shrinkToFit="1"/>
    </xf>
    <xf numFmtId="0" fontId="6" fillId="0" borderId="146" xfId="0" applyFont="1" applyBorder="1" applyAlignment="1">
      <alignment horizontal="center" vertical="center" shrinkToFit="1"/>
    </xf>
    <xf numFmtId="0" fontId="6" fillId="0" borderId="135" xfId="0" applyFont="1" applyBorder="1" applyAlignment="1">
      <alignment horizontal="left" vertical="center" shrinkToFit="1"/>
    </xf>
    <xf numFmtId="0" fontId="6" fillId="0" borderId="54"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55" xfId="0" applyFont="1" applyBorder="1" applyAlignment="1">
      <alignment horizontal="right" vertical="center" shrinkToFit="1"/>
    </xf>
    <xf numFmtId="0" fontId="6" fillId="0" borderId="60" xfId="0" applyFont="1" applyBorder="1" applyAlignment="1">
      <alignment horizontal="center" vertical="center" shrinkToFit="1"/>
    </xf>
    <xf numFmtId="0" fontId="6" fillId="0" borderId="54" xfId="0" applyFont="1" applyBorder="1" applyAlignment="1">
      <alignment horizontal="left" vertical="center" shrinkToFit="1"/>
    </xf>
    <xf numFmtId="0" fontId="16" fillId="0" borderId="50" xfId="0" applyFont="1" applyBorder="1" applyAlignment="1">
      <alignment horizontal="center" vertical="center" shrinkToFit="1"/>
    </xf>
    <xf numFmtId="0" fontId="6" fillId="0" borderId="48" xfId="0" applyFont="1" applyBorder="1" applyAlignment="1">
      <alignment horizontal="center" vertical="center" shrinkToFit="1"/>
    </xf>
    <xf numFmtId="0" fontId="6" fillId="8" borderId="49" xfId="0" applyFont="1" applyFill="1" applyBorder="1" applyAlignment="1">
      <alignment horizontal="center" vertical="center" shrinkToFit="1"/>
    </xf>
    <xf numFmtId="0" fontId="6" fillId="0" borderId="50" xfId="0" applyFont="1" applyBorder="1" applyAlignment="1">
      <alignment horizontal="center" vertical="center" shrinkToFit="1"/>
    </xf>
    <xf numFmtId="0" fontId="6" fillId="0" borderId="136" xfId="0" applyFont="1" applyBorder="1" applyAlignment="1">
      <alignment horizontal="left" vertical="center" shrinkToFit="1"/>
    </xf>
    <xf numFmtId="0" fontId="6" fillId="0" borderId="56"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57" xfId="0" applyFont="1" applyBorder="1" applyAlignment="1">
      <alignment horizontal="right" vertical="center" shrinkToFit="1"/>
    </xf>
    <xf numFmtId="0" fontId="6" fillId="0" borderId="61" xfId="0" applyFont="1" applyBorder="1" applyAlignment="1">
      <alignment horizontal="center" vertical="center" shrinkToFit="1"/>
    </xf>
    <xf numFmtId="0" fontId="6" fillId="0" borderId="56" xfId="0" applyFont="1" applyBorder="1" applyAlignment="1">
      <alignment horizontal="left" vertical="center" shrinkToFit="1"/>
    </xf>
    <xf numFmtId="0" fontId="16" fillId="0" borderId="53" xfId="0" applyFont="1" applyBorder="1" applyAlignment="1">
      <alignment horizontal="center" vertical="center" shrinkToFit="1"/>
    </xf>
    <xf numFmtId="0" fontId="6" fillId="0" borderId="51" xfId="0" applyFont="1" applyBorder="1" applyAlignment="1">
      <alignment horizontal="center" vertical="center" shrinkToFit="1"/>
    </xf>
    <xf numFmtId="0" fontId="6" fillId="8" borderId="53" xfId="0" applyFont="1" applyFill="1" applyBorder="1" applyAlignment="1">
      <alignment horizontal="center" vertical="center" shrinkToFit="1"/>
    </xf>
    <xf numFmtId="167" fontId="47" fillId="0" borderId="158" xfId="0" applyNumberFormat="1" applyFont="1" applyBorder="1" applyAlignment="1">
      <alignment horizontal="center" vertical="center" shrinkToFit="1"/>
    </xf>
    <xf numFmtId="0" fontId="47" fillId="0" borderId="158" xfId="0" applyFont="1" applyBorder="1" applyAlignment="1">
      <alignment horizontal="center" vertical="center" shrinkToFit="1"/>
    </xf>
    <xf numFmtId="0" fontId="6" fillId="0" borderId="29" xfId="0" applyFont="1" applyBorder="1" applyAlignment="1">
      <alignment vertical="center" shrinkToFit="1"/>
    </xf>
    <xf numFmtId="0" fontId="6" fillId="0" borderId="29" xfId="0" applyFont="1" applyBorder="1" applyAlignment="1">
      <alignment horizontal="center" vertical="center" shrinkToFit="1"/>
    </xf>
    <xf numFmtId="0" fontId="6" fillId="10" borderId="35" xfId="0" applyFont="1" applyFill="1" applyBorder="1" applyAlignment="1" applyProtection="1">
      <alignment horizontal="right" vertical="center" shrinkToFit="1"/>
      <protection locked="0"/>
    </xf>
    <xf numFmtId="167" fontId="47" fillId="0" borderId="85" xfId="0" applyNumberFormat="1" applyFont="1" applyBorder="1" applyAlignment="1">
      <alignment horizontal="center" vertical="center" shrinkToFit="1"/>
    </xf>
    <xf numFmtId="0" fontId="47" fillId="0" borderId="85" xfId="0" applyFont="1" applyBorder="1" applyAlignment="1">
      <alignment horizontal="center" vertical="center" shrinkToFit="1"/>
    </xf>
    <xf numFmtId="0" fontId="6" fillId="0" borderId="31" xfId="0" applyFont="1" applyBorder="1" applyAlignment="1">
      <alignment vertical="center" shrinkToFit="1"/>
    </xf>
    <xf numFmtId="0" fontId="6" fillId="0" borderId="31" xfId="0" applyFont="1" applyBorder="1" applyAlignment="1">
      <alignment horizontal="center" vertical="center" shrinkToFit="1"/>
    </xf>
    <xf numFmtId="0" fontId="6" fillId="10" borderId="36" xfId="0" applyFont="1" applyFill="1" applyBorder="1" applyAlignment="1" applyProtection="1">
      <alignment horizontal="right" vertical="center" shrinkToFit="1"/>
      <protection locked="0"/>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21" fillId="0" borderId="167" xfId="0" applyFont="1" applyBorder="1" applyAlignment="1">
      <alignment horizontal="right" vertical="center"/>
    </xf>
    <xf numFmtId="0" fontId="21" fillId="0" borderId="47"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8" xfId="0" applyNumberFormat="1" applyFont="1" applyFill="1" applyBorder="1" applyAlignment="1" applyProtection="1">
      <alignment horizontal="center" vertical="center"/>
      <protection hidden="1"/>
    </xf>
    <xf numFmtId="0" fontId="51" fillId="0" borderId="168"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9" xfId="2" applyNumberFormat="1" applyBorder="1" applyAlignment="1" applyProtection="1">
      <alignment horizontal="center" vertical="center" readingOrder="1"/>
    </xf>
    <xf numFmtId="0" fontId="7" fillId="13" borderId="173" xfId="0" applyNumberFormat="1" applyFont="1" applyFill="1" applyBorder="1" applyAlignment="1" applyProtection="1">
      <alignment horizontal="center" vertical="center"/>
      <protection hidden="1"/>
    </xf>
    <xf numFmtId="0" fontId="4" fillId="14" borderId="174" xfId="0" applyFont="1" applyFill="1" applyBorder="1" applyAlignment="1" applyProtection="1">
      <alignment horizontal="left" vertical="top" wrapText="1" indent="1"/>
      <protection locked="0"/>
    </xf>
    <xf numFmtId="0" fontId="4" fillId="12" borderId="175" xfId="0" applyFont="1" applyFill="1" applyBorder="1" applyAlignment="1" applyProtection="1">
      <alignment horizontal="left" vertical="top" wrapText="1" indent="1"/>
      <protection locked="0"/>
    </xf>
    <xf numFmtId="0" fontId="4" fillId="14" borderId="176" xfId="0" applyFont="1" applyFill="1" applyBorder="1" applyAlignment="1" applyProtection="1">
      <alignment horizontal="left" vertical="top" wrapText="1" indent="1"/>
      <protection locked="0"/>
    </xf>
    <xf numFmtId="0" fontId="4" fillId="12" borderId="177" xfId="0" applyFont="1" applyFill="1" applyBorder="1" applyAlignment="1" applyProtection="1">
      <alignment horizontal="left" vertical="top" wrapText="1" indent="1"/>
      <protection locked="0"/>
    </xf>
    <xf numFmtId="0" fontId="0" fillId="13" borderId="178" xfId="0" applyFill="1" applyBorder="1" applyAlignment="1" applyProtection="1">
      <alignment horizontal="left" vertical="top" wrapText="1" indent="1"/>
      <protection locked="0"/>
    </xf>
    <xf numFmtId="0" fontId="0" fillId="14" borderId="176" xfId="0" applyFill="1" applyBorder="1" applyAlignment="1" applyProtection="1">
      <alignment horizontal="left" vertical="top" indent="1"/>
      <protection locked="0"/>
    </xf>
    <xf numFmtId="0" fontId="0" fillId="12" borderId="181" xfId="0" applyFill="1" applyBorder="1" applyAlignment="1" applyProtection="1">
      <alignment horizontal="left" vertical="top" indent="1"/>
      <protection locked="0"/>
    </xf>
    <xf numFmtId="0" fontId="0" fillId="13" borderId="182" xfId="0" applyFill="1" applyBorder="1" applyAlignment="1" applyProtection="1">
      <alignment horizontal="left" vertical="top" wrapText="1" indent="1"/>
      <protection locked="0"/>
    </xf>
    <xf numFmtId="0" fontId="0" fillId="14" borderId="183" xfId="0" applyFill="1" applyBorder="1" applyAlignment="1" applyProtection="1">
      <alignment horizontal="left" vertical="top" indent="1"/>
      <protection locked="0"/>
    </xf>
    <xf numFmtId="0" fontId="0" fillId="13" borderId="184" xfId="0" applyFill="1" applyBorder="1" applyAlignment="1" applyProtection="1">
      <alignment horizontal="left" vertical="top" wrapText="1" indent="1"/>
      <protection locked="0"/>
    </xf>
    <xf numFmtId="0" fontId="0" fillId="14" borderId="176"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4" borderId="185" xfId="0" applyFill="1" applyBorder="1" applyAlignment="1" applyProtection="1">
      <alignment horizontal="left" vertical="top" wrapText="1" indent="1"/>
      <protection locked="0"/>
    </xf>
    <xf numFmtId="0" fontId="0" fillId="12" borderId="186" xfId="0" applyFill="1" applyBorder="1" applyAlignment="1" applyProtection="1">
      <alignment horizontal="left" vertical="top" wrapText="1" indent="1"/>
      <protection locked="0"/>
    </xf>
    <xf numFmtId="0" fontId="0" fillId="13" borderId="187" xfId="0" applyFill="1" applyBorder="1" applyAlignment="1" applyProtection="1">
      <alignment horizontal="left" vertical="top" wrapText="1" indent="1"/>
      <protection locked="0"/>
    </xf>
    <xf numFmtId="0" fontId="4" fillId="12" borderId="179" xfId="0" applyFont="1" applyFill="1" applyBorder="1" applyAlignment="1" applyProtection="1">
      <alignment horizontal="left" vertical="top" indent="1"/>
      <protection locked="0"/>
    </xf>
    <xf numFmtId="0" fontId="14" fillId="9" borderId="58" xfId="0" applyFont="1" applyFill="1" applyBorder="1" applyAlignment="1">
      <alignment horizontal="center" vertical="center" shrinkToFit="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32" xfId="0" applyFont="1" applyBorder="1" applyAlignment="1">
      <alignment horizontal="center" vertical="center" shrinkToFit="1"/>
    </xf>
    <xf numFmtId="0" fontId="53" fillId="0" borderId="133" xfId="0" applyFont="1" applyBorder="1" applyAlignment="1">
      <alignment horizontal="center" vertical="center" shrinkToFit="1"/>
    </xf>
    <xf numFmtId="0" fontId="53" fillId="0" borderId="134" xfId="0" applyFont="1" applyBorder="1" applyAlignment="1">
      <alignment horizontal="center" vertical="center" shrinkToFit="1"/>
    </xf>
    <xf numFmtId="0" fontId="40" fillId="0" borderId="0" xfId="0" applyNumberFormat="1" applyFont="1" applyBorder="1" applyAlignment="1">
      <alignment vertical="top"/>
    </xf>
    <xf numFmtId="0" fontId="7" fillId="0" borderId="188" xfId="0" applyNumberFormat="1" applyFont="1" applyFill="1" applyBorder="1" applyAlignment="1" applyProtection="1">
      <alignment horizontal="right" vertical="center" indent="1"/>
      <protection hidden="1"/>
    </xf>
    <xf numFmtId="0" fontId="7" fillId="0" borderId="189" xfId="0" applyNumberFormat="1" applyFont="1" applyFill="1" applyBorder="1" applyAlignment="1" applyProtection="1">
      <alignment horizontal="center" vertical="center"/>
      <protection hidden="1"/>
    </xf>
    <xf numFmtId="0" fontId="7" fillId="0" borderId="190" xfId="0" applyNumberFormat="1" applyFont="1" applyFill="1" applyBorder="1" applyAlignment="1" applyProtection="1">
      <alignment horizontal="center" vertical="center"/>
      <protection hidden="1"/>
    </xf>
    <xf numFmtId="0" fontId="7" fillId="0" borderId="191" xfId="0" applyNumberFormat="1" applyFont="1" applyFill="1" applyBorder="1" applyAlignment="1" applyProtection="1">
      <alignment horizontal="center" vertical="center"/>
      <protection hidden="1"/>
    </xf>
    <xf numFmtId="0" fontId="7" fillId="0" borderId="189" xfId="0" applyNumberFormat="1" applyFont="1" applyFill="1" applyBorder="1" applyAlignment="1" applyProtection="1">
      <alignment vertical="center"/>
      <protection hidden="1"/>
    </xf>
    <xf numFmtId="0" fontId="7" fillId="0" borderId="192" xfId="0" applyNumberFormat="1" applyFont="1" applyFill="1" applyBorder="1" applyAlignment="1" applyProtection="1">
      <alignment horizontal="center" vertical="center"/>
      <protection hidden="1"/>
    </xf>
    <xf numFmtId="0" fontId="7" fillId="0" borderId="193" xfId="0" applyNumberFormat="1" applyFont="1" applyFill="1" applyBorder="1" applyAlignment="1" applyProtection="1">
      <alignment horizontal="center" vertical="center"/>
      <protection hidden="1"/>
    </xf>
    <xf numFmtId="0" fontId="23" fillId="0" borderId="153"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67"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94"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6" xfId="0" applyFont="1" applyBorder="1" applyAlignment="1" applyProtection="1"/>
    <xf numFmtId="0" fontId="54" fillId="0" borderId="0" xfId="0" applyFont="1" applyAlignment="1" applyProtection="1"/>
    <xf numFmtId="0" fontId="56" fillId="0" borderId="76"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165" fontId="28" fillId="0" borderId="76"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53" xfId="0" applyFont="1" applyFill="1" applyBorder="1" applyAlignment="1" applyProtection="1">
      <alignment horizontal="right" vertical="center"/>
    </xf>
    <xf numFmtId="0" fontId="22" fillId="17" borderId="154" xfId="0" applyFont="1" applyFill="1" applyBorder="1" applyAlignment="1" applyProtection="1">
      <alignment horizontal="center" vertical="center"/>
    </xf>
    <xf numFmtId="0" fontId="22" fillId="17" borderId="155" xfId="0" applyFont="1" applyFill="1" applyBorder="1" applyAlignment="1" applyProtection="1">
      <alignment horizontal="left" vertical="center"/>
    </xf>
    <xf numFmtId="0" fontId="22" fillId="17" borderId="55" xfId="0" applyFont="1" applyFill="1" applyBorder="1" applyAlignment="1" applyProtection="1">
      <alignment horizontal="right" vertical="center"/>
    </xf>
    <xf numFmtId="0" fontId="22" fillId="17" borderId="60" xfId="0" applyFont="1" applyFill="1" applyBorder="1" applyAlignment="1" applyProtection="1">
      <alignment horizontal="center" vertical="center"/>
    </xf>
    <xf numFmtId="0" fontId="22" fillId="17" borderId="54" xfId="0" applyFont="1" applyFill="1" applyBorder="1" applyAlignment="1" applyProtection="1">
      <alignment horizontal="left" vertical="center"/>
    </xf>
    <xf numFmtId="0" fontId="22" fillId="17" borderId="57" xfId="0" applyFont="1" applyFill="1" applyBorder="1" applyAlignment="1" applyProtection="1">
      <alignment horizontal="right" vertical="center"/>
    </xf>
    <xf numFmtId="0" fontId="22" fillId="17" borderId="61" xfId="0" applyFont="1" applyFill="1" applyBorder="1" applyAlignment="1" applyProtection="1">
      <alignment horizontal="center" vertical="center"/>
    </xf>
    <xf numFmtId="0" fontId="22" fillId="17" borderId="56" xfId="0" applyFont="1" applyFill="1" applyBorder="1" applyAlignment="1" applyProtection="1">
      <alignment horizontal="left" vertical="center"/>
    </xf>
    <xf numFmtId="0" fontId="18" fillId="0" borderId="0" xfId="0" applyFont="1" applyAlignment="1">
      <alignment vertical="center"/>
    </xf>
    <xf numFmtId="0" fontId="20" fillId="10" borderId="60" xfId="0" applyFont="1" applyFill="1" applyBorder="1" applyAlignment="1" applyProtection="1">
      <alignment horizontal="center" vertical="center"/>
      <protection locked="0"/>
    </xf>
    <xf numFmtId="0" fontId="20" fillId="10" borderId="74" xfId="0" applyFont="1" applyFill="1" applyBorder="1" applyAlignment="1" applyProtection="1">
      <alignment horizontal="center" vertical="center"/>
      <protection locked="0"/>
    </xf>
    <xf numFmtId="0" fontId="20" fillId="10" borderId="61" xfId="0" applyFont="1" applyFill="1" applyBorder="1" applyAlignment="1" applyProtection="1">
      <alignment horizontal="center" vertical="center"/>
      <protection locked="0"/>
    </xf>
    <xf numFmtId="0" fontId="20" fillId="10" borderId="200" xfId="0" applyFont="1" applyFill="1" applyBorder="1" applyAlignment="1" applyProtection="1">
      <alignment horizontal="center" vertical="center"/>
      <protection locked="0"/>
    </xf>
    <xf numFmtId="0" fontId="20" fillId="0" borderId="57" xfId="0" applyFont="1" applyBorder="1" applyAlignment="1">
      <alignment horizontal="left" vertical="center"/>
    </xf>
    <xf numFmtId="0" fontId="20" fillId="0" borderId="56" xfId="0" applyFont="1" applyBorder="1" applyAlignment="1">
      <alignment horizontal="left" vertical="center"/>
    </xf>
    <xf numFmtId="0" fontId="14" fillId="9" borderId="118" xfId="0" applyFont="1" applyFill="1" applyBorder="1" applyAlignment="1">
      <alignment horizontal="center" vertical="center"/>
    </xf>
    <xf numFmtId="0" fontId="20" fillId="10" borderId="55"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154" xfId="0" applyFont="1" applyFill="1" applyBorder="1" applyAlignment="1">
      <alignment horizontal="center" vertical="center"/>
    </xf>
    <xf numFmtId="0" fontId="13" fillId="0" borderId="39" xfId="0" applyFont="1" applyBorder="1" applyAlignment="1">
      <alignment horizontal="center" vertical="center" shrinkToFit="1"/>
    </xf>
    <xf numFmtId="0" fontId="13" fillId="0" borderId="40" xfId="0" applyFont="1" applyBorder="1" applyAlignment="1">
      <alignment horizontal="center" vertical="center" shrinkToFit="1"/>
    </xf>
    <xf numFmtId="0" fontId="21" fillId="10" borderId="136" xfId="0" applyFont="1" applyFill="1" applyBorder="1" applyAlignment="1" applyProtection="1">
      <alignment horizontal="center" vertical="center"/>
      <protection locked="0"/>
    </xf>
    <xf numFmtId="0" fontId="14" fillId="9" borderId="120" xfId="0" applyFont="1" applyFill="1" applyBorder="1" applyAlignment="1">
      <alignment horizontal="center" vertical="center"/>
    </xf>
    <xf numFmtId="0" fontId="14" fillId="0" borderId="45"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201" xfId="0" applyFont="1" applyFill="1" applyBorder="1" applyAlignment="1" applyProtection="1">
      <alignment horizontal="center" vertical="center"/>
      <protection locked="0"/>
    </xf>
    <xf numFmtId="0" fontId="20" fillId="10" borderId="202"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05" xfId="0" applyFont="1" applyBorder="1" applyAlignment="1">
      <alignment horizontal="center" vertical="center"/>
    </xf>
    <xf numFmtId="0" fontId="20" fillId="0" borderId="206" xfId="0" applyFont="1" applyBorder="1" applyAlignment="1">
      <alignment horizontal="left" vertical="center"/>
    </xf>
    <xf numFmtId="0" fontId="20" fillId="0" borderId="149" xfId="0" applyFont="1" applyBorder="1" applyAlignment="1">
      <alignment horizontal="center" vertical="center"/>
    </xf>
    <xf numFmtId="0" fontId="20" fillId="0" borderId="207" xfId="0" applyFont="1" applyBorder="1" applyAlignment="1">
      <alignment horizontal="left" vertical="center"/>
    </xf>
    <xf numFmtId="0" fontId="20" fillId="10" borderId="206" xfId="0" applyFont="1" applyFill="1" applyBorder="1" applyAlignment="1" applyProtection="1">
      <alignment horizontal="center" vertical="center"/>
      <protection locked="0"/>
    </xf>
    <xf numFmtId="0" fontId="20" fillId="10" borderId="149" xfId="0" applyFont="1" applyFill="1" applyBorder="1" applyAlignment="1">
      <alignment horizontal="center" vertical="center"/>
    </xf>
    <xf numFmtId="0" fontId="20" fillId="10" borderId="149" xfId="0" applyFont="1" applyFill="1" applyBorder="1" applyAlignment="1" applyProtection="1">
      <alignment horizontal="center" vertical="center"/>
      <protection locked="0"/>
    </xf>
    <xf numFmtId="0" fontId="20" fillId="10" borderId="208" xfId="0" applyFont="1" applyFill="1" applyBorder="1" applyAlignment="1" applyProtection="1">
      <alignment horizontal="center" vertical="center"/>
      <protection locked="0"/>
    </xf>
    <xf numFmtId="0" fontId="20" fillId="10" borderId="150" xfId="0" applyFont="1" applyFill="1" applyBorder="1" applyAlignment="1" applyProtection="1">
      <alignment horizontal="center" vertical="center"/>
      <protection locked="0"/>
    </xf>
    <xf numFmtId="0" fontId="21" fillId="0" borderId="52" xfId="0" applyFont="1" applyBorder="1" applyAlignment="1">
      <alignment horizontal="center" vertical="center"/>
    </xf>
    <xf numFmtId="0" fontId="20" fillId="10" borderId="61" xfId="0" applyFont="1" applyFill="1" applyBorder="1" applyAlignment="1">
      <alignment horizontal="center" vertical="center"/>
    </xf>
    <xf numFmtId="0" fontId="21" fillId="10" borderId="194" xfId="0" applyFont="1" applyFill="1" applyBorder="1" applyAlignment="1" applyProtection="1">
      <alignment horizontal="center" vertical="center"/>
      <protection locked="0"/>
    </xf>
    <xf numFmtId="0" fontId="21" fillId="0" borderId="117" xfId="0" applyFont="1" applyBorder="1" applyAlignment="1">
      <alignment horizontal="center" vertical="center"/>
    </xf>
    <xf numFmtId="0" fontId="20" fillId="0" borderId="209" xfId="0" applyFont="1" applyBorder="1" applyAlignment="1">
      <alignment horizontal="left" vertical="center"/>
    </xf>
    <xf numFmtId="0" fontId="20" fillId="0" borderId="121" xfId="0" applyFont="1" applyBorder="1" applyAlignment="1">
      <alignment horizontal="left" vertical="center"/>
    </xf>
    <xf numFmtId="0" fontId="20" fillId="10" borderId="209" xfId="0" applyFont="1" applyFill="1" applyBorder="1" applyAlignment="1" applyProtection="1">
      <alignment horizontal="center" vertical="center"/>
      <protection locked="0"/>
    </xf>
    <xf numFmtId="0" fontId="20" fillId="10" borderId="127" xfId="0" applyFont="1" applyFill="1" applyBorder="1" applyAlignment="1">
      <alignment horizontal="center" vertical="center"/>
    </xf>
    <xf numFmtId="0" fontId="20" fillId="10" borderId="127" xfId="0" applyFont="1" applyFill="1" applyBorder="1" applyAlignment="1" applyProtection="1">
      <alignment horizontal="center" vertical="center"/>
      <protection locked="0"/>
    </xf>
    <xf numFmtId="0" fontId="20" fillId="10" borderId="210" xfId="0" applyFont="1" applyFill="1" applyBorder="1" applyAlignment="1" applyProtection="1">
      <alignment horizontal="center" vertical="center"/>
      <protection locked="0"/>
    </xf>
    <xf numFmtId="0" fontId="20" fillId="10" borderId="211" xfId="0" applyFont="1" applyFill="1" applyBorder="1" applyAlignment="1" applyProtection="1">
      <alignment horizontal="center" vertical="center"/>
      <protection locked="0"/>
    </xf>
    <xf numFmtId="164" fontId="6" fillId="0" borderId="147" xfId="0" applyNumberFormat="1" applyFont="1" applyBorder="1" applyAlignment="1">
      <alignment vertical="center" shrinkToFit="1"/>
    </xf>
    <xf numFmtId="0" fontId="6" fillId="0" borderId="146" xfId="0" applyFont="1" applyBorder="1" applyAlignment="1">
      <alignment horizontal="left" vertical="center" shrinkToFit="1"/>
    </xf>
    <xf numFmtId="164" fontId="6" fillId="0" borderId="48" xfId="0" applyNumberFormat="1" applyFont="1" applyBorder="1" applyAlignment="1">
      <alignment vertical="center" shrinkToFit="1"/>
    </xf>
    <xf numFmtId="0" fontId="6" fillId="0" borderId="50" xfId="0" applyFont="1" applyBorder="1" applyAlignment="1">
      <alignment horizontal="left" vertical="center" shrinkToFit="1"/>
    </xf>
    <xf numFmtId="164" fontId="6" fillId="0" borderId="51" xfId="0" applyNumberFormat="1" applyFont="1" applyBorder="1" applyAlignment="1">
      <alignment vertical="center" shrinkToFit="1"/>
    </xf>
    <xf numFmtId="0" fontId="6" fillId="0" borderId="53" xfId="0" applyFont="1" applyBorder="1" applyAlignment="1">
      <alignment horizontal="left" vertical="center" shrinkToFit="1"/>
    </xf>
    <xf numFmtId="0" fontId="21" fillId="0" borderId="45"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12" xfId="0" applyNumberFormat="1" applyFont="1" applyBorder="1" applyAlignment="1">
      <alignment horizontal="center" vertical="center"/>
    </xf>
    <xf numFmtId="0" fontId="21" fillId="0" borderId="151" xfId="0" applyNumberFormat="1" applyFont="1" applyBorder="1" applyAlignment="1">
      <alignment horizontal="center" vertical="center"/>
    </xf>
    <xf numFmtId="0" fontId="21" fillId="0" borderId="199" xfId="0" applyNumberFormat="1" applyFont="1" applyBorder="1" applyAlignment="1">
      <alignment horizontal="center" vertical="center"/>
    </xf>
    <xf numFmtId="167" fontId="21" fillId="0" borderId="117" xfId="0" applyNumberFormat="1" applyFont="1" applyBorder="1" applyAlignment="1">
      <alignment horizontal="center" vertical="center"/>
    </xf>
    <xf numFmtId="167" fontId="21" fillId="0" borderId="49" xfId="0" applyNumberFormat="1" applyFont="1" applyBorder="1" applyAlignment="1">
      <alignment horizontal="center" vertical="center"/>
    </xf>
    <xf numFmtId="167" fontId="21" fillId="0" borderId="52" xfId="0" applyNumberFormat="1" applyFont="1" applyBorder="1" applyAlignment="1">
      <alignment horizontal="center" vertical="center"/>
    </xf>
    <xf numFmtId="0" fontId="21" fillId="0" borderId="148" xfId="0" applyNumberFormat="1" applyFont="1" applyBorder="1" applyAlignment="1">
      <alignment horizontal="center" vertical="center"/>
    </xf>
    <xf numFmtId="167" fontId="21" fillId="0" borderId="205" xfId="0" applyNumberFormat="1" applyFont="1" applyBorder="1" applyAlignment="1">
      <alignment horizontal="center" vertical="center"/>
    </xf>
    <xf numFmtId="0" fontId="14" fillId="9" borderId="157" xfId="0" applyFont="1" applyFill="1" applyBorder="1" applyAlignment="1">
      <alignment horizontal="center" vertical="center"/>
    </xf>
    <xf numFmtId="0" fontId="0" fillId="0" borderId="0" xfId="0" applyFill="1" applyBorder="1"/>
    <xf numFmtId="165" fontId="20" fillId="0" borderId="0" xfId="0" applyNumberFormat="1" applyFont="1" applyBorder="1" applyAlignment="1">
      <alignment horizontal="left" vertical="center"/>
    </xf>
    <xf numFmtId="0" fontId="0" fillId="0" borderId="216" xfId="0" applyBorder="1" applyAlignment="1">
      <alignment horizontal="center" vertical="center"/>
    </xf>
    <xf numFmtId="0" fontId="0" fillId="0" borderId="217" xfId="0" applyBorder="1" applyAlignment="1">
      <alignment horizontal="center" vertical="center"/>
    </xf>
    <xf numFmtId="0" fontId="0" fillId="0" borderId="218" xfId="0" applyBorder="1" applyAlignment="1">
      <alignment horizontal="center" vertical="center"/>
    </xf>
    <xf numFmtId="0" fontId="0" fillId="0" borderId="219" xfId="0" applyBorder="1" applyAlignment="1">
      <alignment horizontal="center" vertical="center"/>
    </xf>
    <xf numFmtId="0" fontId="0" fillId="0" borderId="222"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8" xfId="0" applyFont="1" applyFill="1" applyBorder="1" applyAlignment="1">
      <alignment horizontal="center" vertical="center" shrinkToFit="1"/>
    </xf>
    <xf numFmtId="0" fontId="6" fillId="0" borderId="49" xfId="0" applyFont="1" applyFill="1" applyBorder="1" applyAlignment="1">
      <alignment horizontal="center" vertical="center" shrinkToFit="1"/>
    </xf>
    <xf numFmtId="0" fontId="18" fillId="0" borderId="0" xfId="0" applyFont="1" applyAlignment="1">
      <alignment horizontal="center" vertical="top"/>
    </xf>
    <xf numFmtId="49" fontId="24" fillId="0" borderId="51"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165" fontId="28" fillId="0" borderId="0" xfId="0" applyNumberFormat="1" applyFont="1" applyBorder="1" applyAlignment="1">
      <alignment wrapText="1"/>
    </xf>
    <xf numFmtId="0" fontId="30" fillId="9" borderId="157" xfId="0" applyFont="1" applyFill="1" applyBorder="1" applyAlignment="1">
      <alignment horizontal="center" vertical="center"/>
    </xf>
    <xf numFmtId="0" fontId="30" fillId="9" borderId="120" xfId="0" applyFont="1" applyFill="1" applyBorder="1" applyAlignment="1">
      <alignment horizontal="center" vertical="center"/>
    </xf>
    <xf numFmtId="0" fontId="21" fillId="17" borderId="209" xfId="0" applyFont="1" applyFill="1" applyBorder="1" applyAlignment="1" applyProtection="1">
      <alignment horizontal="right" vertical="center"/>
    </xf>
    <xf numFmtId="0" fontId="21" fillId="17" borderId="127" xfId="0" applyFont="1" applyFill="1" applyBorder="1" applyAlignment="1" applyProtection="1">
      <alignment horizontal="center" vertical="center"/>
    </xf>
    <xf numFmtId="0" fontId="21" fillId="17" borderId="121" xfId="0" applyFont="1" applyFill="1" applyBorder="1" applyAlignment="1" applyProtection="1">
      <alignment horizontal="left" vertical="center"/>
    </xf>
    <xf numFmtId="0" fontId="21" fillId="17" borderId="55" xfId="0" applyFont="1" applyFill="1" applyBorder="1" applyAlignment="1" applyProtection="1">
      <alignment horizontal="right" vertical="center"/>
    </xf>
    <xf numFmtId="0" fontId="21" fillId="17" borderId="60" xfId="0" applyFont="1" applyFill="1" applyBorder="1" applyAlignment="1" applyProtection="1">
      <alignment horizontal="center" vertical="center"/>
    </xf>
    <xf numFmtId="0" fontId="21" fillId="17" borderId="54" xfId="0" applyFont="1" applyFill="1" applyBorder="1" applyAlignment="1" applyProtection="1">
      <alignment horizontal="left" vertical="center"/>
    </xf>
    <xf numFmtId="0" fontId="21" fillId="17" borderId="57" xfId="0" applyFont="1" applyFill="1" applyBorder="1" applyAlignment="1" applyProtection="1">
      <alignment horizontal="right" vertical="center"/>
    </xf>
    <xf numFmtId="0" fontId="21" fillId="17" borderId="61" xfId="0" applyFont="1" applyFill="1" applyBorder="1" applyAlignment="1" applyProtection="1">
      <alignment horizontal="center" vertical="center"/>
    </xf>
    <xf numFmtId="0" fontId="21" fillId="17" borderId="56" xfId="0" applyFont="1" applyFill="1" applyBorder="1" applyAlignment="1" applyProtection="1">
      <alignment horizontal="left" vertical="center"/>
    </xf>
    <xf numFmtId="0" fontId="20" fillId="10" borderId="153" xfId="0" applyFont="1" applyFill="1" applyBorder="1" applyAlignment="1" applyProtection="1">
      <alignment horizontal="right" vertical="center"/>
      <protection locked="0"/>
    </xf>
    <xf numFmtId="0" fontId="20" fillId="10" borderId="55" xfId="0" applyFont="1" applyFill="1" applyBorder="1" applyAlignment="1" applyProtection="1">
      <alignment horizontal="right" vertical="center"/>
      <protection locked="0"/>
    </xf>
    <xf numFmtId="0" fontId="20" fillId="10" borderId="60" xfId="0" applyFont="1" applyFill="1" applyBorder="1" applyAlignment="1">
      <alignment horizontal="center" vertical="center"/>
    </xf>
    <xf numFmtId="0" fontId="20" fillId="10" borderId="57" xfId="0" applyFont="1" applyFill="1" applyBorder="1" applyAlignment="1" applyProtection="1">
      <alignment horizontal="right" vertical="center"/>
      <protection locked="0"/>
    </xf>
    <xf numFmtId="0" fontId="21" fillId="15" borderId="200" xfId="0" applyFont="1" applyFill="1" applyBorder="1" applyAlignment="1" applyProtection="1"/>
    <xf numFmtId="0" fontId="21" fillId="15" borderId="156" xfId="0" applyFont="1" applyFill="1" applyBorder="1" applyAlignment="1" applyProtection="1"/>
    <xf numFmtId="0" fontId="14" fillId="9" borderId="157" xfId="0" applyFont="1" applyFill="1" applyBorder="1" applyAlignment="1">
      <alignment horizontal="center" vertical="center" shrinkToFit="1"/>
    </xf>
    <xf numFmtId="164" fontId="15" fillId="0" borderId="62" xfId="0" applyNumberFormat="1" applyFont="1" applyBorder="1" applyAlignment="1">
      <alignment horizontal="center" vertical="center" shrinkToFit="1"/>
    </xf>
    <xf numFmtId="164" fontId="15" fillId="0" borderId="48" xfId="0" applyNumberFormat="1" applyFont="1" applyBorder="1" applyAlignment="1">
      <alignment horizontal="center" vertical="center" shrinkToFit="1"/>
    </xf>
    <xf numFmtId="164" fontId="15" fillId="0" borderId="51" xfId="0" applyNumberFormat="1" applyFont="1" applyBorder="1" applyAlignment="1">
      <alignment horizontal="center" vertical="center" shrinkToFit="1"/>
    </xf>
    <xf numFmtId="49" fontId="24" fillId="0" borderId="48" xfId="0" applyNumberFormat="1" applyFont="1" applyBorder="1" applyAlignment="1">
      <alignment horizontal="center" vertical="center"/>
    </xf>
    <xf numFmtId="0" fontId="19" fillId="9" borderId="157" xfId="0" applyFont="1" applyFill="1" applyBorder="1" applyAlignment="1">
      <alignment vertical="center"/>
    </xf>
    <xf numFmtId="0" fontId="20" fillId="0" borderId="209" xfId="0" applyFont="1" applyBorder="1" applyAlignment="1">
      <alignment horizontal="left" vertical="center" shrinkToFit="1"/>
    </xf>
    <xf numFmtId="0" fontId="20" fillId="0" borderId="127"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14" fillId="9" borderId="58" xfId="0" applyFont="1" applyFill="1" applyBorder="1" applyAlignment="1">
      <alignment horizontal="center" vertical="center" shrinkToFit="1"/>
    </xf>
    <xf numFmtId="0" fontId="4" fillId="0" borderId="0" xfId="0" applyFont="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52" fillId="0" borderId="238"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18" fillId="0" borderId="0" xfId="0" applyFont="1" applyAlignment="1">
      <alignment horizontal="center" vertical="center" wrapText="1"/>
    </xf>
    <xf numFmtId="0" fontId="21" fillId="0" borderId="76" xfId="0" applyFont="1" applyBorder="1" applyAlignment="1">
      <alignment horizontal="center" vertical="center"/>
    </xf>
    <xf numFmtId="0" fontId="21" fillId="0" borderId="0" xfId="0" applyFont="1" applyAlignment="1">
      <alignment horizontal="center"/>
    </xf>
    <xf numFmtId="0" fontId="4" fillId="0" borderId="239" xfId="0" applyFont="1" applyFill="1" applyBorder="1" applyAlignment="1">
      <alignment horizontal="left" vertical="center" indent="1"/>
    </xf>
    <xf numFmtId="0" fontId="0" fillId="0" borderId="0" xfId="0" applyAlignment="1">
      <alignment horizontal="left" indent="1"/>
    </xf>
    <xf numFmtId="0" fontId="18" fillId="0" borderId="0" xfId="0" applyFont="1" applyFill="1"/>
    <xf numFmtId="0" fontId="14" fillId="0" borderId="0" xfId="0" applyFont="1" applyFill="1" applyBorder="1" applyAlignment="1">
      <alignment horizontal="center" vertical="center" shrinkToFit="1"/>
    </xf>
    <xf numFmtId="0" fontId="18" fillId="0" borderId="0" xfId="0" applyFont="1" applyFill="1" applyBorder="1" applyAlignment="1">
      <alignment wrapText="1"/>
    </xf>
    <xf numFmtId="0" fontId="54" fillId="0" borderId="0" xfId="0" applyFont="1" applyFill="1" applyBorder="1" applyAlignment="1"/>
    <xf numFmtId="0" fontId="19" fillId="9" borderId="140" xfId="0" applyFont="1" applyFill="1" applyBorder="1" applyAlignment="1">
      <alignment vertical="center" shrinkToFit="1"/>
    </xf>
    <xf numFmtId="0" fontId="20" fillId="0" borderId="63" xfId="0" applyFont="1" applyFill="1" applyBorder="1" applyAlignment="1" applyProtection="1">
      <alignment vertical="center" shrinkToFit="1"/>
    </xf>
    <xf numFmtId="0" fontId="20" fillId="0" borderId="50" xfId="0" applyFont="1" applyFill="1" applyBorder="1" applyAlignment="1" applyProtection="1">
      <alignment vertical="center" shrinkToFit="1"/>
    </xf>
    <xf numFmtId="0" fontId="20" fillId="0" borderId="53" xfId="0" applyFont="1" applyFill="1" applyBorder="1" applyAlignment="1" applyProtection="1">
      <alignmen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center" vertical="center" shrinkToFit="1"/>
    </xf>
    <xf numFmtId="0" fontId="20" fillId="0" borderId="0" xfId="0" applyFont="1" applyFill="1" applyBorder="1" applyAlignment="1" applyProtection="1">
      <alignment horizontal="right" vertical="center"/>
    </xf>
    <xf numFmtId="0" fontId="20" fillId="0" borderId="0" xfId="0" applyFont="1" applyFill="1" applyBorder="1" applyAlignment="1" applyProtection="1">
      <alignment horizontal="left" vertical="center"/>
    </xf>
    <xf numFmtId="0" fontId="21" fillId="0" borderId="0" xfId="0" applyFont="1" applyFill="1" applyBorder="1" applyAlignment="1" applyProtection="1">
      <alignment horizontal="center"/>
    </xf>
    <xf numFmtId="167" fontId="23" fillId="0" borderId="205" xfId="0" applyNumberFormat="1" applyFont="1" applyBorder="1" applyAlignment="1">
      <alignment horizontal="center" vertical="center"/>
    </xf>
    <xf numFmtId="0" fontId="23" fillId="0" borderId="205" xfId="0" applyNumberFormat="1" applyFont="1" applyBorder="1" applyAlignment="1">
      <alignment horizontal="center" vertical="center"/>
    </xf>
    <xf numFmtId="0" fontId="21" fillId="17" borderId="206" xfId="0" applyFont="1" applyFill="1" applyBorder="1" applyAlignment="1" applyProtection="1">
      <alignment horizontal="right" vertical="center"/>
    </xf>
    <xf numFmtId="0" fontId="21" fillId="17" borderId="149" xfId="0" applyFont="1" applyFill="1" applyBorder="1" applyAlignment="1" applyProtection="1">
      <alignment horizontal="center" vertical="center"/>
    </xf>
    <xf numFmtId="0" fontId="21" fillId="17" borderId="207" xfId="0" applyFont="1" applyFill="1" applyBorder="1" applyAlignment="1" applyProtection="1">
      <alignment horizontal="left" vertical="center"/>
    </xf>
    <xf numFmtId="0" fontId="20" fillId="0" borderId="206" xfId="0" applyFont="1" applyBorder="1" applyAlignment="1">
      <alignment horizontal="left" vertical="center" shrinkToFit="1"/>
    </xf>
    <xf numFmtId="0" fontId="20" fillId="0" borderId="149" xfId="0" applyFont="1" applyBorder="1" applyAlignment="1">
      <alignment horizontal="center" vertical="center" shrinkToFit="1"/>
    </xf>
    <xf numFmtId="0" fontId="20" fillId="0" borderId="149" xfId="0" applyFont="1" applyBorder="1" applyAlignment="1">
      <alignment horizontal="left" vertical="center" shrinkToFit="1"/>
    </xf>
    <xf numFmtId="0" fontId="20" fillId="10" borderId="206" xfId="0" applyFont="1" applyFill="1" applyBorder="1" applyAlignment="1" applyProtection="1">
      <alignment horizontal="right" vertical="center"/>
      <protection locked="0"/>
    </xf>
    <xf numFmtId="164" fontId="23" fillId="0" borderId="0" xfId="0" applyNumberFormat="1" applyFont="1" applyFill="1" applyBorder="1" applyAlignment="1">
      <alignment horizontal="center" vertical="center"/>
    </xf>
    <xf numFmtId="0" fontId="23" fillId="0" borderId="241" xfId="0" applyNumberFormat="1" applyFont="1" applyBorder="1" applyAlignment="1">
      <alignment horizontal="center" vertical="center"/>
    </xf>
    <xf numFmtId="0" fontId="21" fillId="17" borderId="242" xfId="0" applyFont="1" applyFill="1" applyBorder="1" applyAlignment="1" applyProtection="1">
      <alignment horizontal="right" vertical="center"/>
    </xf>
    <xf numFmtId="0" fontId="21" fillId="17" borderId="243" xfId="0" applyFont="1" applyFill="1" applyBorder="1" applyAlignment="1" applyProtection="1">
      <alignment horizontal="center" vertical="center"/>
    </xf>
    <xf numFmtId="0" fontId="21" fillId="17" borderId="244" xfId="0" applyFont="1" applyFill="1" applyBorder="1" applyAlignment="1" applyProtection="1">
      <alignment horizontal="left" vertical="center"/>
    </xf>
    <xf numFmtId="0" fontId="20" fillId="0" borderId="242" xfId="0" applyFont="1" applyBorder="1" applyAlignment="1">
      <alignment horizontal="left" vertical="center" shrinkToFit="1"/>
    </xf>
    <xf numFmtId="0" fontId="20" fillId="0" borderId="243" xfId="0" applyFont="1" applyBorder="1" applyAlignment="1">
      <alignment horizontal="center" vertical="center" shrinkToFit="1"/>
    </xf>
    <xf numFmtId="0" fontId="20" fillId="0" borderId="243" xfId="0" applyFont="1" applyBorder="1" applyAlignment="1">
      <alignment horizontal="left" vertical="center" shrinkToFit="1"/>
    </xf>
    <xf numFmtId="0" fontId="20" fillId="10" borderId="242" xfId="0" applyFont="1" applyFill="1" applyBorder="1" applyAlignment="1" applyProtection="1">
      <alignment horizontal="right" vertical="center"/>
      <protection locked="0"/>
    </xf>
    <xf numFmtId="0" fontId="20" fillId="10" borderId="243" xfId="0" applyFont="1" applyFill="1" applyBorder="1" applyAlignment="1">
      <alignment horizontal="center" vertical="center"/>
    </xf>
    <xf numFmtId="0" fontId="15" fillId="0" borderId="0" xfId="0" applyFont="1" applyBorder="1" applyAlignment="1">
      <alignment vertical="center"/>
    </xf>
    <xf numFmtId="49" fontId="24" fillId="0" borderId="0" xfId="0" applyNumberFormat="1" applyFont="1" applyFill="1" applyBorder="1" applyAlignment="1">
      <alignment horizontal="center" vertical="center"/>
    </xf>
    <xf numFmtId="0" fontId="20" fillId="0" borderId="57" xfId="0" applyFont="1" applyBorder="1" applyAlignment="1">
      <alignment horizontal="left" vertical="center" shrinkToFit="1"/>
    </xf>
    <xf numFmtId="0" fontId="20" fillId="0" borderId="61" xfId="0" applyFont="1" applyBorder="1" applyAlignment="1">
      <alignment horizontal="center" vertical="center" shrinkToFit="1"/>
    </xf>
    <xf numFmtId="0" fontId="20" fillId="0" borderId="61" xfId="0" applyFont="1" applyBorder="1" applyAlignment="1">
      <alignment horizontal="left" vertical="center" shrinkToFit="1"/>
    </xf>
    <xf numFmtId="0" fontId="18" fillId="0" borderId="0" xfId="0" applyFont="1" applyFill="1" applyAlignment="1">
      <alignment horizontal="center" vertical="center" wrapText="1"/>
    </xf>
    <xf numFmtId="0" fontId="18" fillId="0" borderId="0" xfId="0" applyFont="1" applyAlignment="1">
      <alignment vertical="center" wrapText="1"/>
    </xf>
    <xf numFmtId="0" fontId="20" fillId="10" borderId="155"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0" fontId="20" fillId="10" borderId="56" xfId="0" applyFont="1" applyFill="1" applyBorder="1" applyAlignment="1" applyProtection="1">
      <alignment horizontal="left" vertical="center"/>
      <protection locked="0"/>
    </xf>
    <xf numFmtId="0" fontId="20" fillId="0" borderId="121" xfId="0" applyFont="1" applyBorder="1" applyAlignment="1">
      <alignment horizontal="left" vertical="center" shrinkToFit="1"/>
    </xf>
    <xf numFmtId="0" fontId="20" fillId="0" borderId="55" xfId="0" applyFont="1" applyBorder="1" applyAlignment="1">
      <alignment horizontal="left" vertical="center" shrinkToFit="1"/>
    </xf>
    <xf numFmtId="0" fontId="20" fillId="0" borderId="60" xfId="0" applyFont="1" applyBorder="1" applyAlignment="1">
      <alignment horizontal="center" vertical="center" shrinkToFit="1"/>
    </xf>
    <xf numFmtId="0" fontId="20" fillId="0" borderId="54" xfId="0" applyFont="1" applyBorder="1" applyAlignment="1">
      <alignment horizontal="left" vertical="center" shrinkToFit="1"/>
    </xf>
    <xf numFmtId="0" fontId="20" fillId="0" borderId="56" xfId="0" applyFont="1" applyBorder="1" applyAlignment="1">
      <alignment horizontal="left" vertical="center" shrinkToFit="1"/>
    </xf>
    <xf numFmtId="0" fontId="20" fillId="10" borderId="207" xfId="0" applyFont="1" applyFill="1" applyBorder="1" applyAlignment="1" applyProtection="1">
      <alignment horizontal="left" vertical="center"/>
      <protection locked="0"/>
    </xf>
    <xf numFmtId="0" fontId="20" fillId="10" borderId="244" xfId="0" applyFont="1" applyFill="1" applyBorder="1" applyAlignment="1" applyProtection="1">
      <alignment horizontal="left" vertical="center"/>
      <protection locked="0"/>
    </xf>
    <xf numFmtId="0" fontId="20" fillId="10" borderId="242" xfId="0" applyFont="1" applyFill="1" applyBorder="1" applyAlignment="1" applyProtection="1">
      <alignment horizontal="center" vertical="center"/>
      <protection locked="0"/>
    </xf>
    <xf numFmtId="0" fontId="18" fillId="0" borderId="0" xfId="0" applyFont="1" applyAlignment="1">
      <alignment horizontal="center" vertical="center"/>
    </xf>
    <xf numFmtId="165" fontId="20" fillId="0" borderId="0" xfId="0" applyNumberFormat="1" applyFont="1" applyFill="1" applyBorder="1" applyAlignment="1" applyProtection="1">
      <alignment horizontal="left" vertical="center" shrinkToFit="1"/>
    </xf>
    <xf numFmtId="0" fontId="21" fillId="0" borderId="76" xfId="0" applyFont="1" applyFill="1" applyBorder="1" applyAlignment="1">
      <alignment vertical="center"/>
    </xf>
    <xf numFmtId="165" fontId="21" fillId="0" borderId="76" xfId="0" applyNumberFormat="1" applyFont="1" applyFill="1" applyBorder="1" applyAlignment="1">
      <alignment vertical="center"/>
    </xf>
    <xf numFmtId="0" fontId="23" fillId="0" borderId="226"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23" fillId="0" borderId="240" xfId="0" applyNumberFormat="1" applyFont="1" applyBorder="1" applyAlignment="1">
      <alignment horizontal="center" vertical="center"/>
    </xf>
    <xf numFmtId="0" fontId="23" fillId="0" borderId="66" xfId="0" applyNumberFormat="1" applyFont="1" applyBorder="1" applyAlignment="1">
      <alignment horizontal="center" vertical="center"/>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23" fillId="0" borderId="62" xfId="0" applyNumberFormat="1" applyFont="1" applyBorder="1" applyAlignment="1">
      <alignment horizontal="center" vertical="center"/>
    </xf>
    <xf numFmtId="167" fontId="23" fillId="0" borderId="241" xfId="0" applyNumberFormat="1" applyFont="1" applyBorder="1" applyAlignment="1">
      <alignment horizontal="center" vertical="center"/>
    </xf>
    <xf numFmtId="0" fontId="20" fillId="0" borderId="227" xfId="0" applyFont="1" applyBorder="1" applyAlignment="1">
      <alignment horizontal="left" vertical="center"/>
    </xf>
    <xf numFmtId="0" fontId="20" fillId="0" borderId="31" xfId="0" applyFont="1" applyBorder="1" applyAlignment="1">
      <alignment horizontal="center" vertical="center"/>
    </xf>
    <xf numFmtId="0" fontId="20" fillId="0" borderId="246" xfId="0" applyFont="1" applyBorder="1" applyAlignment="1">
      <alignment horizontal="left" vertical="center"/>
    </xf>
    <xf numFmtId="0" fontId="20" fillId="0" borderId="0" xfId="0" applyNumberFormat="1" applyFont="1" applyBorder="1" applyAlignment="1">
      <alignment horizontal="left" vertical="center"/>
    </xf>
    <xf numFmtId="0" fontId="21" fillId="0" borderId="204" xfId="0" applyFont="1" applyBorder="1" applyAlignment="1">
      <alignment horizontal="center" vertical="center"/>
    </xf>
    <xf numFmtId="0" fontId="21" fillId="0" borderId="0" xfId="0" applyFont="1" applyFill="1" applyBorder="1" applyAlignment="1">
      <alignment horizontal="left" vertical="center" indent="1"/>
    </xf>
    <xf numFmtId="167" fontId="21" fillId="0" borderId="0" xfId="0" applyNumberFormat="1" applyFont="1" applyFill="1" applyBorder="1" applyAlignment="1">
      <alignment horizontal="center" vertical="center"/>
    </xf>
    <xf numFmtId="167" fontId="21" fillId="0" borderId="42" xfId="0" applyNumberFormat="1" applyFont="1" applyFill="1" applyBorder="1" applyAlignment="1">
      <alignmen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58"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0" fontId="60" fillId="0" borderId="0" xfId="0" applyFont="1" applyFill="1" applyBorder="1" applyAlignment="1">
      <alignment vertical="center"/>
    </xf>
    <xf numFmtId="0" fontId="68" fillId="0" borderId="247" xfId="0" applyNumberFormat="1" applyFont="1" applyBorder="1" applyAlignment="1">
      <alignment horizontal="center" vertical="center"/>
    </xf>
    <xf numFmtId="0" fontId="68" fillId="0" borderId="248" xfId="0" applyNumberFormat="1" applyFont="1" applyBorder="1" applyAlignment="1">
      <alignment horizontal="center" vertical="center"/>
    </xf>
    <xf numFmtId="0" fontId="68" fillId="0" borderId="249" xfId="0" applyNumberFormat="1" applyFont="1" applyBorder="1" applyAlignment="1">
      <alignment horizontal="center" vertical="center"/>
    </xf>
    <xf numFmtId="0" fontId="39" fillId="0" borderId="0" xfId="0" applyFont="1" applyFill="1" applyBorder="1" applyAlignment="1" applyProtection="1">
      <alignment vertical="center"/>
    </xf>
    <xf numFmtId="0" fontId="18" fillId="0" borderId="0" xfId="0" applyFont="1" applyFill="1" applyProtection="1"/>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4" fillId="0" borderId="213" xfId="0" applyFont="1" applyFill="1" applyBorder="1" applyAlignment="1" applyProtection="1">
      <alignment horizontal="center" vertical="center"/>
      <protection locked="0"/>
    </xf>
    <xf numFmtId="0" fontId="4" fillId="0" borderId="214" xfId="0" applyFont="1" applyFill="1" applyBorder="1" applyAlignment="1" applyProtection="1">
      <alignment horizontal="center" vertical="center"/>
      <protection locked="0"/>
    </xf>
    <xf numFmtId="0" fontId="4" fillId="0" borderId="220" xfId="0" applyFont="1" applyFill="1" applyBorder="1" applyAlignment="1" applyProtection="1">
      <alignment horizontal="center" vertical="center"/>
      <protection locked="0"/>
    </xf>
    <xf numFmtId="0" fontId="4" fillId="0" borderId="215" xfId="0" applyFont="1" applyFill="1" applyBorder="1" applyAlignment="1" applyProtection="1">
      <alignment horizontal="center" vertical="center"/>
      <protection locked="0"/>
    </xf>
    <xf numFmtId="0" fontId="4" fillId="0" borderId="49" xfId="0" applyFont="1" applyFill="1" applyBorder="1" applyAlignment="1" applyProtection="1">
      <alignment horizontal="center" vertical="center"/>
      <protection locked="0"/>
    </xf>
    <xf numFmtId="0" fontId="4" fillId="0" borderId="221" xfId="0" applyFont="1" applyFill="1" applyBorder="1" applyAlignment="1" applyProtection="1">
      <alignment horizontal="center" vertical="center"/>
      <protection locked="0"/>
    </xf>
    <xf numFmtId="0" fontId="4" fillId="0" borderId="223" xfId="0" applyFont="1" applyFill="1" applyBorder="1" applyAlignment="1" applyProtection="1">
      <alignment horizontal="center" vertical="center"/>
      <protection locked="0"/>
    </xf>
    <xf numFmtId="0" fontId="4" fillId="0" borderId="224" xfId="0" applyFont="1" applyFill="1" applyBorder="1" applyAlignment="1" applyProtection="1">
      <alignment horizontal="center" vertical="center"/>
      <protection locked="0"/>
    </xf>
    <xf numFmtId="0" fontId="4" fillId="0" borderId="225" xfId="0" applyFont="1" applyFill="1" applyBorder="1" applyAlignment="1" applyProtection="1">
      <alignment horizontal="center" vertical="center"/>
      <protection locked="0"/>
    </xf>
    <xf numFmtId="0" fontId="0" fillId="0" borderId="258" xfId="0" applyBorder="1"/>
    <xf numFmtId="0" fontId="0" fillId="0" borderId="258" xfId="0" applyBorder="1" applyAlignment="1">
      <alignment horizontal="center"/>
    </xf>
    <xf numFmtId="0" fontId="4" fillId="0" borderId="258" xfId="0" applyFont="1" applyBorder="1"/>
    <xf numFmtId="0" fontId="0" fillId="0" borderId="259" xfId="0" applyBorder="1" applyAlignment="1">
      <alignment horizontal="center"/>
    </xf>
    <xf numFmtId="0" fontId="23" fillId="0" borderId="55" xfId="0" applyNumberFormat="1" applyFont="1" applyBorder="1" applyAlignment="1">
      <alignment horizontal="center" vertical="center"/>
    </xf>
    <xf numFmtId="165" fontId="18" fillId="0" borderId="0" xfId="0" applyNumberFormat="1" applyFont="1" applyAlignment="1">
      <alignment horizontal="right" indent="1"/>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21" fillId="17" borderId="61" xfId="0" applyFont="1" applyFill="1" applyBorder="1" applyAlignment="1" applyProtection="1">
      <alignment horizontal="center" vertical="center"/>
    </xf>
    <xf numFmtId="0" fontId="0" fillId="0" borderId="0" xfId="0" applyNumberFormat="1" applyAlignment="1">
      <alignment horizontal="center" vertical="center"/>
    </xf>
    <xf numFmtId="0" fontId="68" fillId="0" borderId="0" xfId="0" applyNumberFormat="1" applyFont="1" applyFill="1" applyBorder="1" applyAlignment="1">
      <alignment horizontal="center" vertical="center"/>
    </xf>
    <xf numFmtId="167" fontId="24" fillId="0" borderId="76" xfId="0" applyNumberFormat="1" applyFont="1" applyBorder="1" applyAlignment="1">
      <alignment horizontal="left"/>
    </xf>
    <xf numFmtId="0" fontId="0" fillId="0" borderId="0" xfId="0" applyNumberFormat="1" applyAlignment="1">
      <alignment vertical="center"/>
    </xf>
    <xf numFmtId="0" fontId="18" fillId="0" borderId="42" xfId="0" applyFont="1" applyBorder="1"/>
    <xf numFmtId="0" fontId="18" fillId="0" borderId="0" xfId="0" applyFont="1" applyBorder="1"/>
    <xf numFmtId="0" fontId="21" fillId="15" borderId="74" xfId="0" applyFont="1" applyFill="1" applyBorder="1" applyAlignment="1" applyProtection="1"/>
    <xf numFmtId="0" fontId="18" fillId="15" borderId="235" xfId="0" applyFont="1" applyFill="1" applyBorder="1" applyAlignment="1" applyProtection="1">
      <alignment horizontal="left" vertical="center" indent="1" shrinkToFit="1"/>
    </xf>
    <xf numFmtId="0" fontId="18" fillId="15" borderId="151" xfId="0" applyFont="1" applyFill="1" applyBorder="1" applyAlignment="1" applyProtection="1">
      <alignment horizontal="left" vertical="center" indent="1" shrinkToFit="1"/>
    </xf>
    <xf numFmtId="0" fontId="18" fillId="15" borderId="199" xfId="0" applyFont="1" applyFill="1" applyBorder="1" applyAlignment="1" applyProtection="1">
      <alignment horizontal="left" vertical="center" indent="1" shrinkToFit="1"/>
    </xf>
    <xf numFmtId="167" fontId="51" fillId="15" borderId="154" xfId="0" applyNumberFormat="1" applyFont="1" applyFill="1" applyBorder="1" applyAlignment="1" applyProtection="1">
      <alignment horizontal="right" vertical="center" indent="1"/>
    </xf>
    <xf numFmtId="167" fontId="51" fillId="15" borderId="60" xfId="0" applyNumberFormat="1" applyFont="1" applyFill="1" applyBorder="1" applyAlignment="1" applyProtection="1">
      <alignment horizontal="right" vertical="center" indent="1"/>
    </xf>
    <xf numFmtId="167" fontId="51" fillId="15" borderId="61" xfId="0" applyNumberFormat="1" applyFont="1" applyFill="1" applyBorder="1" applyAlignment="1" applyProtection="1">
      <alignment horizontal="right" vertical="center" indent="1"/>
    </xf>
    <xf numFmtId="0" fontId="60" fillId="0" borderId="260" xfId="0" applyFont="1" applyFill="1" applyBorder="1" applyAlignment="1"/>
    <xf numFmtId="0" fontId="60" fillId="0" borderId="261" xfId="0" applyFont="1" applyFill="1" applyBorder="1" applyAlignment="1">
      <alignment vertical="center"/>
    </xf>
    <xf numFmtId="165" fontId="21" fillId="0" borderId="0" xfId="0" applyNumberFormat="1" applyFont="1" applyFill="1" applyBorder="1" applyAlignment="1">
      <alignment vertical="center"/>
    </xf>
    <xf numFmtId="0" fontId="21" fillId="0" borderId="0" xfId="0" applyFont="1" applyFill="1" applyBorder="1" applyAlignment="1">
      <alignment vertical="center"/>
    </xf>
    <xf numFmtId="0" fontId="15" fillId="0" borderId="0" xfId="0" applyFont="1" applyFill="1" applyBorder="1" applyAlignment="1">
      <alignment vertical="center"/>
    </xf>
    <xf numFmtId="0" fontId="14" fillId="0" borderId="0" xfId="0" applyFont="1" applyFill="1" applyBorder="1" applyAlignment="1">
      <alignment vertical="center"/>
    </xf>
    <xf numFmtId="0" fontId="6" fillId="0" borderId="147" xfId="0" applyFont="1" applyBorder="1" applyAlignment="1">
      <alignment horizontal="center" vertical="center" shrinkToFit="1"/>
    </xf>
    <xf numFmtId="0" fontId="68" fillId="0" borderId="45" xfId="0" applyNumberFormat="1" applyFont="1" applyBorder="1" applyAlignment="1">
      <alignment horizontal="center" vertical="center"/>
    </xf>
    <xf numFmtId="164" fontId="6" fillId="0" borderId="147" xfId="0" applyNumberFormat="1" applyFont="1" applyBorder="1" applyAlignment="1">
      <alignment horizontal="center" vertical="center" shrinkToFit="1"/>
    </xf>
    <xf numFmtId="164" fontId="6" fillId="0" borderId="48" xfId="0" applyNumberFormat="1" applyFont="1" applyBorder="1" applyAlignment="1">
      <alignment horizontal="center" vertical="center" shrinkToFit="1"/>
    </xf>
    <xf numFmtId="164" fontId="6" fillId="0" borderId="51" xfId="0" applyNumberFormat="1" applyFont="1" applyBorder="1" applyAlignment="1">
      <alignment horizontal="center" vertical="center" shrinkToFit="1"/>
    </xf>
    <xf numFmtId="0" fontId="58" fillId="0" borderId="268" xfId="0" applyFont="1" applyBorder="1" applyAlignment="1">
      <alignment vertical="center"/>
    </xf>
    <xf numFmtId="14" fontId="59" fillId="0" borderId="268" xfId="0" applyNumberFormat="1" applyFont="1" applyBorder="1" applyAlignment="1">
      <alignment vertical="center"/>
    </xf>
    <xf numFmtId="0" fontId="59" fillId="0" borderId="268" xfId="0" applyFont="1" applyBorder="1" applyAlignment="1">
      <alignment vertical="center"/>
    </xf>
    <xf numFmtId="0" fontId="21" fillId="0" borderId="0" xfId="0" applyFont="1" applyFill="1" applyBorder="1" applyAlignment="1">
      <alignment horizontal="center" vertical="center"/>
    </xf>
    <xf numFmtId="0" fontId="21" fillId="0" borderId="271" xfId="0" applyFont="1" applyFill="1" applyBorder="1" applyAlignment="1">
      <alignment horizontal="center" vertical="center"/>
    </xf>
    <xf numFmtId="164" fontId="20" fillId="0" borderId="0" xfId="0" applyNumberFormat="1" applyFont="1" applyFill="1" applyBorder="1" applyAlignment="1">
      <alignment horizontal="center" vertical="center"/>
    </xf>
    <xf numFmtId="164" fontId="20" fillId="0" borderId="0" xfId="0" applyNumberFormat="1" applyFont="1" applyFill="1" applyBorder="1" applyAlignment="1">
      <alignment vertical="center"/>
    </xf>
    <xf numFmtId="0" fontId="13" fillId="0" borderId="0" xfId="0" applyFont="1" applyAlignment="1">
      <alignment horizontal="center" vertical="center"/>
    </xf>
    <xf numFmtId="165" fontId="20" fillId="0" borderId="0" xfId="0" applyNumberFormat="1" applyFont="1" applyFill="1" applyBorder="1" applyAlignment="1" applyProtection="1">
      <alignment horizontal="center" vertical="center" shrinkToFit="1"/>
      <protection locked="0"/>
    </xf>
    <xf numFmtId="165" fontId="14" fillId="9" borderId="272" xfId="0" applyNumberFormat="1" applyFont="1" applyFill="1" applyBorder="1" applyAlignment="1">
      <alignment vertical="center" shrinkToFit="1"/>
    </xf>
    <xf numFmtId="0" fontId="7" fillId="0" borderId="161" xfId="1" applyNumberFormat="1" applyFont="1" applyFill="1" applyBorder="1" applyAlignment="1" applyProtection="1">
      <alignment vertical="center"/>
      <protection hidden="1"/>
    </xf>
    <xf numFmtId="0" fontId="7" fillId="0" borderId="273" xfId="1" applyNumberFormat="1" applyFont="1" applyFill="1" applyBorder="1" applyAlignment="1" applyProtection="1">
      <alignment vertical="center"/>
      <protection hidden="1"/>
    </xf>
    <xf numFmtId="0" fontId="7" fillId="0" borderId="273"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62" xfId="1" applyNumberFormat="1" applyFont="1" applyFill="1" applyBorder="1" applyAlignment="1" applyProtection="1">
      <alignment horizontal="center" vertical="center"/>
      <protection hidden="1"/>
    </xf>
    <xf numFmtId="0" fontId="7" fillId="0" borderId="112"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13" xfId="1" applyNumberFormat="1" applyFont="1" applyFill="1" applyBorder="1" applyAlignment="1" applyProtection="1">
      <alignment horizontal="center" vertical="center"/>
      <protection hidden="1"/>
    </xf>
    <xf numFmtId="0" fontId="7" fillId="0" borderId="114" xfId="1" applyNumberFormat="1" applyFont="1" applyFill="1" applyBorder="1" applyAlignment="1" applyProtection="1">
      <alignment vertical="center"/>
      <protection hidden="1"/>
    </xf>
    <xf numFmtId="0" fontId="7" fillId="0" borderId="115" xfId="1" applyNumberFormat="1" applyFont="1" applyFill="1" applyBorder="1" applyAlignment="1" applyProtection="1">
      <alignment vertical="center"/>
      <protection hidden="1"/>
    </xf>
    <xf numFmtId="0" fontId="7" fillId="0" borderId="115" xfId="1" applyNumberFormat="1" applyFont="1" applyFill="1" applyBorder="1" applyAlignment="1" applyProtection="1">
      <alignment horizontal="center" vertical="center"/>
      <protection hidden="1"/>
    </xf>
    <xf numFmtId="0" fontId="7" fillId="0" borderId="116" xfId="1" applyNumberFormat="1" applyFont="1" applyFill="1" applyBorder="1" applyAlignment="1" applyProtection="1">
      <alignment horizontal="center" vertical="center"/>
      <protection hidden="1"/>
    </xf>
    <xf numFmtId="166" fontId="7" fillId="0" borderId="115" xfId="1" applyNumberFormat="1" applyFont="1" applyFill="1" applyBorder="1" applyAlignment="1" applyProtection="1">
      <alignment horizontal="center" vertical="center"/>
      <protection hidden="1"/>
    </xf>
    <xf numFmtId="165" fontId="18" fillId="0" borderId="0" xfId="0" applyNumberFormat="1" applyFont="1" applyProtection="1"/>
    <xf numFmtId="0" fontId="6" fillId="10" borderId="29" xfId="0" applyFont="1" applyFill="1" applyBorder="1" applyAlignment="1" applyProtection="1">
      <alignment horizontal="left" vertical="center" shrinkToFit="1"/>
      <protection locked="0"/>
    </xf>
    <xf numFmtId="0" fontId="6" fillId="10" borderId="31" xfId="0" applyFont="1" applyFill="1" applyBorder="1" applyAlignment="1" applyProtection="1">
      <alignment horizontal="left" vertical="center" shrinkToFit="1"/>
      <protection locked="0"/>
    </xf>
    <xf numFmtId="0" fontId="7" fillId="0" borderId="44" xfId="0" applyNumberFormat="1" applyFont="1" applyFill="1" applyBorder="1" applyAlignment="1" applyProtection="1">
      <alignment vertical="center"/>
      <protection hidden="1"/>
    </xf>
    <xf numFmtId="0" fontId="7" fillId="0" borderId="45" xfId="0" applyNumberFormat="1" applyFont="1" applyFill="1" applyBorder="1" applyAlignment="1" applyProtection="1">
      <alignment vertical="center"/>
      <protection hidden="1"/>
    </xf>
    <xf numFmtId="0" fontId="7" fillId="0" borderId="46" xfId="0" applyNumberFormat="1" applyFont="1" applyFill="1" applyBorder="1" applyAlignment="1" applyProtection="1">
      <alignment vertical="center"/>
      <protection hidden="1"/>
    </xf>
    <xf numFmtId="0" fontId="7" fillId="0" borderId="47" xfId="0" applyNumberFormat="1" applyFont="1" applyFill="1" applyBorder="1" applyAlignment="1" applyProtection="1">
      <alignment vertical="center"/>
      <protection hidden="1"/>
    </xf>
    <xf numFmtId="0" fontId="18" fillId="0" borderId="0" xfId="0" applyFont="1" applyAlignment="1">
      <alignment horizontal="center" vertical="center" wrapText="1"/>
    </xf>
    <xf numFmtId="0" fontId="7" fillId="0" borderId="274" xfId="0" applyNumberFormat="1" applyFont="1" applyFill="1" applyBorder="1" applyAlignment="1" applyProtection="1">
      <alignment horizontal="center" vertical="center"/>
      <protection hidden="1"/>
    </xf>
    <xf numFmtId="0" fontId="7" fillId="0" borderId="275" xfId="0" applyNumberFormat="1" applyFont="1" applyFill="1" applyBorder="1" applyAlignment="1" applyProtection="1">
      <alignment horizontal="center" vertical="center"/>
      <protection hidden="1"/>
    </xf>
    <xf numFmtId="0" fontId="7" fillId="0" borderId="275" xfId="0" applyNumberFormat="1" applyFont="1" applyFill="1" applyBorder="1" applyAlignment="1" applyProtection="1">
      <alignment vertical="center"/>
      <protection hidden="1"/>
    </xf>
    <xf numFmtId="0" fontId="7" fillId="0" borderId="276" xfId="0" applyNumberFormat="1" applyFont="1" applyFill="1" applyBorder="1" applyAlignment="1" applyProtection="1">
      <alignment vertical="center"/>
      <protection hidden="1"/>
    </xf>
    <xf numFmtId="0" fontId="7" fillId="0" borderId="0" xfId="0" applyNumberFormat="1" applyFont="1" applyBorder="1"/>
    <xf numFmtId="167" fontId="21" fillId="0" borderId="0" xfId="0" applyNumberFormat="1" applyFont="1" applyFill="1" applyBorder="1" applyAlignment="1">
      <alignment vertical="center"/>
    </xf>
    <xf numFmtId="0" fontId="51" fillId="0" borderId="0" xfId="0" applyFont="1" applyAlignment="1">
      <alignment horizontal="left" vertical="center"/>
    </xf>
    <xf numFmtId="0" fontId="30" fillId="9" borderId="120" xfId="0" applyFont="1" applyFill="1" applyBorder="1" applyAlignment="1">
      <alignment horizontal="center" vertical="center"/>
    </xf>
    <xf numFmtId="0" fontId="18" fillId="0" borderId="0" xfId="0" applyFont="1" applyAlignment="1">
      <alignment horizontal="center" vertical="center" wrapText="1"/>
    </xf>
    <xf numFmtId="0" fontId="20" fillId="10" borderId="209" xfId="0" applyFont="1" applyFill="1" applyBorder="1" applyAlignment="1" applyProtection="1">
      <alignment horizontal="right" vertical="center"/>
      <protection locked="0"/>
    </xf>
    <xf numFmtId="0" fontId="20" fillId="10" borderId="211" xfId="0" applyFont="1" applyFill="1" applyBorder="1" applyAlignment="1" applyProtection="1">
      <alignment horizontal="left" vertical="center"/>
      <protection locked="0"/>
    </xf>
    <xf numFmtId="0" fontId="20" fillId="10" borderId="74" xfId="0" applyFont="1" applyFill="1" applyBorder="1" applyAlignment="1" applyProtection="1">
      <alignment horizontal="left" vertical="center"/>
      <protection locked="0"/>
    </xf>
    <xf numFmtId="0" fontId="20" fillId="10" borderId="200" xfId="0" applyFont="1" applyFill="1" applyBorder="1" applyAlignment="1" applyProtection="1">
      <alignment horizontal="left" vertical="center"/>
      <protection locked="0"/>
    </xf>
    <xf numFmtId="0" fontId="20" fillId="10" borderId="277" xfId="0" applyFont="1" applyFill="1" applyBorder="1" applyAlignment="1" applyProtection="1">
      <alignment horizontal="center" vertical="center"/>
      <protection locked="0"/>
    </xf>
    <xf numFmtId="0" fontId="20" fillId="10" borderId="278" xfId="0" applyFont="1" applyFill="1" applyBorder="1" applyAlignment="1" applyProtection="1">
      <alignment horizontal="center" vertical="center"/>
      <protection locked="0"/>
    </xf>
    <xf numFmtId="0" fontId="20" fillId="10" borderId="279" xfId="0" applyFont="1" applyFill="1" applyBorder="1" applyAlignment="1" applyProtection="1">
      <alignment horizontal="center" vertical="center"/>
      <protection locked="0"/>
    </xf>
    <xf numFmtId="0" fontId="20" fillId="10" borderId="208" xfId="0" applyFont="1" applyFill="1" applyBorder="1" applyAlignment="1" applyProtection="1">
      <alignment horizontal="right" vertical="center"/>
      <protection locked="0"/>
    </xf>
    <xf numFmtId="0" fontId="20" fillId="10" borderId="202" xfId="0" applyFont="1" applyFill="1" applyBorder="1" applyAlignment="1" applyProtection="1">
      <alignment horizontal="right" vertical="center"/>
      <protection locked="0"/>
    </xf>
    <xf numFmtId="0" fontId="20" fillId="10" borderId="280" xfId="0" applyFont="1" applyFill="1" applyBorder="1" applyAlignment="1" applyProtection="1">
      <alignment horizontal="right" vertical="center"/>
      <protection locked="0"/>
    </xf>
    <xf numFmtId="0" fontId="20" fillId="10" borderId="150" xfId="0" applyFont="1" applyFill="1" applyBorder="1" applyAlignment="1" applyProtection="1">
      <alignment horizontal="left" vertical="center"/>
      <protection locked="0"/>
    </xf>
    <xf numFmtId="0" fontId="20" fillId="10" borderId="245" xfId="0" applyFont="1" applyFill="1" applyBorder="1" applyAlignment="1" applyProtection="1">
      <alignment horizontal="left" vertical="center"/>
      <protection locked="0"/>
    </xf>
    <xf numFmtId="0" fontId="69" fillId="0" borderId="0" xfId="0" applyFont="1" applyAlignment="1">
      <alignment horizontal="center"/>
    </xf>
    <xf numFmtId="0" fontId="20" fillId="10" borderId="153" xfId="0" applyFont="1" applyFill="1" applyBorder="1" applyAlignment="1" applyProtection="1">
      <alignment horizontal="center" vertical="center"/>
      <protection locked="0"/>
    </xf>
    <xf numFmtId="0" fontId="30" fillId="9" borderId="281" xfId="0" applyFont="1" applyFill="1" applyBorder="1" applyAlignment="1">
      <alignment horizontal="center" vertical="center"/>
    </xf>
    <xf numFmtId="0" fontId="20" fillId="0" borderId="282" xfId="0" applyFont="1" applyBorder="1" applyAlignment="1">
      <alignment horizontal="center" vertical="center" shrinkToFit="1"/>
    </xf>
    <xf numFmtId="0" fontId="20" fillId="0" borderId="283" xfId="0" applyFont="1" applyBorder="1" applyAlignment="1">
      <alignment horizontal="center" vertical="center" shrinkToFit="1"/>
    </xf>
    <xf numFmtId="0" fontId="20" fillId="0" borderId="284" xfId="0" applyFont="1" applyBorder="1" applyAlignment="1">
      <alignment horizontal="center" vertical="center" shrinkToFit="1"/>
    </xf>
    <xf numFmtId="0" fontId="70" fillId="0" borderId="0" xfId="0" applyFont="1" applyAlignment="1">
      <alignment horizontal="center" vertical="center"/>
    </xf>
    <xf numFmtId="0" fontId="54" fillId="0" borderId="0" xfId="0" applyFont="1" applyBorder="1" applyAlignment="1">
      <alignment horizontal="center"/>
    </xf>
    <xf numFmtId="0" fontId="64" fillId="0" borderId="0" xfId="0" applyFont="1" applyAlignment="1">
      <alignment wrapText="1"/>
    </xf>
    <xf numFmtId="0" fontId="14" fillId="9" borderId="140" xfId="0" applyFont="1" applyFill="1" applyBorder="1" applyAlignment="1">
      <alignment vertical="center" shrinkToFit="1"/>
    </xf>
    <xf numFmtId="0" fontId="6" fillId="0" borderId="63" xfId="0" applyFont="1" applyBorder="1" applyAlignment="1">
      <alignment horizontal="left" vertical="center" shrinkToFit="1"/>
    </xf>
    <xf numFmtId="0" fontId="54" fillId="0" borderId="0" xfId="0" applyFont="1" applyFill="1" applyBorder="1" applyAlignment="1">
      <alignment horizontal="center"/>
    </xf>
    <xf numFmtId="0" fontId="14" fillId="0" borderId="0" xfId="0" applyFont="1" applyFill="1" applyBorder="1" applyAlignment="1">
      <alignment vertical="center" shrinkToFit="1"/>
    </xf>
    <xf numFmtId="20" fontId="20" fillId="10" borderId="153" xfId="0" applyNumberFormat="1" applyFont="1" applyFill="1" applyBorder="1" applyAlignment="1" applyProtection="1">
      <alignment horizontal="center" vertical="center"/>
      <protection locked="0"/>
    </xf>
    <xf numFmtId="0" fontId="20" fillId="10" borderId="60" xfId="0" applyFont="1" applyFill="1" applyBorder="1" applyAlignment="1" applyProtection="1">
      <alignment horizontal="center" vertical="center"/>
    </xf>
    <xf numFmtId="0" fontId="20" fillId="10" borderId="61" xfId="0" applyFont="1" applyFill="1" applyBorder="1" applyAlignment="1" applyProtection="1">
      <alignment horizontal="center" vertical="center"/>
    </xf>
    <xf numFmtId="0" fontId="15" fillId="0" borderId="0" xfId="0" applyFont="1" applyAlignment="1">
      <alignment horizontal="center"/>
    </xf>
    <xf numFmtId="0" fontId="12" fillId="0" borderId="0" xfId="0" applyNumberFormat="1" applyFont="1" applyFill="1" applyBorder="1" applyAlignment="1" applyProtection="1">
      <alignment horizontal="center" vertical="center"/>
      <protection hidden="1"/>
    </xf>
    <xf numFmtId="0" fontId="20" fillId="10" borderId="149" xfId="0" applyFont="1" applyFill="1" applyBorder="1" applyAlignment="1" applyProtection="1">
      <alignment horizontal="center" vertical="center"/>
    </xf>
    <xf numFmtId="0" fontId="20" fillId="10" borderId="243" xfId="0" applyFont="1" applyFill="1" applyBorder="1" applyAlignment="1" applyProtection="1">
      <alignment horizontal="center" vertical="center"/>
    </xf>
    <xf numFmtId="0" fontId="20" fillId="10" borderId="285" xfId="0" applyFont="1" applyFill="1" applyBorder="1" applyAlignment="1" applyProtection="1">
      <alignment horizontal="center" vertical="center"/>
      <protection locked="0"/>
    </xf>
    <xf numFmtId="0" fontId="20" fillId="10" borderId="286" xfId="0" applyFont="1" applyFill="1" applyBorder="1" applyAlignment="1" applyProtection="1">
      <alignment horizontal="center" vertical="center"/>
      <protection locked="0"/>
    </xf>
    <xf numFmtId="0" fontId="41" fillId="0" borderId="76"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20" fillId="10" borderId="154" xfId="0" applyFont="1" applyFill="1" applyBorder="1" applyAlignment="1" applyProtection="1">
      <alignment horizontal="left" vertical="center"/>
      <protection locked="0"/>
    </xf>
    <xf numFmtId="0" fontId="20" fillId="10" borderId="60" xfId="0" applyFont="1" applyFill="1" applyBorder="1" applyAlignment="1" applyProtection="1">
      <alignment horizontal="left" vertical="center"/>
      <protection locked="0"/>
    </xf>
    <xf numFmtId="0" fontId="58" fillId="0" borderId="0" xfId="0" applyFont="1" applyFill="1" applyBorder="1" applyAlignment="1">
      <alignment vertical="center"/>
    </xf>
    <xf numFmtId="14" fontId="59" fillId="0" borderId="0" xfId="0" applyNumberFormat="1" applyFont="1" applyFill="1" applyBorder="1" applyAlignment="1">
      <alignment vertical="center"/>
    </xf>
    <xf numFmtId="0" fontId="59" fillId="0" borderId="0" xfId="0" applyFont="1" applyFill="1" applyBorder="1" applyAlignment="1">
      <alignment vertical="center"/>
    </xf>
    <xf numFmtId="0" fontId="64" fillId="0" borderId="0" xfId="0" applyFont="1" applyFill="1" applyBorder="1" applyAlignment="1">
      <alignment wrapText="1"/>
    </xf>
    <xf numFmtId="0" fontId="19" fillId="0" borderId="239" xfId="0" applyFont="1" applyFill="1" applyBorder="1" applyAlignment="1">
      <alignment vertical="center" shrinkToFit="1"/>
    </xf>
    <xf numFmtId="0" fontId="6" fillId="0" borderId="0" xfId="0" applyFont="1" applyFill="1" applyBorder="1" applyAlignment="1" applyProtection="1">
      <alignment horizontal="center" vertical="center"/>
    </xf>
    <xf numFmtId="0" fontId="20" fillId="0" borderId="239" xfId="0" applyFont="1" applyFill="1" applyBorder="1" applyAlignment="1" applyProtection="1">
      <alignment vertical="center" shrinkToFit="1"/>
    </xf>
    <xf numFmtId="0" fontId="12"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right" vertical="center" indent="1"/>
      <protection hidden="1"/>
    </xf>
    <xf numFmtId="0" fontId="7" fillId="0" borderId="0" xfId="0" applyNumberFormat="1" applyFont="1" applyFill="1" applyBorder="1" applyAlignment="1" applyProtection="1">
      <alignment horizontal="left" vertical="center"/>
      <protection hidden="1"/>
    </xf>
    <xf numFmtId="3" fontId="7" fillId="0" borderId="0" xfId="0" applyNumberFormat="1" applyFont="1" applyFill="1" applyBorder="1" applyAlignment="1" applyProtection="1">
      <alignment vertical="center"/>
      <protection hidden="1"/>
    </xf>
    <xf numFmtId="0" fontId="30" fillId="9" borderId="120" xfId="0" applyFont="1" applyFill="1" applyBorder="1" applyAlignment="1">
      <alignment horizontal="center" vertical="center"/>
    </xf>
    <xf numFmtId="0" fontId="18" fillId="0" borderId="0" xfId="0" applyFont="1" applyAlignment="1">
      <alignment horizontal="center" vertical="center" wrapText="1"/>
    </xf>
    <xf numFmtId="0" fontId="20" fillId="10" borderId="154" xfId="0" applyFont="1" applyFill="1" applyBorder="1" applyAlignment="1" applyProtection="1">
      <alignment horizontal="left" vertical="center"/>
    </xf>
    <xf numFmtId="0" fontId="20" fillId="10" borderId="60" xfId="0" applyFont="1" applyFill="1" applyBorder="1" applyAlignment="1" applyProtection="1">
      <alignment horizontal="left" vertical="center"/>
    </xf>
    <xf numFmtId="0" fontId="20" fillId="10" borderId="61" xfId="0" applyFont="1" applyFill="1" applyBorder="1" applyAlignment="1" applyProtection="1">
      <alignment horizontal="left" vertical="center"/>
    </xf>
    <xf numFmtId="0" fontId="20" fillId="10" borderId="127"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protection hidden="1"/>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2" fillId="0" borderId="0" xfId="0" applyFont="1"/>
    <xf numFmtId="0" fontId="7" fillId="0" borderId="0" xfId="0" applyNumberFormat="1" applyFont="1" applyFill="1" applyBorder="1" applyAlignment="1" applyProtection="1">
      <alignment horizontal="center" vertical="center"/>
      <protection hidden="1"/>
    </xf>
    <xf numFmtId="0" fontId="25" fillId="0" borderId="0" xfId="0" applyFont="1" applyAlignment="1">
      <alignment horizontal="center"/>
    </xf>
    <xf numFmtId="0" fontId="14" fillId="9" borderId="120" xfId="0" applyFont="1" applyFill="1" applyBorder="1" applyAlignment="1">
      <alignment horizontal="center" vertical="center"/>
    </xf>
    <xf numFmtId="0" fontId="18" fillId="0" borderId="0" xfId="0" applyFont="1" applyAlignment="1">
      <alignment horizontal="center" vertical="center" wrapText="1"/>
    </xf>
    <xf numFmtId="0" fontId="14" fillId="9" borderId="118" xfId="0" applyFont="1" applyFill="1" applyBorder="1" applyAlignment="1">
      <alignment horizontal="center" vertical="center"/>
    </xf>
    <xf numFmtId="0" fontId="41" fillId="0" borderId="0" xfId="0" applyNumberFormat="1" applyFont="1" applyFill="1" applyBorder="1" applyAlignment="1" applyProtection="1">
      <alignment vertical="center"/>
      <protection hidden="1"/>
    </xf>
    <xf numFmtId="0" fontId="21" fillId="10" borderId="138"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10" borderId="293" xfId="0" applyFont="1" applyFill="1" applyBorder="1" applyAlignment="1" applyProtection="1">
      <alignment horizontal="center"/>
      <protection locked="0"/>
    </xf>
    <xf numFmtId="0" fontId="19" fillId="9" borderId="295" xfId="0" applyFont="1" applyFill="1" applyBorder="1" applyAlignment="1">
      <alignment horizontal="center"/>
    </xf>
    <xf numFmtId="0" fontId="21" fillId="10" borderId="296" xfId="0" applyFont="1" applyFill="1" applyBorder="1" applyAlignment="1" applyProtection="1">
      <alignment horizontal="center"/>
      <protection locked="0"/>
    </xf>
    <xf numFmtId="0" fontId="30" fillId="9" borderId="295" xfId="0" applyFont="1" applyFill="1" applyBorder="1" applyAlignment="1">
      <alignment horizontal="center" vertical="center"/>
    </xf>
    <xf numFmtId="0" fontId="21" fillId="10" borderId="298" xfId="0" applyFont="1" applyFill="1" applyBorder="1" applyAlignment="1" applyProtection="1">
      <alignment horizontal="center" vertical="center"/>
      <protection locked="0"/>
    </xf>
    <xf numFmtId="0" fontId="13" fillId="0" borderId="298" xfId="0" applyFont="1" applyBorder="1" applyAlignment="1">
      <alignment horizontal="center" vertical="center"/>
    </xf>
    <xf numFmtId="0" fontId="13" fillId="0" borderId="136" xfId="0" applyFont="1" applyBorder="1" applyAlignment="1">
      <alignment horizontal="center" vertical="center"/>
    </xf>
    <xf numFmtId="0" fontId="13" fillId="0" borderId="194" xfId="0" applyFont="1" applyBorder="1" applyAlignment="1">
      <alignment horizontal="center" vertical="center"/>
    </xf>
    <xf numFmtId="0" fontId="17" fillId="0" borderId="299" xfId="0" applyFont="1" applyFill="1" applyBorder="1" applyAlignment="1" applyProtection="1">
      <alignment vertical="top"/>
    </xf>
    <xf numFmtId="0" fontId="17" fillId="0" borderId="0" xfId="0" applyFont="1" applyFill="1" applyBorder="1" applyAlignment="1" applyProtection="1">
      <alignment vertical="top"/>
    </xf>
    <xf numFmtId="14" fontId="26" fillId="0" borderId="299" xfId="0" applyNumberFormat="1" applyFont="1" applyFill="1" applyBorder="1" applyAlignment="1" applyProtection="1">
      <alignment vertical="center"/>
    </xf>
    <xf numFmtId="14" fontId="26" fillId="0" borderId="0" xfId="0" applyNumberFormat="1" applyFont="1" applyFill="1" applyBorder="1" applyAlignment="1" applyProtection="1">
      <alignment vertical="center"/>
    </xf>
    <xf numFmtId="0" fontId="26" fillId="0" borderId="299" xfId="0" applyFont="1" applyFill="1" applyBorder="1" applyAlignment="1" applyProtection="1">
      <alignment vertical="center"/>
    </xf>
    <xf numFmtId="0" fontId="26" fillId="0" borderId="0" xfId="0" applyFont="1" applyFill="1" applyBorder="1" applyAlignment="1" applyProtection="1">
      <alignment vertical="center"/>
    </xf>
    <xf numFmtId="0" fontId="55" fillId="0" borderId="0" xfId="0" applyFont="1" applyFill="1" applyBorder="1" applyAlignment="1" applyProtection="1"/>
    <xf numFmtId="0" fontId="21" fillId="10" borderId="139" xfId="0" applyFont="1" applyFill="1" applyBorder="1" applyAlignment="1" applyProtection="1">
      <alignment horizontal="center"/>
      <protection locked="0"/>
    </xf>
    <xf numFmtId="0" fontId="20" fillId="10" borderId="298" xfId="0" applyFont="1" applyFill="1" applyBorder="1" applyAlignment="1" applyProtection="1">
      <alignment horizontal="left" vertical="center"/>
      <protection locked="0"/>
    </xf>
    <xf numFmtId="0" fontId="20" fillId="10" borderId="194" xfId="0" applyFont="1" applyFill="1" applyBorder="1" applyAlignment="1" applyProtection="1">
      <alignment horizontal="left" vertical="center"/>
      <protection locked="0"/>
    </xf>
    <xf numFmtId="0" fontId="21" fillId="10" borderId="163" xfId="0" applyFont="1" applyFill="1" applyBorder="1" applyAlignment="1" applyProtection="1">
      <alignment horizontal="center"/>
      <protection locked="0"/>
    </xf>
    <xf numFmtId="0" fontId="20" fillId="10" borderId="297" xfId="0" applyFont="1" applyFill="1" applyBorder="1" applyAlignment="1" applyProtection="1">
      <alignment horizontal="left" vertical="center"/>
      <protection locked="0"/>
    </xf>
    <xf numFmtId="0" fontId="20" fillId="10" borderId="294" xfId="0" applyFont="1" applyFill="1" applyBorder="1" applyAlignment="1" applyProtection="1">
      <alignment horizontal="left" vertical="center"/>
      <protection locked="0"/>
    </xf>
    <xf numFmtId="0" fontId="30" fillId="0" borderId="114" xfId="0" applyFont="1" applyFill="1" applyBorder="1" applyAlignment="1">
      <alignment horizontal="center" vertical="center"/>
    </xf>
    <xf numFmtId="0" fontId="20" fillId="10" borderId="154" xfId="0" applyFont="1" applyFill="1" applyBorder="1" applyAlignment="1" applyProtection="1">
      <alignment horizontal="center" vertical="center"/>
      <protection locked="0"/>
    </xf>
    <xf numFmtId="0" fontId="21" fillId="10" borderId="138"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21" fillId="10" borderId="139" xfId="0" applyFont="1" applyFill="1" applyBorder="1" applyAlignment="1" applyProtection="1">
      <alignment horizontal="center" vertical="center"/>
      <protection locked="0"/>
    </xf>
    <xf numFmtId="0" fontId="18" fillId="0" borderId="139" xfId="0" applyFont="1" applyBorder="1" applyAlignment="1">
      <alignment vertical="center"/>
    </xf>
    <xf numFmtId="0" fontId="21" fillId="0" borderId="235" xfId="0" applyNumberFormat="1" applyFont="1" applyBorder="1" applyAlignment="1">
      <alignment horizontal="center" vertical="center"/>
    </xf>
    <xf numFmtId="167" fontId="21" fillId="0" borderId="303" xfId="0" applyNumberFormat="1" applyFont="1" applyBorder="1" applyAlignment="1">
      <alignment horizontal="center" vertical="center"/>
    </xf>
    <xf numFmtId="0" fontId="21" fillId="0" borderId="303" xfId="0" applyFont="1" applyBorder="1" applyAlignment="1">
      <alignment horizontal="center" vertical="center"/>
    </xf>
    <xf numFmtId="0" fontId="21" fillId="17" borderId="153" xfId="0" applyFont="1" applyFill="1" applyBorder="1" applyAlignment="1" applyProtection="1">
      <alignment horizontal="right" vertical="center"/>
    </xf>
    <xf numFmtId="0" fontId="21" fillId="17" borderId="154" xfId="0" applyFont="1" applyFill="1" applyBorder="1" applyAlignment="1" applyProtection="1">
      <alignment horizontal="center" vertical="center"/>
    </xf>
    <xf numFmtId="0" fontId="21" fillId="17" borderId="155" xfId="0" applyFont="1" applyFill="1" applyBorder="1" applyAlignment="1" applyProtection="1">
      <alignment horizontal="left" vertical="center"/>
    </xf>
    <xf numFmtId="0" fontId="20" fillId="0" borderId="153" xfId="0" applyFont="1" applyBorder="1" applyAlignment="1">
      <alignment horizontal="left" vertical="center"/>
    </xf>
    <xf numFmtId="0" fontId="20" fillId="0" borderId="111" xfId="0" applyFont="1" applyBorder="1" applyAlignment="1">
      <alignment horizontal="center" vertical="center"/>
    </xf>
    <xf numFmtId="0" fontId="20" fillId="0" borderId="155" xfId="0" applyFont="1" applyBorder="1" applyAlignment="1">
      <alignment horizontal="left" vertical="center"/>
    </xf>
    <xf numFmtId="0" fontId="20" fillId="10" borderId="154" xfId="0" applyFont="1" applyFill="1" applyBorder="1" applyAlignment="1" applyProtection="1">
      <alignment horizontal="center" vertical="center"/>
    </xf>
    <xf numFmtId="0" fontId="20" fillId="10" borderId="304" xfId="0" applyFont="1" applyFill="1" applyBorder="1" applyAlignment="1" applyProtection="1">
      <alignment horizontal="center" vertical="center"/>
      <protection locked="0"/>
    </xf>
    <xf numFmtId="0" fontId="20" fillId="10" borderId="156" xfId="0" applyFont="1" applyFill="1" applyBorder="1" applyAlignment="1" applyProtection="1">
      <alignment horizontal="center" vertical="center"/>
      <protection locked="0"/>
    </xf>
    <xf numFmtId="0" fontId="58" fillId="0" borderId="299" xfId="0" applyFont="1" applyBorder="1" applyAlignment="1">
      <alignment vertical="center"/>
    </xf>
    <xf numFmtId="14" fontId="59" fillId="0" borderId="299" xfId="0" applyNumberFormat="1" applyFont="1" applyBorder="1" applyAlignment="1">
      <alignment vertical="center"/>
    </xf>
    <xf numFmtId="0" fontId="59" fillId="0" borderId="299" xfId="0" applyFont="1" applyBorder="1" applyAlignment="1">
      <alignment vertical="center"/>
    </xf>
    <xf numFmtId="0" fontId="20" fillId="10" borderId="61" xfId="0" applyFont="1" applyFill="1" applyBorder="1" applyAlignment="1" applyProtection="1">
      <alignment horizontal="left" vertical="center"/>
      <protection locked="0"/>
    </xf>
    <xf numFmtId="0" fontId="21" fillId="10" borderId="293" xfId="0" applyFont="1" applyFill="1" applyBorder="1" applyAlignment="1" applyProtection="1">
      <alignment horizontal="center" vertical="center"/>
      <protection locked="0"/>
    </xf>
    <xf numFmtId="0" fontId="21" fillId="0" borderId="273" xfId="0" applyFont="1" applyFill="1" applyBorder="1" applyAlignment="1" applyProtection="1">
      <alignment horizontal="center"/>
    </xf>
    <xf numFmtId="0" fontId="60" fillId="0" borderId="0" xfId="0" applyFont="1" applyFill="1" applyBorder="1" applyAlignment="1"/>
    <xf numFmtId="0" fontId="21" fillId="10" borderId="135" xfId="0" applyFont="1" applyFill="1" applyBorder="1" applyAlignment="1" applyProtection="1">
      <alignment horizontal="center" vertical="center"/>
      <protection locked="0"/>
    </xf>
    <xf numFmtId="0" fontId="14" fillId="9" borderId="42" xfId="0" applyFont="1" applyFill="1" applyBorder="1" applyAlignment="1">
      <alignment horizontal="center" vertical="center" shrinkToFit="1"/>
    </xf>
    <xf numFmtId="0" fontId="6" fillId="0" borderId="29" xfId="0" applyFont="1" applyFill="1" applyBorder="1" applyAlignment="1" applyProtection="1">
      <alignment horizontal="center" vertical="center"/>
    </xf>
    <xf numFmtId="0" fontId="6" fillId="0" borderId="30" xfId="0" applyFont="1" applyFill="1" applyBorder="1" applyAlignment="1" applyProtection="1">
      <alignment horizontal="left" vertical="center" shrinkToFit="1"/>
    </xf>
    <xf numFmtId="0" fontId="6" fillId="0" borderId="31" xfId="0" applyFont="1" applyFill="1" applyBorder="1" applyAlignment="1" applyProtection="1">
      <alignment horizontal="center" vertical="center"/>
    </xf>
    <xf numFmtId="0" fontId="6" fillId="0" borderId="32" xfId="0" applyFont="1" applyFill="1" applyBorder="1" applyAlignment="1" applyProtection="1">
      <alignment horizontal="left" vertical="center" shrinkToFit="1"/>
    </xf>
    <xf numFmtId="0" fontId="6" fillId="10" borderId="29" xfId="0" applyFont="1" applyFill="1" applyBorder="1" applyAlignment="1" applyProtection="1">
      <alignment horizontal="center" vertical="center"/>
    </xf>
    <xf numFmtId="0" fontId="6" fillId="10" borderId="31" xfId="0" applyFont="1" applyFill="1" applyBorder="1" applyAlignment="1" applyProtection="1">
      <alignment horizontal="center" vertical="center"/>
    </xf>
    <xf numFmtId="0" fontId="5" fillId="0" borderId="0" xfId="0" applyFont="1" applyAlignment="1">
      <alignment vertical="center"/>
    </xf>
    <xf numFmtId="0" fontId="6" fillId="0" borderId="309" xfId="0" applyFont="1" applyFill="1" applyBorder="1" applyAlignment="1" applyProtection="1">
      <alignment horizontal="right" vertical="center" shrinkToFit="1"/>
    </xf>
    <xf numFmtId="0" fontId="6" fillId="0" borderId="310" xfId="0" applyFont="1" applyFill="1" applyBorder="1" applyAlignment="1" applyProtection="1">
      <alignment horizontal="right" vertical="center" shrinkToFit="1"/>
    </xf>
    <xf numFmtId="0" fontId="55" fillId="0" borderId="261" xfId="0" applyFont="1" applyFill="1" applyBorder="1" applyAlignment="1" applyProtection="1">
      <alignment vertical="center"/>
    </xf>
    <xf numFmtId="0" fontId="55" fillId="0" borderId="0" xfId="0" applyFont="1" applyFill="1" applyBorder="1" applyAlignment="1" applyProtection="1">
      <alignment vertical="center"/>
    </xf>
    <xf numFmtId="0" fontId="17" fillId="0" borderId="268" xfId="0" applyFont="1" applyFill="1" applyBorder="1" applyAlignment="1" applyProtection="1">
      <alignment vertical="top"/>
    </xf>
    <xf numFmtId="14" fontId="26" fillId="0" borderId="268" xfId="0" applyNumberFormat="1" applyFont="1" applyFill="1" applyBorder="1" applyAlignment="1" applyProtection="1">
      <alignment vertical="center"/>
    </xf>
    <xf numFmtId="0" fontId="26" fillId="0" borderId="268" xfId="0" applyFont="1" applyFill="1" applyBorder="1" applyAlignment="1" applyProtection="1">
      <alignment vertical="center"/>
    </xf>
    <xf numFmtId="0" fontId="4" fillId="0" borderId="0" xfId="4" applyAlignment="1">
      <alignment horizontal="right"/>
    </xf>
    <xf numFmtId="0" fontId="50" fillId="0" borderId="0" xfId="4" applyFont="1"/>
    <xf numFmtId="0" fontId="4" fillId="0" borderId="0" xfId="4"/>
    <xf numFmtId="0" fontId="38" fillId="0" borderId="0" xfId="4" applyFont="1" applyAlignment="1">
      <alignment horizontal="right"/>
    </xf>
    <xf numFmtId="0" fontId="38" fillId="0" borderId="0" xfId="4" applyFont="1"/>
    <xf numFmtId="0" fontId="38" fillId="15" borderId="166" xfId="4" applyFont="1" applyFill="1" applyBorder="1" applyAlignment="1" applyProtection="1">
      <alignment horizontal="center"/>
      <protection locked="0"/>
    </xf>
    <xf numFmtId="0" fontId="38" fillId="0" borderId="0" xfId="4" applyFont="1" applyAlignment="1"/>
    <xf numFmtId="0" fontId="52" fillId="15" borderId="166" xfId="4" applyFont="1" applyFill="1" applyBorder="1" applyAlignment="1" applyProtection="1">
      <alignment horizontal="left" vertical="center" indent="1"/>
      <protection locked="0"/>
    </xf>
    <xf numFmtId="0" fontId="4" fillId="0" borderId="0" xfId="4" applyAlignment="1">
      <alignment horizontal="center" vertical="center"/>
    </xf>
    <xf numFmtId="0" fontId="4" fillId="0" borderId="0" xfId="4" applyAlignment="1">
      <alignment horizontal="center"/>
    </xf>
    <xf numFmtId="0" fontId="4" fillId="0" borderId="0" xfId="4" applyAlignment="1">
      <alignment vertical="top"/>
    </xf>
    <xf numFmtId="0" fontId="4" fillId="0" borderId="0" xfId="4" applyAlignment="1"/>
    <xf numFmtId="0" fontId="48" fillId="0" borderId="0" xfId="4" applyNumberFormat="1" applyFont="1" applyAlignment="1">
      <alignment horizontal="center" vertical="center"/>
    </xf>
    <xf numFmtId="0" fontId="4" fillId="0" borderId="0" xfId="4" applyFont="1"/>
    <xf numFmtId="0" fontId="48" fillId="0" borderId="0" xfId="4" applyFont="1" applyAlignment="1">
      <alignment horizontal="center"/>
    </xf>
    <xf numFmtId="0" fontId="4" fillId="0" borderId="0" xfId="4" applyFont="1" applyAlignment="1">
      <alignment vertical="top" wrapText="1"/>
    </xf>
    <xf numFmtId="0" fontId="12" fillId="0" borderId="76"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0" fillId="13" borderId="97" xfId="0" applyFill="1" applyBorder="1" applyAlignment="1" applyProtection="1">
      <alignment horizontal="left" indent="1"/>
      <protection locked="0"/>
    </xf>
    <xf numFmtId="0" fontId="7" fillId="0" borderId="311" xfId="0" applyNumberFormat="1" applyFont="1" applyFill="1" applyBorder="1" applyAlignment="1" applyProtection="1">
      <alignment horizontal="center" vertical="center"/>
      <protection hidden="1"/>
    </xf>
    <xf numFmtId="0" fontId="0" fillId="0" borderId="161" xfId="0" applyBorder="1" applyAlignment="1">
      <alignment horizontal="right" indent="1"/>
    </xf>
    <xf numFmtId="0" fontId="0" fillId="0" borderId="112" xfId="0" applyBorder="1" applyAlignment="1">
      <alignment horizontal="right" indent="1"/>
    </xf>
    <xf numFmtId="0" fontId="7" fillId="0" borderId="114" xfId="0" applyNumberFormat="1" applyFont="1" applyFill="1" applyBorder="1" applyAlignment="1" applyProtection="1">
      <alignment horizontal="right" vertical="center" indent="1"/>
      <protection hidden="1"/>
    </xf>
    <xf numFmtId="0" fontId="0" fillId="0" borderId="162" xfId="0" applyBorder="1" applyAlignment="1">
      <alignment horizontal="left"/>
    </xf>
    <xf numFmtId="0" fontId="0" fillId="0" borderId="113" xfId="0" applyBorder="1" applyAlignment="1">
      <alignment horizontal="left"/>
    </xf>
    <xf numFmtId="0" fontId="7" fillId="0" borderId="116" xfId="0" applyNumberFormat="1" applyFont="1" applyFill="1" applyBorder="1" applyAlignment="1" applyProtection="1">
      <alignment horizontal="left" vertical="center"/>
      <protection hidden="1"/>
    </xf>
    <xf numFmtId="0" fontId="7" fillId="0" borderId="42" xfId="0" applyNumberFormat="1" applyFont="1" applyFill="1" applyBorder="1" applyAlignment="1" applyProtection="1">
      <alignment vertical="center"/>
      <protection hidden="1"/>
    </xf>
    <xf numFmtId="0" fontId="7" fillId="0" borderId="312" xfId="0" applyNumberFormat="1" applyFont="1" applyFill="1" applyBorder="1" applyAlignment="1" applyProtection="1">
      <alignment horizontal="center" vertical="center"/>
      <protection hidden="1"/>
    </xf>
    <xf numFmtId="0" fontId="73" fillId="0" borderId="0" xfId="0" applyNumberFormat="1" applyFont="1" applyFill="1" applyAlignment="1" applyProtection="1">
      <alignment vertical="center"/>
      <protection hidden="1"/>
    </xf>
    <xf numFmtId="0" fontId="12" fillId="0" borderId="76"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9" fillId="0" borderId="0" xfId="2" applyNumberFormat="1" applyFill="1" applyBorder="1" applyAlignment="1" applyProtection="1">
      <alignment horizontal="center" vertical="center" readingOrder="1"/>
    </xf>
    <xf numFmtId="0" fontId="48" fillId="0" borderId="0" xfId="0" applyNumberFormat="1" applyFont="1" applyFill="1" applyBorder="1" applyAlignment="1">
      <alignment horizontal="center" vertical="center"/>
    </xf>
    <xf numFmtId="168" fontId="10" fillId="0" borderId="0" xfId="0" applyNumberFormat="1" applyFont="1" applyFill="1" applyBorder="1" applyAlignment="1" applyProtection="1">
      <alignment horizontal="center" vertical="center"/>
      <protection hidden="1"/>
    </xf>
    <xf numFmtId="0" fontId="48" fillId="0" borderId="0" xfId="0" applyNumberFormat="1" applyFont="1" applyFill="1" applyBorder="1" applyAlignment="1">
      <alignment vertical="center"/>
    </xf>
    <xf numFmtId="0" fontId="74" fillId="0" borderId="0" xfId="2" applyNumberFormat="1" applyFont="1" applyFill="1" applyBorder="1" applyAlignment="1" applyProtection="1">
      <alignment horizontal="center" vertical="center" readingOrder="1"/>
    </xf>
    <xf numFmtId="0" fontId="6" fillId="10" borderId="287" xfId="0" applyFont="1" applyFill="1" applyBorder="1" applyAlignment="1" applyProtection="1">
      <alignment horizontal="center" vertical="center"/>
      <protection locked="0"/>
    </xf>
    <xf numFmtId="0" fontId="6" fillId="10" borderId="288" xfId="0" applyFont="1" applyFill="1" applyBorder="1" applyAlignment="1" applyProtection="1">
      <alignment horizontal="center" vertical="center"/>
      <protection locked="0"/>
    </xf>
    <xf numFmtId="0" fontId="6" fillId="10" borderId="289" xfId="0" applyFont="1" applyFill="1" applyBorder="1" applyAlignment="1" applyProtection="1">
      <alignment horizontal="center" vertical="center"/>
      <protection locked="0"/>
    </xf>
    <xf numFmtId="0" fontId="20" fillId="0" borderId="121" xfId="0" applyFont="1" applyBorder="1" applyAlignment="1">
      <alignment horizontal="center" vertical="center"/>
    </xf>
    <xf numFmtId="0" fontId="20" fillId="0" borderId="54" xfId="0" applyFont="1" applyBorder="1" applyAlignment="1">
      <alignment horizontal="center" vertical="center"/>
    </xf>
    <xf numFmtId="0" fontId="20" fillId="0" borderId="56" xfId="0" applyFont="1" applyBorder="1" applyAlignment="1">
      <alignment horizontal="center" vertical="center"/>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14" fillId="9" borderId="58" xfId="0" applyFont="1" applyFill="1" applyBorder="1" applyAlignment="1">
      <alignment horizontal="center" vertical="center" shrinkToFit="1"/>
    </xf>
    <xf numFmtId="0" fontId="14" fillId="9" borderId="42" xfId="0" applyFont="1" applyFill="1" applyBorder="1" applyAlignment="1">
      <alignment horizontal="center" vertical="center" shrinkToFit="1"/>
    </xf>
    <xf numFmtId="0" fontId="14" fillId="9" borderId="59" xfId="0" applyFont="1" applyFill="1" applyBorder="1" applyAlignment="1">
      <alignment horizontal="center" vertical="center" shrinkToFit="1"/>
    </xf>
    <xf numFmtId="0" fontId="30" fillId="9" borderId="120" xfId="0" applyFont="1" applyFill="1" applyBorder="1" applyAlignment="1">
      <alignment horizontal="center" vertical="center"/>
    </xf>
    <xf numFmtId="164" fontId="20" fillId="0" borderId="151" xfId="0" applyNumberFormat="1" applyFont="1" applyBorder="1" applyAlignment="1">
      <alignment horizontal="center" vertical="center"/>
    </xf>
    <xf numFmtId="164" fontId="20" fillId="0" borderId="199" xfId="0" applyNumberFormat="1" applyFont="1" applyBorder="1" applyAlignment="1">
      <alignment horizontal="center" vertical="center"/>
    </xf>
    <xf numFmtId="0" fontId="21" fillId="0" borderId="132" xfId="0" applyFont="1" applyBorder="1" applyAlignment="1">
      <alignment horizontal="center" vertical="center"/>
    </xf>
    <xf numFmtId="164" fontId="20" fillId="18" borderId="148" xfId="0" applyNumberFormat="1" applyFont="1" applyFill="1" applyBorder="1" applyAlignment="1">
      <alignment horizontal="center" vertical="center"/>
    </xf>
    <xf numFmtId="164" fontId="20" fillId="19" borderId="151" xfId="0" applyNumberFormat="1" applyFont="1" applyFill="1" applyBorder="1" applyAlignment="1">
      <alignment horizontal="center" vertical="center"/>
    </xf>
    <xf numFmtId="164" fontId="20" fillId="11" borderId="151" xfId="0" applyNumberFormat="1" applyFont="1" applyFill="1" applyBorder="1" applyAlignment="1">
      <alignment horizontal="center" vertical="center"/>
    </xf>
    <xf numFmtId="0" fontId="21" fillId="0" borderId="133" xfId="0" applyFont="1" applyBorder="1" applyAlignment="1">
      <alignment horizontal="left" vertical="center" indent="1"/>
    </xf>
    <xf numFmtId="0" fontId="21" fillId="0" borderId="134" xfId="0" applyFont="1" applyBorder="1" applyAlignment="1">
      <alignment horizontal="left" vertical="center" indent="1"/>
    </xf>
    <xf numFmtId="0" fontId="54" fillId="0" borderId="0" xfId="0" applyFont="1" applyBorder="1" applyAlignment="1">
      <alignment horizontal="left"/>
    </xf>
    <xf numFmtId="0" fontId="6" fillId="0" borderId="145"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21" fillId="17" borderId="61" xfId="0" applyFont="1" applyFill="1" applyBorder="1" applyAlignment="1" applyProtection="1">
      <alignment horizontal="center" vertical="center"/>
    </xf>
    <xf numFmtId="0" fontId="7" fillId="0" borderId="0" xfId="0" applyNumberFormat="1" applyFont="1" applyFill="1" applyBorder="1" applyAlignment="1" applyProtection="1">
      <alignment horizontal="center" vertical="center"/>
      <protection hidden="1"/>
    </xf>
    <xf numFmtId="0" fontId="7" fillId="0" borderId="313" xfId="0" applyNumberFormat="1" applyFont="1" applyFill="1" applyBorder="1" applyAlignment="1" applyProtection="1">
      <alignment horizontal="center" vertical="center"/>
      <protection hidden="1"/>
    </xf>
    <xf numFmtId="0" fontId="7" fillId="0" borderId="314" xfId="0" applyNumberFormat="1" applyFont="1" applyFill="1" applyBorder="1" applyAlignment="1" applyProtection="1">
      <alignment horizontal="center" vertical="center"/>
      <protection hidden="1"/>
    </xf>
    <xf numFmtId="0" fontId="7" fillId="0" borderId="313" xfId="0" applyNumberFormat="1" applyFont="1" applyFill="1" applyBorder="1" applyAlignment="1" applyProtection="1">
      <alignment vertical="center"/>
      <protection hidden="1"/>
    </xf>
    <xf numFmtId="0" fontId="7" fillId="0" borderId="314" xfId="0" applyNumberFormat="1" applyFont="1" applyFill="1" applyBorder="1" applyAlignment="1" applyProtection="1">
      <alignment vertical="center"/>
      <protection hidden="1"/>
    </xf>
    <xf numFmtId="0" fontId="20" fillId="10" borderId="121" xfId="0" applyFont="1" applyFill="1" applyBorder="1" applyAlignment="1" applyProtection="1">
      <alignment horizontal="left" vertical="center"/>
      <protection locked="0"/>
    </xf>
    <xf numFmtId="0" fontId="6" fillId="10" borderId="315" xfId="0" applyFont="1" applyFill="1" applyBorder="1" applyAlignment="1" applyProtection="1">
      <alignment horizontal="right" vertical="center" shrinkToFit="1"/>
      <protection locked="0"/>
    </xf>
    <xf numFmtId="0" fontId="6" fillId="10" borderId="227" xfId="0" applyFont="1" applyFill="1" applyBorder="1" applyAlignment="1" applyProtection="1">
      <alignment horizontal="right" vertical="center" shrinkToFit="1"/>
      <protection locked="0"/>
    </xf>
    <xf numFmtId="0" fontId="20" fillId="0" borderId="154" xfId="0" applyFont="1" applyFill="1" applyBorder="1" applyAlignment="1" applyProtection="1">
      <alignment horizontal="center" vertical="center"/>
    </xf>
    <xf numFmtId="0" fontId="20" fillId="0" borderId="60" xfId="0" applyFont="1" applyFill="1" applyBorder="1" applyAlignment="1" applyProtection="1">
      <alignment horizontal="center" vertical="center"/>
    </xf>
    <xf numFmtId="0" fontId="20" fillId="0" borderId="61"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protection hidden="1"/>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6" fillId="10" borderId="290" xfId="0" applyFont="1" applyFill="1" applyBorder="1" applyAlignment="1" applyProtection="1">
      <alignment horizontal="center" vertical="center"/>
      <protection locked="0"/>
    </xf>
    <xf numFmtId="0" fontId="6" fillId="10" borderId="291" xfId="0" applyFont="1" applyFill="1" applyBorder="1" applyAlignment="1" applyProtection="1">
      <alignment horizontal="center" vertical="center"/>
      <protection locked="0"/>
    </xf>
    <xf numFmtId="0" fontId="6" fillId="10" borderId="292" xfId="0"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6" fillId="10" borderId="29" xfId="0" applyFont="1" applyFill="1" applyBorder="1" applyAlignment="1">
      <alignment horizontal="center" vertical="center"/>
    </xf>
    <xf numFmtId="0" fontId="6" fillId="10" borderId="31" xfId="0" applyFont="1" applyFill="1" applyBorder="1" applyAlignment="1">
      <alignment horizontal="center" vertical="center"/>
    </xf>
    <xf numFmtId="0" fontId="7" fillId="0" borderId="0" xfId="0" applyNumberFormat="1" applyFont="1" applyFill="1" applyBorder="1" applyAlignment="1" applyProtection="1">
      <alignment horizontal="center" vertical="center"/>
      <protection hidden="1"/>
    </xf>
    <xf numFmtId="0" fontId="72" fillId="0" borderId="0" xfId="0" applyFont="1" applyAlignment="1">
      <alignment horizontal="center"/>
    </xf>
    <xf numFmtId="0" fontId="66" fillId="0" borderId="0" xfId="0" applyNumberFormat="1" applyFont="1" applyAlignment="1" applyProtection="1">
      <alignment horizontal="center" vertical="center" wrapText="1"/>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20" fillId="10" borderId="68" xfId="0" applyFont="1" applyFill="1" applyBorder="1" applyAlignment="1" applyProtection="1">
      <alignment horizontal="left" vertical="center" shrinkToFit="1"/>
      <protection locked="0"/>
    </xf>
    <xf numFmtId="0" fontId="20" fillId="10" borderId="63" xfId="0" applyFont="1" applyFill="1" applyBorder="1" applyAlignment="1" applyProtection="1">
      <alignment horizontal="left" vertical="center" shrinkToFit="1"/>
      <protection locked="0"/>
    </xf>
    <xf numFmtId="49" fontId="24" fillId="0" borderId="72" xfId="0" applyNumberFormat="1" applyFont="1" applyBorder="1" applyAlignment="1">
      <alignment horizontal="center" vertical="center"/>
    </xf>
    <xf numFmtId="0" fontId="20" fillId="10" borderId="73" xfId="0" applyFont="1" applyFill="1" applyBorder="1" applyAlignment="1" applyProtection="1">
      <alignment horizontal="left" vertical="center" shrinkToFit="1"/>
      <protection locked="0"/>
    </xf>
    <xf numFmtId="164" fontId="24" fillId="0" borderId="0" xfId="0" applyNumberFormat="1" applyFont="1" applyFill="1" applyBorder="1" applyAlignment="1">
      <alignment horizontal="center" vertical="center"/>
    </xf>
    <xf numFmtId="164" fontId="24" fillId="0" borderId="76"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6" xfId="0" applyFont="1" applyBorder="1" applyAlignment="1">
      <alignment horizontal="left" vertical="center" shrinkToFit="1"/>
    </xf>
    <xf numFmtId="0" fontId="19" fillId="9" borderId="66" xfId="0" applyFont="1" applyFill="1" applyBorder="1" applyAlignment="1">
      <alignment horizontal="center" vertical="center"/>
    </xf>
    <xf numFmtId="0" fontId="19" fillId="9" borderId="67" xfId="0" applyFont="1" applyFill="1" applyBorder="1" applyAlignment="1">
      <alignment horizontal="center" vertical="center"/>
    </xf>
    <xf numFmtId="0" fontId="19" fillId="9" borderId="70" xfId="0" applyFont="1" applyFill="1" applyBorder="1" applyAlignment="1">
      <alignment horizontal="left" vertical="center" shrinkToFit="1"/>
    </xf>
    <xf numFmtId="0" fontId="19" fillId="9" borderId="71" xfId="0" applyFont="1" applyFill="1" applyBorder="1" applyAlignment="1">
      <alignment horizontal="left" vertical="center" shrinkToFit="1"/>
    </xf>
    <xf numFmtId="49" fontId="24" fillId="0" borderId="65" xfId="0" applyNumberFormat="1" applyFont="1" applyBorder="1" applyAlignment="1">
      <alignment horizontal="center" vertical="center"/>
    </xf>
    <xf numFmtId="0" fontId="20" fillId="10" borderId="69" xfId="0" applyFont="1" applyFill="1" applyBorder="1" applyAlignment="1" applyProtection="1">
      <alignment horizontal="left" vertical="center" shrinkToFit="1"/>
      <protection locked="0"/>
    </xf>
    <xf numFmtId="0" fontId="25" fillId="0" borderId="0" xfId="0" applyFont="1" applyAlignment="1">
      <alignment horizontal="center"/>
    </xf>
    <xf numFmtId="0" fontId="15" fillId="0" borderId="76" xfId="0" applyFont="1" applyBorder="1" applyAlignment="1">
      <alignment horizontal="left" vertical="center"/>
    </xf>
    <xf numFmtId="0" fontId="18" fillId="0" borderId="0" xfId="0" applyFont="1" applyAlignment="1">
      <alignment horizontal="center" wrapText="1"/>
    </xf>
    <xf numFmtId="0" fontId="18" fillId="0" borderId="115" xfId="0" applyFont="1" applyBorder="1" applyAlignment="1">
      <alignment horizontal="center" wrapText="1"/>
    </xf>
    <xf numFmtId="0" fontId="19" fillId="9" borderId="118" xfId="0" applyFont="1" applyFill="1" applyBorder="1" applyAlignment="1">
      <alignment horizontal="center"/>
    </xf>
    <xf numFmtId="0" fontId="19" fillId="9" borderId="140" xfId="0" applyFont="1" applyFill="1" applyBorder="1" applyAlignment="1">
      <alignment horizontal="center"/>
    </xf>
    <xf numFmtId="0" fontId="21" fillId="0" borderId="148" xfId="0" applyFont="1" applyBorder="1" applyAlignment="1">
      <alignment horizontal="left" vertical="center" indent="1"/>
    </xf>
    <xf numFmtId="0" fontId="21" fillId="0" borderId="151" xfId="0" applyFont="1" applyBorder="1" applyAlignment="1">
      <alignment horizontal="left" vertical="center" indent="1"/>
    </xf>
    <xf numFmtId="167" fontId="20" fillId="10" borderId="149" xfId="0" applyNumberFormat="1" applyFont="1" applyFill="1" applyBorder="1" applyAlignment="1" applyProtection="1">
      <alignment horizontal="right" vertical="center" indent="1"/>
      <protection locked="0"/>
    </xf>
    <xf numFmtId="167" fontId="20" fillId="10" borderId="60" xfId="0" applyNumberFormat="1" applyFont="1" applyFill="1" applyBorder="1" applyAlignment="1" applyProtection="1">
      <alignment horizontal="right" vertical="center" indent="1"/>
      <protection locked="0"/>
    </xf>
    <xf numFmtId="0" fontId="20" fillId="0" borderId="150" xfId="0" applyFont="1" applyBorder="1" applyAlignment="1">
      <alignment horizontal="left" vertical="center"/>
    </xf>
    <xf numFmtId="0" fontId="20" fillId="0" borderId="74" xfId="0" applyFont="1" applyBorder="1" applyAlignment="1">
      <alignment horizontal="left" vertical="center"/>
    </xf>
    <xf numFmtId="0" fontId="20" fillId="10" borderId="60" xfId="0" applyFont="1" applyFill="1" applyBorder="1" applyAlignment="1" applyProtection="1">
      <alignment horizontal="right" vertical="center" indent="1"/>
      <protection locked="0"/>
    </xf>
    <xf numFmtId="0" fontId="21" fillId="0" borderId="152" xfId="0" applyFont="1" applyBorder="1" applyAlignment="1">
      <alignment horizontal="left" vertical="center" indent="1"/>
    </xf>
    <xf numFmtId="0" fontId="20" fillId="10" borderId="86" xfId="0" applyFont="1" applyFill="1" applyBorder="1" applyAlignment="1" applyProtection="1">
      <alignment horizontal="right" vertical="center" indent="1"/>
      <protection locked="0"/>
    </xf>
    <xf numFmtId="0" fontId="62" fillId="0" borderId="74" xfId="0" applyFont="1" applyBorder="1" applyAlignment="1">
      <alignment horizontal="left" vertical="center"/>
    </xf>
    <xf numFmtId="0" fontId="62" fillId="0" borderId="87" xfId="0" applyFont="1" applyBorder="1" applyAlignment="1">
      <alignment horizontal="left" vertical="center"/>
    </xf>
    <xf numFmtId="0" fontId="21" fillId="15" borderId="233" xfId="0" applyFont="1" applyFill="1" applyBorder="1" applyAlignment="1">
      <alignment horizontal="left" vertical="center" indent="1"/>
    </xf>
    <xf numFmtId="0" fontId="21" fillId="15" borderId="236" xfId="0" applyFont="1" applyFill="1" applyBorder="1" applyAlignment="1">
      <alignment horizontal="left" vertical="center" indent="1"/>
    </xf>
    <xf numFmtId="167" fontId="20" fillId="15" borderId="273" xfId="0" applyNumberFormat="1" applyFont="1" applyFill="1" applyBorder="1" applyAlignment="1">
      <alignment horizontal="right" vertical="center" indent="1"/>
    </xf>
    <xf numFmtId="167" fontId="20" fillId="15" borderId="115" xfId="0" applyNumberFormat="1" applyFont="1" applyFill="1" applyBorder="1" applyAlignment="1">
      <alignment horizontal="right" vertical="center" indent="1"/>
    </xf>
    <xf numFmtId="0" fontId="20" fillId="15" borderId="234" xfId="0" applyFont="1" applyFill="1" applyBorder="1" applyAlignment="1">
      <alignment horizontal="center" vertical="center"/>
    </xf>
    <xf numFmtId="0" fontId="20" fillId="15" borderId="237" xfId="0" applyFont="1" applyFill="1" applyBorder="1" applyAlignment="1">
      <alignment horizontal="center" vertical="center"/>
    </xf>
    <xf numFmtId="165" fontId="63" fillId="0" borderId="0" xfId="0" applyNumberFormat="1" applyFont="1" applyAlignment="1" applyProtection="1">
      <alignment horizontal="left" vertical="top" wrapText="1" indent="1"/>
    </xf>
    <xf numFmtId="0" fontId="0" fillId="0" borderId="0" xfId="0" applyAlignment="1">
      <alignment horizontal="center" vertical="center"/>
    </xf>
    <xf numFmtId="0" fontId="49" fillId="0" borderId="0" xfId="0" applyFont="1" applyAlignment="1">
      <alignment horizontal="center" vertical="top" textRotation="90"/>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54" fillId="0" borderId="76" xfId="0" applyFont="1" applyBorder="1" applyAlignment="1">
      <alignment horizontal="center"/>
    </xf>
    <xf numFmtId="0" fontId="13" fillId="9" borderId="41" xfId="0" applyFont="1" applyFill="1" applyBorder="1" applyAlignment="1">
      <alignment horizontal="center" vertical="center" shrinkToFit="1"/>
    </xf>
    <xf numFmtId="0" fontId="13" fillId="9" borderId="43" xfId="0" applyFont="1" applyFill="1" applyBorder="1" applyAlignment="1">
      <alignment horizontal="center" vertical="center" shrinkToFit="1"/>
    </xf>
    <xf numFmtId="0" fontId="14" fillId="9" borderId="58" xfId="0" applyFont="1" applyFill="1" applyBorder="1" applyAlignment="1">
      <alignment horizontal="center" vertical="center" shrinkToFit="1"/>
    </xf>
    <xf numFmtId="0" fontId="14" fillId="9" borderId="42" xfId="0" applyFont="1" applyFill="1" applyBorder="1" applyAlignment="1">
      <alignment horizontal="center" vertical="center" shrinkToFit="1"/>
    </xf>
    <xf numFmtId="0" fontId="14" fillId="9" borderId="59" xfId="0" applyFont="1" applyFill="1" applyBorder="1" applyAlignment="1">
      <alignment horizontal="center" vertical="center" shrinkToFit="1"/>
    </xf>
    <xf numFmtId="0" fontId="14" fillId="9" borderId="263" xfId="0" applyFont="1" applyFill="1" applyBorder="1" applyAlignment="1">
      <alignment horizontal="center" vertical="center" shrinkToFit="1"/>
    </xf>
    <xf numFmtId="0" fontId="14" fillId="9" borderId="264" xfId="0" applyFont="1" applyFill="1" applyBorder="1" applyAlignment="1">
      <alignment horizontal="center" vertical="center" shrinkToFit="1"/>
    </xf>
    <xf numFmtId="0" fontId="14" fillId="9" borderId="265" xfId="0" applyFont="1" applyFill="1" applyBorder="1" applyAlignment="1">
      <alignment horizontal="center" vertical="center" shrinkToFit="1"/>
    </xf>
    <xf numFmtId="0" fontId="37" fillId="0" borderId="0" xfId="0" applyFont="1" applyAlignment="1">
      <alignment horizontal="center"/>
    </xf>
    <xf numFmtId="0" fontId="14" fillId="9" borderId="37"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3" xfId="0" applyFont="1" applyFill="1" applyBorder="1" applyAlignment="1">
      <alignment horizontal="center" vertical="center"/>
    </xf>
    <xf numFmtId="0" fontId="14" fillId="9" borderId="34" xfId="0" applyFont="1" applyFill="1" applyBorder="1" applyAlignment="1">
      <alignment horizontal="center" vertical="center"/>
    </xf>
    <xf numFmtId="0" fontId="14" fillId="9" borderId="84" xfId="0" applyFont="1" applyFill="1" applyBorder="1" applyAlignment="1">
      <alignment horizontal="center" vertical="center"/>
    </xf>
    <xf numFmtId="0" fontId="14" fillId="9" borderId="307" xfId="0" applyFont="1" applyFill="1" applyBorder="1" applyAlignment="1">
      <alignment horizontal="center" vertical="center"/>
    </xf>
    <xf numFmtId="0" fontId="14" fillId="9" borderId="308" xfId="0" applyFont="1" applyFill="1" applyBorder="1" applyAlignment="1">
      <alignment horizontal="center" vertical="center"/>
    </xf>
    <xf numFmtId="0" fontId="14" fillId="9" borderId="28" xfId="0" applyFont="1" applyFill="1" applyBorder="1" applyAlignment="1">
      <alignment horizontal="center" vertical="center"/>
    </xf>
    <xf numFmtId="0" fontId="55" fillId="16" borderId="195" xfId="0" applyFont="1" applyFill="1" applyBorder="1" applyAlignment="1" applyProtection="1">
      <alignment horizontal="center" vertical="center"/>
    </xf>
    <xf numFmtId="0" fontId="55" fillId="16" borderId="196" xfId="0" applyFont="1" applyFill="1" applyBorder="1" applyAlignment="1" applyProtection="1">
      <alignment horizontal="center" vertical="center"/>
    </xf>
    <xf numFmtId="0" fontId="55" fillId="16" borderId="300" xfId="0" applyFont="1" applyFill="1" applyBorder="1" applyAlignment="1" applyProtection="1">
      <alignment horizontal="center" vertical="center"/>
    </xf>
    <xf numFmtId="0" fontId="55" fillId="16" borderId="197" xfId="0" applyFont="1" applyFill="1" applyBorder="1" applyAlignment="1" applyProtection="1">
      <alignment horizontal="center" vertical="center"/>
    </xf>
    <xf numFmtId="0" fontId="55" fillId="16" borderId="198" xfId="0" applyFont="1" applyFill="1" applyBorder="1" applyAlignment="1" applyProtection="1">
      <alignment horizontal="center" vertical="center"/>
    </xf>
    <xf numFmtId="0" fontId="55" fillId="16" borderId="301" xfId="0" applyFont="1" applyFill="1" applyBorder="1" applyAlignment="1" applyProtection="1">
      <alignment horizontal="center" vertical="center"/>
    </xf>
    <xf numFmtId="0" fontId="17" fillId="10" borderId="250" xfId="0" applyFont="1" applyFill="1" applyBorder="1" applyAlignment="1" applyProtection="1">
      <alignment horizontal="center" vertical="top"/>
      <protection locked="0"/>
    </xf>
    <xf numFmtId="0" fontId="17" fillId="10" borderId="251" xfId="0" applyFont="1" applyFill="1" applyBorder="1" applyAlignment="1" applyProtection="1">
      <alignment horizontal="center" vertical="top"/>
      <protection locked="0"/>
    </xf>
    <xf numFmtId="0" fontId="17" fillId="10" borderId="252" xfId="0" applyFont="1" applyFill="1" applyBorder="1" applyAlignment="1" applyProtection="1">
      <alignment horizontal="center" vertical="top"/>
      <protection locked="0"/>
    </xf>
    <xf numFmtId="14" fontId="26" fillId="10" borderId="253" xfId="0" applyNumberFormat="1" applyFont="1" applyFill="1" applyBorder="1" applyAlignment="1" applyProtection="1">
      <alignment horizontal="center" vertical="center"/>
      <protection locked="0"/>
    </xf>
    <xf numFmtId="14" fontId="26" fillId="10" borderId="203" xfId="0" applyNumberFormat="1" applyFont="1" applyFill="1" applyBorder="1" applyAlignment="1" applyProtection="1">
      <alignment horizontal="center" vertical="center"/>
      <protection locked="0"/>
    </xf>
    <xf numFmtId="14" fontId="26" fillId="10" borderId="254" xfId="0" applyNumberFormat="1" applyFont="1" applyFill="1" applyBorder="1" applyAlignment="1" applyProtection="1">
      <alignment horizontal="center" vertical="center"/>
      <protection locked="0"/>
    </xf>
    <xf numFmtId="0" fontId="26" fillId="10" borderId="253" xfId="0" applyFont="1" applyFill="1" applyBorder="1" applyAlignment="1" applyProtection="1">
      <alignment horizontal="center" vertical="center"/>
      <protection locked="0"/>
    </xf>
    <xf numFmtId="0" fontId="26" fillId="10" borderId="203" xfId="0" applyFont="1" applyFill="1" applyBorder="1" applyAlignment="1" applyProtection="1">
      <alignment horizontal="center" vertical="center"/>
      <protection locked="0"/>
    </xf>
    <xf numFmtId="0" fontId="26" fillId="10" borderId="254" xfId="0" applyFont="1" applyFill="1" applyBorder="1" applyAlignment="1" applyProtection="1">
      <alignment horizontal="center" vertical="center"/>
      <protection locked="0"/>
    </xf>
    <xf numFmtId="0" fontId="26" fillId="10" borderId="255" xfId="0" applyFont="1" applyFill="1" applyBorder="1" applyAlignment="1" applyProtection="1">
      <alignment horizontal="center" vertical="center"/>
      <protection locked="0"/>
    </xf>
    <xf numFmtId="0" fontId="26" fillId="10" borderId="256" xfId="0" applyFont="1" applyFill="1" applyBorder="1" applyAlignment="1" applyProtection="1">
      <alignment horizontal="center" vertical="center"/>
      <protection locked="0"/>
    </xf>
    <xf numFmtId="0" fontId="26" fillId="10" borderId="257" xfId="0" applyFont="1" applyFill="1" applyBorder="1" applyAlignment="1" applyProtection="1">
      <alignment horizontal="center" vertical="center"/>
      <protection locked="0"/>
    </xf>
    <xf numFmtId="0" fontId="75" fillId="0" borderId="0" xfId="0" applyFont="1" applyAlignment="1">
      <alignment horizontal="center" vertical="top" wrapText="1"/>
    </xf>
    <xf numFmtId="0" fontId="58" fillId="0" borderId="250" xfId="0" applyFont="1" applyBorder="1" applyAlignment="1">
      <alignment horizontal="center" vertical="center"/>
    </xf>
    <xf numFmtId="0" fontId="58" fillId="0" borderId="251" xfId="0" applyFont="1" applyBorder="1" applyAlignment="1">
      <alignment horizontal="center" vertical="center"/>
    </xf>
    <xf numFmtId="0" fontId="58" fillId="0" borderId="252" xfId="0" applyFont="1" applyBorder="1" applyAlignment="1">
      <alignment horizontal="center" vertical="center"/>
    </xf>
    <xf numFmtId="14" fontId="59" fillId="0" borderId="253" xfId="0" applyNumberFormat="1" applyFont="1" applyBorder="1" applyAlignment="1">
      <alignment horizontal="center" vertical="center"/>
    </xf>
    <xf numFmtId="14" fontId="59" fillId="0" borderId="203" xfId="0" applyNumberFormat="1" applyFont="1" applyBorder="1" applyAlignment="1">
      <alignment horizontal="center" vertical="center"/>
    </xf>
    <xf numFmtId="14" fontId="59" fillId="0" borderId="254" xfId="0" applyNumberFormat="1" applyFont="1" applyBorder="1" applyAlignment="1">
      <alignment horizontal="center" vertical="center"/>
    </xf>
    <xf numFmtId="0" fontId="59" fillId="0" borderId="253" xfId="0" applyFont="1" applyBorder="1" applyAlignment="1">
      <alignment horizontal="center" vertical="center"/>
    </xf>
    <xf numFmtId="0" fontId="59" fillId="0" borderId="203" xfId="0" applyFont="1" applyBorder="1" applyAlignment="1">
      <alignment horizontal="center" vertical="center"/>
    </xf>
    <xf numFmtId="0" fontId="59" fillId="0" borderId="254" xfId="0" applyFont="1" applyBorder="1" applyAlignment="1">
      <alignment horizontal="center" vertical="center"/>
    </xf>
    <xf numFmtId="0" fontId="59" fillId="0" borderId="255" xfId="0" applyFont="1" applyBorder="1" applyAlignment="1">
      <alignment horizontal="center" vertical="center"/>
    </xf>
    <xf numFmtId="0" fontId="59" fillId="0" borderId="256" xfId="0" applyFont="1" applyBorder="1" applyAlignment="1">
      <alignment horizontal="center" vertical="center"/>
    </xf>
    <xf numFmtId="0" fontId="59" fillId="0" borderId="257" xfId="0" applyFont="1" applyBorder="1" applyAlignment="1">
      <alignment horizontal="center" vertical="center"/>
    </xf>
    <xf numFmtId="0" fontId="60" fillId="16" borderId="0" xfId="0" applyFont="1" applyFill="1" applyBorder="1" applyAlignment="1">
      <alignment horizontal="center" vertical="center"/>
    </xf>
    <xf numFmtId="0" fontId="14" fillId="9" borderId="228" xfId="0" applyFont="1" applyFill="1" applyBorder="1" applyAlignment="1">
      <alignment horizontal="center" vertical="center"/>
    </xf>
    <xf numFmtId="0" fontId="14" fillId="9" borderId="137" xfId="0" applyFont="1" applyFill="1" applyBorder="1" applyAlignment="1">
      <alignment horizontal="center" vertical="center"/>
    </xf>
    <xf numFmtId="0" fontId="14" fillId="9" borderId="120" xfId="0" applyFont="1" applyFill="1" applyBorder="1" applyAlignment="1">
      <alignment horizontal="center" vertical="center"/>
    </xf>
    <xf numFmtId="0" fontId="14" fillId="9" borderId="262" xfId="0" applyFont="1" applyFill="1" applyBorder="1" applyAlignment="1">
      <alignment horizontal="center" vertical="center"/>
    </xf>
    <xf numFmtId="0" fontId="30" fillId="9" borderId="228" xfId="0" applyFont="1" applyFill="1" applyBorder="1" applyAlignment="1">
      <alignment horizontal="center" vertical="center"/>
    </xf>
    <xf numFmtId="0" fontId="30" fillId="9" borderId="137" xfId="0" applyFont="1" applyFill="1" applyBorder="1" applyAlignment="1">
      <alignment horizontal="center" vertical="center"/>
    </xf>
    <xf numFmtId="0" fontId="30" fillId="9" borderId="120" xfId="0" applyFont="1" applyFill="1" applyBorder="1" applyAlignment="1">
      <alignment horizontal="center" vertical="center"/>
    </xf>
    <xf numFmtId="0" fontId="71" fillId="0" borderId="76" xfId="0" applyNumberFormat="1" applyFont="1" applyBorder="1" applyAlignment="1">
      <alignment horizontal="center" wrapText="1"/>
    </xf>
    <xf numFmtId="0" fontId="72" fillId="0" borderId="0" xfId="0" applyFont="1" applyAlignment="1">
      <alignment horizontal="center"/>
    </xf>
    <xf numFmtId="0" fontId="39" fillId="0" borderId="60" xfId="0" applyFont="1" applyBorder="1" applyAlignment="1">
      <alignment horizontal="left" vertical="center" indent="1"/>
    </xf>
    <xf numFmtId="0" fontId="39" fillId="0" borderId="74" xfId="0" applyFont="1" applyBorder="1" applyAlignment="1">
      <alignment horizontal="left" vertical="center" indent="1"/>
    </xf>
    <xf numFmtId="0" fontId="39" fillId="0" borderId="61" xfId="0" applyFont="1" applyBorder="1" applyAlignment="1">
      <alignment horizontal="left" vertical="center" indent="1"/>
    </xf>
    <xf numFmtId="0" fontId="39" fillId="0" borderId="200" xfId="0" applyFont="1" applyBorder="1" applyAlignment="1">
      <alignment horizontal="left" vertical="center" indent="1"/>
    </xf>
    <xf numFmtId="0" fontId="21" fillId="15" borderId="0" xfId="0" applyFont="1" applyFill="1" applyAlignment="1">
      <alignment horizontal="right" vertical="center" indent="1"/>
    </xf>
    <xf numFmtId="167" fontId="21" fillId="15" borderId="0" xfId="0" applyNumberFormat="1" applyFont="1" applyFill="1" applyAlignment="1">
      <alignment horizontal="left" vertical="center"/>
    </xf>
    <xf numFmtId="164" fontId="20" fillId="0" borderId="151" xfId="0" applyNumberFormat="1" applyFont="1" applyBorder="1" applyAlignment="1">
      <alignment horizontal="center" vertical="center"/>
    </xf>
    <xf numFmtId="164" fontId="20" fillId="0" borderId="60" xfId="0" applyNumberFormat="1" applyFont="1" applyBorder="1" applyAlignment="1">
      <alignment horizontal="center" vertical="center"/>
    </xf>
    <xf numFmtId="164" fontId="20" fillId="0" borderId="199" xfId="0" applyNumberFormat="1" applyFont="1" applyBorder="1" applyAlignment="1">
      <alignment horizontal="center" vertical="center"/>
    </xf>
    <xf numFmtId="164" fontId="20" fillId="0" borderId="61" xfId="0" applyNumberFormat="1" applyFont="1" applyBorder="1" applyAlignment="1">
      <alignment horizontal="center" vertical="center"/>
    </xf>
    <xf numFmtId="0" fontId="21" fillId="0" borderId="132" xfId="0" applyFont="1" applyBorder="1" applyAlignment="1">
      <alignment horizontal="center" vertical="center"/>
    </xf>
    <xf numFmtId="0" fontId="21" fillId="0" borderId="133" xfId="0" applyFont="1" applyBorder="1" applyAlignment="1">
      <alignment horizontal="center" vertical="center"/>
    </xf>
    <xf numFmtId="164" fontId="20" fillId="18" borderId="148" xfId="0" applyNumberFormat="1" applyFont="1" applyFill="1" applyBorder="1" applyAlignment="1">
      <alignment horizontal="center" vertical="center"/>
    </xf>
    <xf numFmtId="164" fontId="20" fillId="18" borderId="149" xfId="0" applyNumberFormat="1" applyFont="1" applyFill="1" applyBorder="1" applyAlignment="1">
      <alignment horizontal="center" vertical="center"/>
    </xf>
    <xf numFmtId="164" fontId="20" fillId="19" borderId="151" xfId="0" applyNumberFormat="1" applyFont="1" applyFill="1" applyBorder="1" applyAlignment="1">
      <alignment horizontal="center" vertical="center"/>
    </xf>
    <xf numFmtId="164" fontId="20" fillId="19" borderId="60" xfId="0" applyNumberFormat="1" applyFont="1" applyFill="1" applyBorder="1" applyAlignment="1">
      <alignment horizontal="center" vertical="center"/>
    </xf>
    <xf numFmtId="164" fontId="20" fillId="11" borderId="151" xfId="0" applyNumberFormat="1" applyFont="1" applyFill="1" applyBorder="1" applyAlignment="1">
      <alignment horizontal="center" vertical="center"/>
    </xf>
    <xf numFmtId="164" fontId="20" fillId="11" borderId="60" xfId="0" applyNumberFormat="1" applyFont="1" applyFill="1" applyBorder="1" applyAlignment="1">
      <alignment horizontal="center" vertical="center"/>
    </xf>
    <xf numFmtId="0" fontId="21" fillId="0" borderId="133" xfId="0" applyFont="1" applyBorder="1" applyAlignment="1">
      <alignment horizontal="left" vertical="center" indent="1"/>
    </xf>
    <xf numFmtId="0" fontId="21" fillId="0" borderId="134" xfId="0" applyFont="1" applyBorder="1" applyAlignment="1">
      <alignment horizontal="left" vertical="center" indent="1"/>
    </xf>
    <xf numFmtId="0" fontId="39" fillId="18" borderId="149" xfId="0" applyFont="1" applyFill="1" applyBorder="1" applyAlignment="1">
      <alignment horizontal="left" vertical="center" indent="1"/>
    </xf>
    <xf numFmtId="0" fontId="39" fillId="18" borderId="150" xfId="0" applyFont="1" applyFill="1" applyBorder="1" applyAlignment="1">
      <alignment horizontal="left" vertical="center" indent="1"/>
    </xf>
    <xf numFmtId="0" fontId="39" fillId="19" borderId="60" xfId="0" applyFont="1" applyFill="1" applyBorder="1" applyAlignment="1">
      <alignment horizontal="left" vertical="center" indent="1"/>
    </xf>
    <xf numFmtId="0" fontId="39" fillId="19" borderId="74" xfId="0" applyFont="1" applyFill="1" applyBorder="1" applyAlignment="1">
      <alignment horizontal="left" vertical="center" indent="1"/>
    </xf>
    <xf numFmtId="0" fontId="39" fillId="11" borderId="60" xfId="0" applyFont="1" applyFill="1" applyBorder="1" applyAlignment="1">
      <alignment horizontal="left" vertical="center" indent="1"/>
    </xf>
    <xf numFmtId="0" fontId="39" fillId="11" borderId="74" xfId="0" applyFont="1" applyFill="1" applyBorder="1" applyAlignment="1">
      <alignment horizontal="left" vertical="center" indent="1"/>
    </xf>
    <xf numFmtId="0" fontId="14" fillId="9" borderId="134" xfId="0" applyFont="1" applyFill="1" applyBorder="1" applyAlignment="1">
      <alignment horizontal="center" vertical="center"/>
    </xf>
    <xf numFmtId="0" fontId="14" fillId="9" borderId="302" xfId="0" applyFont="1" applyFill="1" applyBorder="1" applyAlignment="1">
      <alignment horizontal="center" vertical="center"/>
    </xf>
    <xf numFmtId="0" fontId="14" fillId="9" borderId="132" xfId="0" applyFont="1" applyFill="1" applyBorder="1" applyAlignment="1">
      <alignment horizontal="center" vertical="center"/>
    </xf>
    <xf numFmtId="0" fontId="14" fillId="9" borderId="133" xfId="0" applyFont="1" applyFill="1" applyBorder="1" applyAlignment="1">
      <alignment horizontal="center" vertical="center"/>
    </xf>
    <xf numFmtId="0" fontId="18" fillId="0" borderId="0" xfId="0" applyFont="1" applyAlignment="1">
      <alignment horizontal="center" vertical="center" wrapText="1"/>
    </xf>
    <xf numFmtId="0" fontId="18" fillId="0" borderId="115" xfId="0" applyFont="1" applyBorder="1" applyAlignment="1">
      <alignment horizontal="center" vertical="center" wrapText="1"/>
    </xf>
    <xf numFmtId="0" fontId="60" fillId="16" borderId="195" xfId="0" applyFont="1" applyFill="1" applyBorder="1" applyAlignment="1">
      <alignment horizontal="center" vertical="center"/>
    </xf>
    <xf numFmtId="0" fontId="60" fillId="16" borderId="196" xfId="0" applyFont="1" applyFill="1" applyBorder="1" applyAlignment="1">
      <alignment horizontal="center" vertical="center"/>
    </xf>
    <xf numFmtId="0" fontId="60" fillId="16" borderId="300" xfId="0" applyFont="1" applyFill="1" applyBorder="1" applyAlignment="1">
      <alignment horizontal="center" vertical="center"/>
    </xf>
    <xf numFmtId="0" fontId="60" fillId="16" borderId="197" xfId="0" applyFont="1" applyFill="1" applyBorder="1" applyAlignment="1">
      <alignment horizontal="center" vertical="center"/>
    </xf>
    <xf numFmtId="0" fontId="60" fillId="16" borderId="198" xfId="0" applyFont="1" applyFill="1" applyBorder="1" applyAlignment="1">
      <alignment horizontal="center" vertical="center"/>
    </xf>
    <xf numFmtId="0" fontId="60" fillId="16" borderId="301" xfId="0" applyFont="1" applyFill="1" applyBorder="1" applyAlignment="1">
      <alignment horizontal="center" vertical="center"/>
    </xf>
    <xf numFmtId="0" fontId="21" fillId="17" borderId="206" xfId="0" applyFont="1" applyFill="1" applyBorder="1" applyAlignment="1" applyProtection="1">
      <alignment horizontal="center" vertical="center"/>
    </xf>
    <xf numFmtId="0" fontId="21" fillId="17" borderId="149" xfId="0" applyFont="1" applyFill="1" applyBorder="1" applyAlignment="1" applyProtection="1">
      <alignment horizontal="center" vertical="center"/>
    </xf>
    <xf numFmtId="0" fontId="21" fillId="17" borderId="207" xfId="0" applyFont="1" applyFill="1" applyBorder="1" applyAlignment="1" applyProtection="1">
      <alignment horizontal="center" vertical="center"/>
    </xf>
    <xf numFmtId="0" fontId="21" fillId="17" borderId="57" xfId="0" applyFont="1" applyFill="1" applyBorder="1" applyAlignment="1" applyProtection="1">
      <alignment horizontal="center" vertical="center"/>
    </xf>
    <xf numFmtId="0" fontId="21" fillId="17" borderId="61" xfId="0" applyFont="1" applyFill="1" applyBorder="1" applyAlignment="1" applyProtection="1">
      <alignment horizontal="center" vertical="center"/>
    </xf>
    <xf numFmtId="0" fontId="21" fillId="17" borderId="56" xfId="0" applyFont="1" applyFill="1" applyBorder="1" applyAlignment="1" applyProtection="1">
      <alignment horizontal="center" vertical="center"/>
    </xf>
    <xf numFmtId="167" fontId="24" fillId="0" borderId="76" xfId="0" applyNumberFormat="1" applyFont="1" applyBorder="1" applyAlignment="1">
      <alignment horizontal="left"/>
    </xf>
    <xf numFmtId="167" fontId="24" fillId="0" borderId="243" xfId="0" applyNumberFormat="1" applyFont="1" applyBorder="1" applyAlignment="1">
      <alignment horizontal="left"/>
    </xf>
    <xf numFmtId="0" fontId="21" fillId="0" borderId="133" xfId="0" applyFont="1" applyBorder="1" applyAlignment="1">
      <alignment horizontal="left" vertical="center"/>
    </xf>
    <xf numFmtId="0" fontId="21" fillId="0" borderId="134" xfId="0" applyFont="1" applyBorder="1" applyAlignment="1">
      <alignment horizontal="left" vertical="center"/>
    </xf>
    <xf numFmtId="0" fontId="60" fillId="16" borderId="229" xfId="0" applyFont="1" applyFill="1" applyBorder="1" applyAlignment="1">
      <alignment horizontal="center" vertical="center"/>
    </xf>
    <xf numFmtId="0" fontId="60" fillId="16" borderId="230" xfId="0" applyFont="1" applyFill="1" applyBorder="1" applyAlignment="1">
      <alignment horizontal="center" vertical="center"/>
    </xf>
    <xf numFmtId="0" fontId="60" fillId="16" borderId="305" xfId="0" applyFont="1" applyFill="1" applyBorder="1" applyAlignment="1">
      <alignment horizontal="center" vertical="center"/>
    </xf>
    <xf numFmtId="0" fontId="60" fillId="16" borderId="231" xfId="0" applyFont="1" applyFill="1" applyBorder="1" applyAlignment="1">
      <alignment horizontal="center" vertical="center"/>
    </xf>
    <xf numFmtId="0" fontId="60" fillId="16" borderId="232" xfId="0" applyFont="1" applyFill="1" applyBorder="1" applyAlignment="1">
      <alignment horizontal="center" vertical="center"/>
    </xf>
    <xf numFmtId="0" fontId="60" fillId="16" borderId="306" xfId="0" applyFont="1" applyFill="1" applyBorder="1" applyAlignment="1">
      <alignment horizontal="center" vertical="center"/>
    </xf>
    <xf numFmtId="0" fontId="18" fillId="0" borderId="0" xfId="0" applyFont="1" applyBorder="1" applyAlignment="1">
      <alignment horizontal="center" wrapText="1"/>
    </xf>
    <xf numFmtId="0" fontId="13" fillId="9" borderId="266" xfId="0" applyFont="1" applyFill="1" applyBorder="1" applyAlignment="1">
      <alignment horizontal="center" vertical="center" shrinkToFit="1"/>
    </xf>
    <xf numFmtId="0" fontId="13" fillId="9" borderId="267" xfId="0" applyFont="1" applyFill="1" applyBorder="1" applyAlignment="1">
      <alignment horizontal="center" vertical="center" shrinkToFit="1"/>
    </xf>
    <xf numFmtId="0" fontId="21" fillId="15" borderId="0" xfId="0" applyFont="1" applyFill="1" applyAlignment="1">
      <alignment horizontal="right" vertical="center"/>
    </xf>
    <xf numFmtId="167" fontId="21" fillId="15" borderId="0" xfId="0" applyNumberFormat="1" applyFont="1" applyFill="1" applyAlignment="1">
      <alignment horizontal="left" vertical="center" indent="1"/>
    </xf>
    <xf numFmtId="0" fontId="54" fillId="0" borderId="76" xfId="0" applyFont="1" applyBorder="1" applyAlignment="1">
      <alignment horizontal="left"/>
    </xf>
    <xf numFmtId="0" fontId="14" fillId="9" borderId="118" xfId="0" applyFont="1" applyFill="1" applyBorder="1" applyAlignment="1">
      <alignment horizontal="center" vertical="center"/>
    </xf>
    <xf numFmtId="0" fontId="60" fillId="16" borderId="269" xfId="0" applyFont="1" applyFill="1" applyBorder="1" applyAlignment="1">
      <alignment horizontal="center" vertical="center"/>
    </xf>
    <xf numFmtId="0" fontId="60" fillId="16" borderId="270" xfId="0" applyFont="1" applyFill="1" applyBorder="1" applyAlignment="1">
      <alignment horizontal="center" vertical="center"/>
    </xf>
    <xf numFmtId="0" fontId="25" fillId="0" borderId="0" xfId="0" applyFont="1" applyAlignment="1">
      <alignment horizontal="center" vertical="center"/>
    </xf>
    <xf numFmtId="0" fontId="61" fillId="0" borderId="0" xfId="0" applyFont="1" applyAlignment="1">
      <alignment horizontal="center" vertical="top"/>
    </xf>
    <xf numFmtId="0" fontId="44" fillId="0" borderId="0" xfId="0" applyFont="1" applyAlignment="1">
      <alignment horizontal="left" vertical="center"/>
    </xf>
    <xf numFmtId="0" fontId="34" fillId="13" borderId="100" xfId="0" applyFont="1" applyFill="1" applyBorder="1" applyAlignment="1">
      <alignment horizontal="center" vertical="center" wrapText="1"/>
    </xf>
    <xf numFmtId="0" fontId="34" fillId="13" borderId="102" xfId="0" applyFont="1" applyFill="1" applyBorder="1" applyAlignment="1">
      <alignment horizontal="center" vertical="center"/>
    </xf>
    <xf numFmtId="0" fontId="33" fillId="0" borderId="95"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97" xfId="0" applyBorder="1" applyAlignment="1" applyProtection="1">
      <alignment horizontal="center"/>
      <protection locked="0"/>
    </xf>
    <xf numFmtId="0" fontId="38" fillId="14" borderId="98" xfId="0" applyFont="1" applyFill="1" applyBorder="1" applyAlignment="1">
      <alignment horizontal="center" vertical="center" wrapText="1"/>
    </xf>
    <xf numFmtId="0" fontId="38" fillId="14" borderId="101" xfId="0" applyFont="1" applyFill="1" applyBorder="1" applyAlignment="1">
      <alignment horizontal="center" vertical="center"/>
    </xf>
    <xf numFmtId="0" fontId="38" fillId="12" borderId="164" xfId="0" applyFont="1" applyFill="1" applyBorder="1" applyAlignment="1">
      <alignment horizontal="center" vertical="center" wrapText="1"/>
    </xf>
    <xf numFmtId="0" fontId="38" fillId="12" borderId="165" xfId="0" applyFont="1" applyFill="1" applyBorder="1" applyAlignment="1">
      <alignment horizontal="center" vertical="center"/>
    </xf>
    <xf numFmtId="0" fontId="18" fillId="11" borderId="110" xfId="0" applyFont="1" applyFill="1" applyBorder="1" applyAlignment="1" applyProtection="1">
      <alignment horizontal="center"/>
    </xf>
    <xf numFmtId="0" fontId="18" fillId="11" borderId="111" xfId="0" applyFont="1" applyFill="1" applyBorder="1" applyAlignment="1" applyProtection="1">
      <alignment horizontal="center"/>
    </xf>
    <xf numFmtId="0" fontId="18" fillId="11" borderId="160" xfId="0" applyFont="1" applyFill="1" applyBorder="1" applyAlignment="1" applyProtection="1">
      <alignment horizontal="center"/>
    </xf>
    <xf numFmtId="0" fontId="18" fillId="11" borderId="91" xfId="0" applyFont="1" applyFill="1" applyBorder="1" applyAlignment="1" applyProtection="1">
      <alignment horizontal="center"/>
    </xf>
    <xf numFmtId="0" fontId="18" fillId="11" borderId="92" xfId="0" applyFont="1" applyFill="1" applyBorder="1" applyAlignment="1" applyProtection="1">
      <alignment horizontal="center"/>
    </xf>
    <xf numFmtId="0" fontId="18" fillId="11" borderId="159" xfId="0" applyFont="1" applyFill="1" applyBorder="1" applyAlignment="1" applyProtection="1">
      <alignment horizontal="center"/>
    </xf>
    <xf numFmtId="0" fontId="18" fillId="11" borderId="93"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94" xfId="0" applyFont="1" applyFill="1" applyBorder="1" applyAlignment="1" applyProtection="1">
      <alignment horizontal="center" vertical="center"/>
    </xf>
    <xf numFmtId="0" fontId="29" fillId="11" borderId="93"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94" xfId="3" applyFill="1" applyBorder="1" applyAlignment="1" applyProtection="1">
      <alignment horizontal="center" vertical="center"/>
      <protection locked="0"/>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12" fillId="0" borderId="76" xfId="0" applyNumberFormat="1" applyFont="1" applyFill="1" applyBorder="1" applyAlignment="1" applyProtection="1">
      <alignment horizontal="center" vertical="center"/>
      <protection hidden="1"/>
    </xf>
    <xf numFmtId="3" fontId="7" fillId="0" borderId="119" xfId="0" applyNumberFormat="1" applyFont="1" applyFill="1" applyBorder="1" applyAlignment="1" applyProtection="1">
      <alignment horizontal="center" vertical="center"/>
      <protection hidden="1"/>
    </xf>
    <xf numFmtId="0" fontId="7" fillId="0" borderId="119" xfId="0" applyNumberFormat="1" applyFont="1" applyFill="1" applyBorder="1" applyAlignment="1" applyProtection="1">
      <alignment horizontal="center" vertical="center"/>
      <protection hidden="1"/>
    </xf>
    <xf numFmtId="0" fontId="12" fillId="0" borderId="25"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48" fillId="0" borderId="170" xfId="0" applyNumberFormat="1" applyFont="1" applyBorder="1" applyAlignment="1">
      <alignment horizontal="center" vertical="center"/>
    </xf>
    <xf numFmtId="0" fontId="48" fillId="0" borderId="171" xfId="0" applyNumberFormat="1" applyFont="1" applyBorder="1" applyAlignment="1">
      <alignment horizontal="center" vertical="center"/>
    </xf>
    <xf numFmtId="0" fontId="48" fillId="0" borderId="172" xfId="0" applyNumberFormat="1" applyFont="1" applyBorder="1" applyAlignment="1">
      <alignment horizontal="center" vertical="center"/>
    </xf>
    <xf numFmtId="0" fontId="7" fillId="0" borderId="42" xfId="0" applyNumberFormat="1" applyFont="1" applyFill="1" applyBorder="1" applyAlignment="1" applyProtection="1">
      <alignment horizontal="left" vertical="center" shrinkToFit="1"/>
      <protection hidden="1"/>
    </xf>
    <xf numFmtId="0" fontId="7" fillId="0" borderId="43" xfId="0" applyNumberFormat="1" applyFont="1" applyFill="1" applyBorder="1" applyAlignment="1" applyProtection="1">
      <alignment horizontal="left" vertical="center" shrinkToFit="1"/>
      <protection hidden="1"/>
    </xf>
    <xf numFmtId="0" fontId="7" fillId="0" borderId="0" xfId="0" applyNumberFormat="1" applyFont="1" applyFill="1" applyBorder="1" applyAlignment="1" applyProtection="1">
      <alignment horizontal="left" vertical="center" shrinkToFit="1"/>
      <protection hidden="1"/>
    </xf>
    <xf numFmtId="0" fontId="7" fillId="0" borderId="45" xfId="0" applyNumberFormat="1" applyFont="1" applyFill="1" applyBorder="1" applyAlignment="1" applyProtection="1">
      <alignment horizontal="left" vertical="center" shrinkToFit="1"/>
      <protection hidden="1"/>
    </xf>
    <xf numFmtId="0" fontId="7" fillId="0" borderId="76" xfId="0" applyNumberFormat="1" applyFont="1" applyFill="1" applyBorder="1" applyAlignment="1" applyProtection="1">
      <alignment horizontal="left" vertical="center" shrinkToFit="1"/>
      <protection hidden="1"/>
    </xf>
    <xf numFmtId="0" fontId="7" fillId="0" borderId="47" xfId="0" applyNumberFormat="1" applyFont="1" applyFill="1" applyBorder="1" applyAlignment="1" applyProtection="1">
      <alignment horizontal="left" vertical="center" shrinkToFit="1"/>
      <protection hidden="1"/>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48" fillId="0" borderId="0" xfId="0" applyNumberFormat="1" applyFont="1" applyFill="1" applyBorder="1" applyAlignment="1">
      <alignment horizontal="center" vertical="center"/>
    </xf>
    <xf numFmtId="0" fontId="76" fillId="0" borderId="0" xfId="0" applyFont="1"/>
    <xf numFmtId="0" fontId="76"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0" fontId="76" fillId="0" borderId="0" xfId="0" applyFont="1" applyAlignment="1">
      <alignment horizontal="left"/>
    </xf>
    <xf numFmtId="0" fontId="20" fillId="0" borderId="154" xfId="0" applyFont="1" applyFill="1" applyBorder="1" applyAlignment="1" applyProtection="1">
      <alignment horizontal="right" vertical="center" shrinkToFit="1"/>
    </xf>
    <xf numFmtId="0" fontId="20" fillId="0" borderId="60" xfId="0" applyFont="1" applyFill="1" applyBorder="1" applyAlignment="1" applyProtection="1">
      <alignment horizontal="right" vertical="center" shrinkToFit="1"/>
    </xf>
    <xf numFmtId="0" fontId="20" fillId="0" borderId="61" xfId="0" applyFont="1" applyFill="1" applyBorder="1" applyAlignment="1" applyProtection="1">
      <alignment horizontal="right" vertical="center" shrinkToFit="1"/>
    </xf>
    <xf numFmtId="0" fontId="20" fillId="0" borderId="154" xfId="0" applyFont="1" applyFill="1" applyBorder="1" applyAlignment="1" applyProtection="1">
      <alignment horizontal="left" vertical="center" shrinkToFit="1"/>
    </xf>
    <xf numFmtId="0" fontId="20" fillId="0" borderId="60" xfId="0" applyFont="1" applyFill="1" applyBorder="1" applyAlignment="1" applyProtection="1">
      <alignment horizontal="left" vertical="center" shrinkToFit="1"/>
    </xf>
    <xf numFmtId="0" fontId="20" fillId="0" borderId="74" xfId="0" applyFont="1" applyFill="1" applyBorder="1" applyAlignment="1" applyProtection="1">
      <alignment horizontal="left" vertical="center" shrinkToFit="1"/>
    </xf>
    <xf numFmtId="0" fontId="20" fillId="0" borderId="200" xfId="0" applyFont="1" applyFill="1" applyBorder="1" applyAlignment="1" applyProtection="1">
      <alignment horizontal="left" vertical="center" shrinkToFit="1"/>
    </xf>
    <xf numFmtId="0" fontId="57" fillId="0" borderId="0" xfId="0" applyFont="1" applyAlignment="1" applyProtection="1">
      <alignment horizontal="center" vertical="top" wrapText="1"/>
    </xf>
  </cellXfs>
  <cellStyles count="5">
    <cellStyle name="Berechnung" xfId="2" builtinId="22"/>
    <cellStyle name="Link" xfId="3" builtinId="8"/>
    <cellStyle name="Standard" xfId="0" builtinId="0"/>
    <cellStyle name="Standard 2" xfId="1" xr:uid="{00000000-0005-0000-0000-000001000000}"/>
    <cellStyle name="Standard 3" xfId="4" xr:uid="{857DB89F-3FB1-4874-80A1-499964116994}"/>
  </cellStyles>
  <dxfs count="50">
    <dxf>
      <font>
        <b/>
        <i val="0"/>
      </font>
      <fill>
        <patternFill>
          <bgColor rgb="FFFFFF00"/>
        </patternFill>
      </fill>
    </dxf>
    <dxf>
      <font>
        <b/>
        <i val="0"/>
      </font>
      <fill>
        <patternFill>
          <bgColor rgb="FFFFFF00"/>
        </patternFill>
      </fill>
    </dxf>
    <dxf>
      <font>
        <b/>
        <i val="0"/>
      </font>
      <fill>
        <patternFill>
          <bgColor rgb="FFFFFF00"/>
        </patternFill>
      </fill>
    </dxf>
    <dxf>
      <font>
        <color rgb="FFDA0000"/>
      </font>
    </dxf>
    <dxf>
      <font>
        <color rgb="FFDA0000"/>
      </font>
    </dxf>
    <dxf>
      <font>
        <color rgb="FFDA0000"/>
      </font>
    </dxf>
    <dxf>
      <font>
        <color rgb="FFDA0000"/>
      </font>
    </dxf>
    <dxf>
      <numFmt numFmtId="165" formatCode=";;;"/>
    </dxf>
    <dxf>
      <font>
        <color rgb="FFDA0000"/>
      </font>
    </dxf>
    <dxf>
      <font>
        <color rgb="FFDA0000"/>
      </font>
    </dxf>
    <dxf>
      <font>
        <color rgb="FFDA0000"/>
      </font>
    </dxf>
    <dxf>
      <font>
        <color rgb="FFDA0000"/>
      </font>
    </dxf>
    <dxf>
      <numFmt numFmtId="165" formatCode=";;;"/>
    </dxf>
    <dxf>
      <font>
        <color theme="2" tint="-9.9948118533890809E-2"/>
      </font>
    </dxf>
    <dxf>
      <font>
        <color theme="2" tint="-9.9948118533890809E-2"/>
      </font>
    </dxf>
    <dxf>
      <font>
        <color rgb="FFFF0000"/>
      </font>
    </dxf>
    <dxf>
      <font>
        <color theme="2" tint="-0.24994659260841701"/>
      </font>
    </dxf>
    <dxf>
      <font>
        <color rgb="FFFF0000"/>
      </font>
    </dxf>
    <dxf>
      <font>
        <color theme="2" tint="-0.24994659260841701"/>
      </font>
    </dxf>
    <dxf>
      <font>
        <color rgb="FFFF0000"/>
      </font>
    </dxf>
    <dxf>
      <font>
        <color rgb="FFFF0000"/>
      </font>
    </dxf>
    <dxf>
      <font>
        <color theme="2" tint="-9.9948118533890809E-2"/>
      </font>
    </dxf>
    <dxf>
      <font>
        <color rgb="FFFF0000"/>
      </font>
    </dxf>
    <dxf>
      <numFmt numFmtId="165" formatCode=";;;"/>
    </dxf>
    <dxf>
      <font>
        <color rgb="FFFF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FF0000"/>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color rgb="FFDA0000"/>
      </font>
    </dxf>
    <dxf>
      <numFmt numFmtId="165" formatCode=";;;"/>
    </dxf>
    <dxf>
      <font>
        <b/>
        <i val="0"/>
        <color rgb="FFDA0000"/>
      </font>
    </dxf>
    <dxf>
      <font>
        <b/>
        <i val="0"/>
        <color rgb="FFDA0000"/>
      </font>
    </dxf>
    <dxf>
      <font>
        <b/>
        <i val="0"/>
        <color rgb="FFDA0000"/>
      </font>
      <fill>
        <patternFill patternType="none">
          <bgColor auto="1"/>
        </patternFill>
      </fill>
    </dxf>
    <dxf>
      <font>
        <b/>
        <i val="0"/>
        <color rgb="FFFF0000"/>
      </font>
    </dxf>
    <dxf>
      <font>
        <color theme="2" tint="-9.9948118533890809E-2"/>
      </font>
    </dxf>
    <dxf>
      <font>
        <b/>
        <i val="0"/>
        <color rgb="FFDA0000"/>
      </font>
    </dxf>
    <dxf>
      <font>
        <b val="0"/>
        <i val="0"/>
        <color auto="1"/>
      </font>
      <fill>
        <patternFill>
          <bgColor rgb="FFFFB4B4"/>
        </patternFill>
      </fill>
    </dxf>
    <dxf>
      <font>
        <color rgb="FFDA0000"/>
      </font>
    </dxf>
    <dxf>
      <font>
        <color rgb="FFDA0000"/>
      </font>
    </dxf>
    <dxf>
      <font>
        <b/>
        <i val="0"/>
        <color rgb="FFDA0000"/>
      </font>
      <fill>
        <patternFill>
          <bgColor rgb="FFFFFFCC"/>
        </patternFill>
      </fill>
    </dxf>
    <dxf>
      <numFmt numFmtId="30" formatCode="@"/>
    </dxf>
  </dxfs>
  <tableStyles count="0" defaultTableStyle="TableStyleMedium2" defaultPivotStyle="PivotStyleLight16"/>
  <colors>
    <mruColors>
      <color rgb="FFFFFFCC"/>
      <color rgb="FFDA0000"/>
      <color rgb="FFFFB4B4"/>
      <color rgb="FFFFB3B3"/>
      <color rgb="FFFF9999"/>
      <color rgb="FFFDECE3"/>
      <color rgb="FFEDFBDD"/>
      <color rgb="FFE7FAD0"/>
      <color rgb="FFFFF2C9"/>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114300</xdr:rowOff>
    </xdr:from>
    <xdr:to>
      <xdr:col>4</xdr:col>
      <xdr:colOff>85725</xdr:colOff>
      <xdr:row>5</xdr:row>
      <xdr:rowOff>95250</xdr:rowOff>
    </xdr:to>
    <xdr:pic>
      <xdr:nvPicPr>
        <xdr:cNvPr id="4" name="Grafik 3">
          <a:extLst>
            <a:ext uri="{FF2B5EF4-FFF2-40B4-BE49-F238E27FC236}">
              <a16:creationId xmlns:a16="http://schemas.microsoft.com/office/drawing/2014/main" id="{7FD5854B-A4B6-4AD4-95AE-0ACB68679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1581150" cy="1581150"/>
        </a:xfrm>
        <a:prstGeom prst="rect">
          <a:avLst/>
        </a:prstGeom>
      </xdr:spPr>
    </xdr:pic>
    <xdr:clientData/>
  </xdr:twoCellAnchor>
  <xdr:twoCellAnchor editAs="oneCell">
    <xdr:from>
      <xdr:col>4</xdr:col>
      <xdr:colOff>304800</xdr:colOff>
      <xdr:row>1</xdr:row>
      <xdr:rowOff>76200</xdr:rowOff>
    </xdr:from>
    <xdr:to>
      <xdr:col>6</xdr:col>
      <xdr:colOff>152400</xdr:colOff>
      <xdr:row>4</xdr:row>
      <xdr:rowOff>351878</xdr:rowOff>
    </xdr:to>
    <xdr:pic>
      <xdr:nvPicPr>
        <xdr:cNvPr id="3" name="Grafik 2">
          <a:extLst>
            <a:ext uri="{FF2B5EF4-FFF2-40B4-BE49-F238E27FC236}">
              <a16:creationId xmlns:a16="http://schemas.microsoft.com/office/drawing/2014/main" id="{63D49B25-1CBD-4FBF-A122-540794BA35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0" y="2476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123825</xdr:rowOff>
    </xdr:from>
    <xdr:to>
      <xdr:col>3</xdr:col>
      <xdr:colOff>533400</xdr:colOff>
      <xdr:row>5</xdr:row>
      <xdr:rowOff>104775</xdr:rowOff>
    </xdr:to>
    <xdr:pic>
      <xdr:nvPicPr>
        <xdr:cNvPr id="3" name="Grafik 2">
          <a:extLst>
            <a:ext uri="{FF2B5EF4-FFF2-40B4-BE49-F238E27FC236}">
              <a16:creationId xmlns:a16="http://schemas.microsoft.com/office/drawing/2014/main" id="{7B92CFCF-EC8C-41AD-BFC5-9F615C658D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295275"/>
          <a:ext cx="1581150" cy="1581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133350</xdr:rowOff>
    </xdr:from>
    <xdr:to>
      <xdr:col>3</xdr:col>
      <xdr:colOff>619125</xdr:colOff>
      <xdr:row>5</xdr:row>
      <xdr:rowOff>114300</xdr:rowOff>
    </xdr:to>
    <xdr:pic>
      <xdr:nvPicPr>
        <xdr:cNvPr id="3" name="Grafik 2">
          <a:extLst>
            <a:ext uri="{FF2B5EF4-FFF2-40B4-BE49-F238E27FC236}">
              <a16:creationId xmlns:a16="http://schemas.microsoft.com/office/drawing/2014/main" id="{44B7FF45-0530-4F03-8A2D-5FEDC5D2E9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04800"/>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1</xdr:row>
      <xdr:rowOff>76200</xdr:rowOff>
    </xdr:from>
    <xdr:to>
      <xdr:col>5</xdr:col>
      <xdr:colOff>266700</xdr:colOff>
      <xdr:row>4</xdr:row>
      <xdr:rowOff>342353</xdr:rowOff>
    </xdr:to>
    <xdr:pic>
      <xdr:nvPicPr>
        <xdr:cNvPr id="4" name="Grafik 3">
          <a:extLst>
            <a:ext uri="{FF2B5EF4-FFF2-40B4-BE49-F238E27FC236}">
              <a16:creationId xmlns:a16="http://schemas.microsoft.com/office/drawing/2014/main" id="{5DC190E2-D97F-48C8-9630-C16CA1E51A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247650"/>
          <a:ext cx="1962150"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1</xdr:row>
      <xdr:rowOff>180975</xdr:rowOff>
    </xdr:from>
    <xdr:to>
      <xdr:col>4</xdr:col>
      <xdr:colOff>266700</xdr:colOff>
      <xdr:row>5</xdr:row>
      <xdr:rowOff>152400</xdr:rowOff>
    </xdr:to>
    <xdr:pic>
      <xdr:nvPicPr>
        <xdr:cNvPr id="3" name="Grafik 2">
          <a:extLst>
            <a:ext uri="{FF2B5EF4-FFF2-40B4-BE49-F238E27FC236}">
              <a16:creationId xmlns:a16="http://schemas.microsoft.com/office/drawing/2014/main" id="{0C91F4B1-1168-4DA9-8F72-BBF542FF27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352425"/>
          <a:ext cx="1581150" cy="1581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1</xdr:row>
      <xdr:rowOff>142875</xdr:rowOff>
    </xdr:from>
    <xdr:to>
      <xdr:col>5</xdr:col>
      <xdr:colOff>28575</xdr:colOff>
      <xdr:row>5</xdr:row>
      <xdr:rowOff>123825</xdr:rowOff>
    </xdr:to>
    <xdr:pic>
      <xdr:nvPicPr>
        <xdr:cNvPr id="2" name="Grafik 1">
          <a:extLst>
            <a:ext uri="{FF2B5EF4-FFF2-40B4-BE49-F238E27FC236}">
              <a16:creationId xmlns:a16="http://schemas.microsoft.com/office/drawing/2014/main" id="{8F356C90-ECC5-4B35-B8FC-4D482D7F18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14325"/>
          <a:ext cx="1581150" cy="1581150"/>
        </a:xfrm>
        <a:prstGeom prst="rect">
          <a:avLst/>
        </a:prstGeom>
      </xdr:spPr>
    </xdr:pic>
    <xdr:clientData/>
  </xdr:twoCellAnchor>
  <xdr:twoCellAnchor editAs="oneCell">
    <xdr:from>
      <xdr:col>6</xdr:col>
      <xdr:colOff>47625</xdr:colOff>
      <xdr:row>1</xdr:row>
      <xdr:rowOff>114300</xdr:rowOff>
    </xdr:from>
    <xdr:to>
      <xdr:col>8</xdr:col>
      <xdr:colOff>152400</xdr:colOff>
      <xdr:row>5</xdr:row>
      <xdr:rowOff>8978</xdr:rowOff>
    </xdr:to>
    <xdr:pic>
      <xdr:nvPicPr>
        <xdr:cNvPr id="3" name="Grafik 2">
          <a:extLst>
            <a:ext uri="{FF2B5EF4-FFF2-40B4-BE49-F238E27FC236}">
              <a16:creationId xmlns:a16="http://schemas.microsoft.com/office/drawing/2014/main" id="{5D839A99-30BB-4385-8578-26ACD2C7CB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33600" y="285750"/>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2</xdr:colOff>
      <xdr:row>51</xdr:row>
      <xdr:rowOff>104775</xdr:rowOff>
    </xdr:to>
    <xdr:sp macro="" textlink="">
      <xdr:nvSpPr>
        <xdr:cNvPr id="2" name="Textfeld 1">
          <a:extLst>
            <a:ext uri="{FF2B5EF4-FFF2-40B4-BE49-F238E27FC236}">
              <a16:creationId xmlns:a16="http://schemas.microsoft.com/office/drawing/2014/main" id="{D152B210-3D47-424F-90A2-FB3991AAECDD}"/>
            </a:ext>
          </a:extLst>
        </xdr:cNvPr>
        <xdr:cNvSpPr txBox="1"/>
      </xdr:nvSpPr>
      <xdr:spPr>
        <a:xfrm>
          <a:off x="762000" y="323850"/>
          <a:ext cx="7620002" cy="8039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two groups of five and two groups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a:t>
          </a:r>
          <a:r>
            <a:rPr lang="de-DE" sz="1400" b="1"/>
            <a:t>Endrunde 1'</a:t>
          </a:r>
          <a:r>
            <a:rPr lang="de-DE" sz="140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t> or '</a:t>
          </a:r>
          <a:r>
            <a:rPr lang="de-DE" sz="1400" b="1"/>
            <a:t>Endrunde 4'</a:t>
          </a:r>
          <a:r>
            <a:rPr lang="de-DE" sz="1400"/>
            <a:t> sheet)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a:t>
          </a:r>
          <a:r>
            <a:rPr lang="de-DE" sz="1400" b="1"/>
            <a:t>Endrunde 1'</a:t>
          </a:r>
          <a:r>
            <a:rPr lang="de-DE" sz="1400"/>
            <a:t>:  The four group winners play in a semi-final, a final and a third place match for places 1 to 4. The four group runners-up play in the same way for places 5 to 8, the four third place teams play for places 9 to 12, etc.</a:t>
          </a:r>
        </a:p>
        <a:p>
          <a:pPr marL="0" indent="0"/>
          <a:endParaRPr lang="de-DE" sz="1400"/>
        </a:p>
        <a:p>
          <a:pPr marL="0" indent="0"/>
          <a:r>
            <a:rPr lang="de-DE" sz="1400"/>
            <a:t>'</a:t>
          </a:r>
          <a:r>
            <a:rPr lang="de-DE" sz="1400" b="1"/>
            <a:t>Endrunde 2'</a:t>
          </a:r>
          <a:r>
            <a:rPr lang="de-DE" sz="1400"/>
            <a:t>:  The four group winners and the four group runners-up qualify for “Final Round 2”. Quarter-finals, semi-finals, finals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The four group winners qualify for “Final Round 3”. Semi-finals, final and third place match will be played to determine the occupancy</a:t>
          </a:r>
          <a:r>
            <a:rPr lang="de-DE" sz="1400" baseline="0">
              <a:solidFill>
                <a:schemeClr val="dk1"/>
              </a:solidFill>
              <a:effectLst/>
              <a:latin typeface="+mn-lt"/>
              <a:ea typeface="+mn-ea"/>
              <a:cs typeface="+mn-cs"/>
            </a:rPr>
            <a:t> of the first four places</a:t>
          </a:r>
          <a:r>
            <a:rPr lang="de-DE"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r>
            <a:rPr lang="de-DE" sz="1400"/>
            <a:t>The four group winners play against each other in a group of four for places 1 to 4, the four group runners-up play in the same way for places 5 to 8, . . . , the four sixth-placed teams compete equally for places 21 to 24.</a:t>
          </a:r>
          <a:endParaRPr lang="de-DE" sz="1400" b="0" baseline="0">
            <a:solidFill>
              <a:schemeClr val="tx1">
                <a:lumMod val="65000"/>
                <a:lumOff val="35000"/>
              </a:schemeClr>
            </a:solidFill>
            <a:latin typeface="+mn-lt"/>
            <a:ea typeface="+mn-ea"/>
            <a:cs typeface="+mn-cs"/>
          </a:endParaRPr>
        </a:p>
      </xdr:txBody>
    </xdr:sp>
    <xdr:clientData/>
  </xdr:twoCellAnchor>
  <xdr:twoCellAnchor>
    <xdr:from>
      <xdr:col>12</xdr:col>
      <xdr:colOff>0</xdr:colOff>
      <xdr:row>2</xdr:row>
      <xdr:rowOff>0</xdr:rowOff>
    </xdr:from>
    <xdr:to>
      <xdr:col>22</xdr:col>
      <xdr:colOff>2</xdr:colOff>
      <xdr:row>51</xdr:row>
      <xdr:rowOff>95251</xdr:rowOff>
    </xdr:to>
    <xdr:sp macro="" textlink="">
      <xdr:nvSpPr>
        <xdr:cNvPr id="3" name="Textfeld 2">
          <a:extLst>
            <a:ext uri="{FF2B5EF4-FFF2-40B4-BE49-F238E27FC236}">
              <a16:creationId xmlns:a16="http://schemas.microsoft.com/office/drawing/2014/main" id="{74507BFE-3ED6-4EA8-8061-ECDC71B26D30}"/>
            </a:ext>
          </a:extLst>
        </xdr:cNvPr>
        <xdr:cNvSpPr txBox="1"/>
      </xdr:nvSpPr>
      <xdr:spPr>
        <a:xfrm>
          <a:off x="9144000" y="323850"/>
          <a:ext cx="7620002" cy="80295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zwei Vierergruppen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(Tabellenblatt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a:t>
          </a:r>
          <a:r>
            <a:rPr lang="de-DE" sz="1400" b="0" baseline="0">
              <a:solidFill>
                <a:sysClr val="windowText" lastClr="000000"/>
              </a:solidFill>
              <a:latin typeface="+mn-lt"/>
              <a:ea typeface="+mn-ea"/>
              <a:cs typeface="+mn-cs"/>
            </a:rPr>
            <a:t>oder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Die vier Gruppenersten spielen in einem Halbfinale, einem Finale und einem Spiel um den dritten Platz um die Plätze 1 bis 4. Die vier Gruppenzweiten spielen auf die gleiche Weise um die Plätze 5 bis 8, die vier Gruppendritten um die Plätze 9 bis 12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Für "Endrunde 2" qualifizieren sich die vier Gruppenersten und die vier Gruppenzweiten. Es werden Viertelfinale, Halbfinale, Finale und Spiel um den dritten Platz ausgetragen, um die besten vier Teams zu ermitteln.</a:t>
          </a:r>
        </a:p>
        <a:p>
          <a:pPr marL="0" indent="0"/>
          <a:endParaRPr lang="de-DE" sz="14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Für "Endrunde 3" qualifizieren sich die vier Gruppenersten. Es werden Halbfinale, Finale und Spiel um den dritten Platz ausgetragen, um die Belegung der ersten vier Plätze zu ermitteln.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Die vier Gruppenersten spielen in einer Vierergruppe jeder gegen jeden um die Plätze 1 bis 4, die vier Gruppenzweiten in gleicher Weise um die Plätze 5 bis 8, . . . , die vier Gruppensechsten in gleicher Weise um die Plätze 21 bis 24.</a:t>
          </a:r>
        </a:p>
      </xdr:txBody>
    </xdr:sp>
    <xdr:clientData/>
  </xdr:twoCellAnchor>
  <xdr:twoCellAnchor>
    <xdr:from>
      <xdr:col>1</xdr:col>
      <xdr:colOff>0</xdr:colOff>
      <xdr:row>54</xdr:row>
      <xdr:rowOff>0</xdr:rowOff>
    </xdr:from>
    <xdr:to>
      <xdr:col>10</xdr:col>
      <xdr:colOff>752475</xdr:colOff>
      <xdr:row>98</xdr:row>
      <xdr:rowOff>152400</xdr:rowOff>
    </xdr:to>
    <xdr:sp macro="" textlink="">
      <xdr:nvSpPr>
        <xdr:cNvPr id="4" name="Textfeld 3">
          <a:extLst>
            <a:ext uri="{FF2B5EF4-FFF2-40B4-BE49-F238E27FC236}">
              <a16:creationId xmlns:a16="http://schemas.microsoft.com/office/drawing/2014/main" id="{E376D7E3-F259-43A5-A542-A20A2189D4A8}"/>
            </a:ext>
          </a:extLst>
        </xdr:cNvPr>
        <xdr:cNvSpPr txBox="1"/>
      </xdr:nvSpPr>
      <xdr:spPr>
        <a:xfrm>
          <a:off x="762000" y="87439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In the case of a direct comparison, it may be interesting to display the sheets </a:t>
          </a:r>
          <a:r>
            <a:rPr lang="de-DE" sz="1400" b="1"/>
            <a:t>'DirVergleich_A'</a:t>
          </a:r>
          <a:r>
            <a:rPr lang="de-DE" sz="1400"/>
            <a:t>, </a:t>
          </a:r>
          <a:r>
            <a:rPr lang="de-DE" sz="1400" b="1"/>
            <a:t>'DirVergleich_B'</a:t>
          </a:r>
          <a:r>
            <a:rPr lang="de-DE" sz="1400"/>
            <a:t>, </a:t>
          </a:r>
          <a:r>
            <a:rPr lang="de-DE" sz="1400" b="1"/>
            <a:t>'DirVergleich_C' </a:t>
          </a:r>
          <a:r>
            <a:rPr lang="de-DE" sz="1400"/>
            <a:t>and </a:t>
          </a:r>
          <a:r>
            <a:rPr lang="de-DE" sz="1400" b="1"/>
            <a:t>'DirVergleich_D' </a:t>
          </a:r>
          <a:r>
            <a:rPr lang="de-DE" sz="1400"/>
            <a:t>in order to view the tables for the direct encounters in the event of a tie in criteria 1 and 2.</a:t>
          </a:r>
        </a:p>
        <a:p>
          <a:endParaRPr lang="de-DE" sz="1400">
            <a:effectLst/>
          </a:endParaRPr>
        </a:p>
        <a:p>
          <a:r>
            <a:rPr lang="de-DE" sz="1400" b="1" baseline="0">
              <a:solidFill>
                <a:schemeClr val="dk1"/>
              </a:solidFill>
              <a:effectLst/>
              <a:latin typeface="+mn-lt"/>
              <a:ea typeface="+mn-ea"/>
              <a:cs typeface="+mn-cs"/>
            </a:rPr>
            <a:t>4.</a:t>
          </a:r>
          <a:endParaRPr lang="de-DE" sz="1400"/>
        </a:p>
        <a:p>
          <a:r>
            <a:rPr lang="de-DE" sz="1400"/>
            <a:t>In the rare case of a tie in criteria 1 to 4, a playoff match can be entered on the </a:t>
          </a:r>
          <a:r>
            <a:rPr lang="de-DE" sz="1400" b="1"/>
            <a:t>'Playoffs'</a:t>
          </a:r>
          <a:r>
            <a:rPr lang="de-DE" sz="1400"/>
            <a:t> sheet or, in the case of a draw, a bonus point can be entered for the favored team on the </a:t>
          </a:r>
          <a:r>
            <a:rPr lang="de-DE" sz="1400" b="1"/>
            <a:t>'Vorrunde' </a:t>
          </a:r>
          <a:r>
            <a:rPr lang="de-DE" sz="1400"/>
            <a:t>or </a:t>
          </a:r>
          <a:br>
            <a:rPr lang="de-DE" sz="1400"/>
          </a:br>
          <a:r>
            <a:rPr lang="de-DE" sz="1400" b="1"/>
            <a:t>'Endrunde 4' </a:t>
          </a:r>
          <a:r>
            <a:rPr lang="de-DE" sz="1400"/>
            <a:t>sheet.</a:t>
          </a:r>
        </a:p>
        <a:p>
          <a:endParaRPr lang="de-DE" sz="1400">
            <a:effectLst/>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54</xdr:row>
      <xdr:rowOff>0</xdr:rowOff>
    </xdr:from>
    <xdr:to>
      <xdr:col>21</xdr:col>
      <xdr:colOff>752475</xdr:colOff>
      <xdr:row>98</xdr:row>
      <xdr:rowOff>152400</xdr:rowOff>
    </xdr:to>
    <xdr:sp macro="" textlink="">
      <xdr:nvSpPr>
        <xdr:cNvPr id="5" name="Textfeld 4">
          <a:extLst>
            <a:ext uri="{FF2B5EF4-FFF2-40B4-BE49-F238E27FC236}">
              <a16:creationId xmlns:a16="http://schemas.microsoft.com/office/drawing/2014/main" id="{E7BF4C88-55AA-4B67-9FBB-AD8E1A29A065}"/>
            </a:ext>
          </a:extLst>
        </xdr:cNvPr>
        <xdr:cNvSpPr txBox="1"/>
      </xdr:nvSpPr>
      <xdr:spPr>
        <a:xfrm>
          <a:off x="9144000" y="87439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endParaRPr lang="de-DE" sz="1400">
            <a:effectLst/>
          </a:endParaRPr>
        </a:p>
        <a:p>
          <a:endParaRPr lang="de-DE" sz="800" b="1" baseline="0">
            <a:solidFill>
              <a:schemeClr val="tx1">
                <a:lumMod val="75000"/>
                <a:lumOff val="25000"/>
              </a:schemeClr>
            </a:solidFill>
          </a:endParaRPr>
        </a:p>
        <a:p>
          <a:r>
            <a:rPr lang="de-DE" sz="1200" b="1" baseline="0">
              <a:solidFill>
                <a:schemeClr val="tx1">
                  <a:lumMod val="75000"/>
                  <a:lumOff val="25000"/>
                </a:schemeClr>
              </a:solidFill>
            </a:rPr>
            <a:t>Kriterien:</a:t>
          </a:r>
        </a:p>
        <a:p>
          <a:endParaRPr lang="de-DE" sz="400" baseline="0">
            <a:solidFill>
              <a:schemeClr val="tx1">
                <a:lumMod val="65000"/>
                <a:lumOff val="35000"/>
              </a:schemeClr>
            </a:solidFill>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sz="800">
            <a:solidFill>
              <a:sysClr val="windowText" lastClr="000000"/>
            </a:solidFill>
            <a:latin typeface="+mn-lt"/>
            <a:ea typeface="+mn-ea"/>
            <a:cs typeface="+mn-cs"/>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'DirVergleich_D'</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p>
        <a:p>
          <a:endParaRPr lang="de-DE" sz="1400">
            <a:effectLst/>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I83"/>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7" customWidth="1"/>
    <col min="2" max="2" width="6.7109375" style="47" customWidth="1"/>
    <col min="3" max="3" width="29.85546875" style="47" customWidth="1"/>
    <col min="4" max="4" width="11.42578125" style="47" customWidth="1"/>
    <col min="5" max="6" width="9.85546875" style="47" customWidth="1"/>
    <col min="7" max="7" width="7.28515625" style="47" customWidth="1"/>
    <col min="8" max="8" width="4.5703125" style="47" customWidth="1"/>
    <col min="9" max="9" width="4.7109375" style="47" customWidth="1"/>
    <col min="10" max="10" width="3" style="47" customWidth="1"/>
    <col min="11" max="11" width="4.7109375" style="47" customWidth="1"/>
    <col min="12" max="12" width="24.7109375" style="47" customWidth="1"/>
    <col min="13" max="13" width="3.85546875" style="47" customWidth="1"/>
    <col min="14" max="14" width="24.7109375" style="47" customWidth="1"/>
    <col min="15" max="15" width="15.7109375" style="47" customWidth="1"/>
    <col min="16" max="16" width="9" style="47" customWidth="1"/>
    <col min="17" max="17" width="8.42578125" style="47" customWidth="1"/>
    <col min="18" max="18" width="29.7109375" style="164" customWidth="1"/>
    <col min="19" max="19" width="12.42578125" style="164" customWidth="1"/>
    <col min="20" max="20" width="11.42578125" style="164" customWidth="1"/>
    <col min="21" max="21" width="10.7109375" style="164" customWidth="1"/>
    <col min="22" max="22" width="20" hidden="1" customWidth="1"/>
    <col min="23" max="59" width="4.7109375" hidden="1" customWidth="1"/>
    <col min="60" max="60" width="6" hidden="1" customWidth="1"/>
    <col min="61" max="61" width="5.28515625" hidden="1" customWidth="1"/>
    <col min="62" max="16384" width="11.42578125" hidden="1"/>
  </cols>
  <sheetData>
    <row r="1" spans="1:60" ht="9.75" customHeight="1" x14ac:dyDescent="0.25">
      <c r="A1" s="159"/>
    </row>
    <row r="2" spans="1:60" ht="33.75" x14ac:dyDescent="0.5">
      <c r="A2" s="158"/>
      <c r="B2" s="236"/>
      <c r="C2" s="236"/>
      <c r="D2" s="236"/>
      <c r="E2" s="850" t="str">
        <f>Sprache!$E$30</f>
        <v>Teilnehmer und Ablaufplan</v>
      </c>
      <c r="F2" s="850"/>
      <c r="G2" s="850"/>
      <c r="H2" s="850"/>
      <c r="I2" s="850"/>
      <c r="J2" s="850"/>
      <c r="K2" s="850"/>
      <c r="L2" s="850"/>
      <c r="M2" s="850"/>
      <c r="N2" s="850"/>
      <c r="O2" s="677"/>
      <c r="P2" s="236"/>
      <c r="Q2" s="236"/>
      <c r="R2" s="236"/>
      <c r="S2" s="236"/>
      <c r="T2" s="236"/>
    </row>
    <row r="3" spans="1:60" x14ac:dyDescent="0.25"/>
    <row r="4" spans="1:60" ht="29.25" customHeight="1" thickBot="1" x14ac:dyDescent="0.3">
      <c r="C4" s="276" t="str">
        <f>Sprache!$E$16&amp;" A"</f>
        <v>Gruppe A</v>
      </c>
      <c r="D4" s="166"/>
      <c r="E4" s="851" t="str">
        <f>Sprache!$E$32</f>
        <v>Ablaufplan</v>
      </c>
      <c r="F4" s="851"/>
      <c r="G4" s="303"/>
      <c r="H4" s="303"/>
      <c r="I4" s="303"/>
      <c r="J4" s="303"/>
      <c r="K4" s="303"/>
      <c r="L4" s="303"/>
      <c r="M4" s="303"/>
      <c r="N4" s="303"/>
      <c r="O4" s="397"/>
      <c r="P4" s="852" t="str">
        <f>Sprache!$E$20</f>
        <v>Zusätzl. Pause (min)</v>
      </c>
      <c r="R4" s="340" t="str">
        <f>Sprache!$E$41</f>
        <v>Spielzeiten</v>
      </c>
      <c r="X4" s="163">
        <v>1</v>
      </c>
      <c r="Y4" s="163"/>
      <c r="Z4" s="163"/>
      <c r="AA4" s="163"/>
      <c r="AB4" s="163"/>
      <c r="AC4" s="163"/>
      <c r="AD4" s="163">
        <v>2</v>
      </c>
      <c r="AE4" s="163"/>
      <c r="AF4" s="163"/>
      <c r="AG4" s="163"/>
      <c r="AH4" s="163"/>
      <c r="AI4" s="163"/>
      <c r="AJ4" s="163">
        <v>3</v>
      </c>
      <c r="AK4" s="163"/>
      <c r="AL4" s="163"/>
      <c r="AM4" s="163"/>
      <c r="AN4" s="163"/>
      <c r="AO4" s="163"/>
      <c r="AP4" s="163">
        <v>4</v>
      </c>
      <c r="AQ4" s="163"/>
      <c r="AR4" s="163"/>
      <c r="AS4" s="163"/>
      <c r="AT4" s="163"/>
      <c r="AU4" s="163"/>
      <c r="AV4" s="163">
        <v>5</v>
      </c>
      <c r="AW4" s="163"/>
      <c r="AX4" s="163"/>
      <c r="AY4" s="163"/>
      <c r="AZ4" s="163"/>
      <c r="BA4" s="163"/>
      <c r="BB4" s="163">
        <v>6</v>
      </c>
    </row>
    <row r="5" spans="1:60" ht="15.95" customHeight="1" thickTop="1" thickBot="1" x14ac:dyDescent="0.3">
      <c r="A5" s="68"/>
      <c r="B5" s="844"/>
      <c r="C5" s="846" t="str">
        <f>Sprache!$E$10</f>
        <v>Teilnehmer bzw. Mannschaft</v>
      </c>
      <c r="D5" s="64"/>
      <c r="E5" s="179" t="str">
        <f>Sprache!$E$33</f>
        <v>Spiel-Nr.</v>
      </c>
      <c r="F5" s="180" t="str">
        <f>Sprache!$E$39</f>
        <v>Beginn:</v>
      </c>
      <c r="G5" s="180" t="str">
        <f>Sprache!$E$48</f>
        <v>Feld</v>
      </c>
      <c r="H5" s="180" t="str">
        <f>Sprache!$E$17</f>
        <v>Grp</v>
      </c>
      <c r="I5" s="854" t="str">
        <f>Sprache!$E$34</f>
        <v>Paarungen</v>
      </c>
      <c r="J5" s="854"/>
      <c r="K5" s="854"/>
      <c r="L5" s="854" t="str">
        <f>Sprache!$E$31</f>
        <v>Teilnehmer</v>
      </c>
      <c r="M5" s="854"/>
      <c r="N5" s="855"/>
      <c r="O5" s="685" t="str">
        <f>Sprache!$E$78</f>
        <v>Schiedsrichter</v>
      </c>
      <c r="P5" s="853"/>
      <c r="R5" s="856" t="str">
        <f>Sprache!$E$39</f>
        <v>Beginn:</v>
      </c>
      <c r="S5" s="858">
        <v>0.375</v>
      </c>
      <c r="T5" s="860" t="str">
        <f>Sprache!$E$45</f>
        <v>Uhr</v>
      </c>
      <c r="U5" s="165"/>
      <c r="W5" s="381"/>
      <c r="X5" s="382">
        <v>1</v>
      </c>
      <c r="Y5" s="382">
        <v>2</v>
      </c>
      <c r="Z5" s="382">
        <v>3</v>
      </c>
      <c r="AA5" s="382">
        <v>4</v>
      </c>
      <c r="AB5" s="382">
        <v>5</v>
      </c>
      <c r="AC5" s="383">
        <v>6</v>
      </c>
      <c r="AD5" s="382">
        <v>1</v>
      </c>
      <c r="AE5" s="382">
        <v>2</v>
      </c>
      <c r="AF5" s="382">
        <v>3</v>
      </c>
      <c r="AG5" s="382">
        <v>4</v>
      </c>
      <c r="AH5" s="382">
        <v>5</v>
      </c>
      <c r="AI5" s="383">
        <v>6</v>
      </c>
      <c r="AJ5" s="382">
        <v>1</v>
      </c>
      <c r="AK5" s="382">
        <v>2</v>
      </c>
      <c r="AL5" s="382">
        <v>3</v>
      </c>
      <c r="AM5" s="382">
        <v>4</v>
      </c>
      <c r="AN5" s="382">
        <v>5</v>
      </c>
      <c r="AO5" s="383">
        <v>6</v>
      </c>
      <c r="AP5" s="382">
        <v>1</v>
      </c>
      <c r="AQ5" s="382">
        <v>2</v>
      </c>
      <c r="AR5" s="382">
        <v>3</v>
      </c>
      <c r="AS5" s="382">
        <v>4</v>
      </c>
      <c r="AT5" s="382">
        <v>5</v>
      </c>
      <c r="AU5" s="383">
        <v>6</v>
      </c>
      <c r="AV5" s="382">
        <v>1</v>
      </c>
      <c r="AW5" s="382">
        <v>2</v>
      </c>
      <c r="AX5" s="382">
        <v>3</v>
      </c>
      <c r="AY5" s="382">
        <v>4</v>
      </c>
      <c r="AZ5" s="382">
        <v>5</v>
      </c>
      <c r="BA5" s="383">
        <v>6</v>
      </c>
      <c r="BB5" s="382">
        <v>1</v>
      </c>
      <c r="BC5" s="382">
        <v>2</v>
      </c>
      <c r="BD5" s="382">
        <v>3</v>
      </c>
      <c r="BE5" s="382">
        <v>4</v>
      </c>
      <c r="BF5" s="382">
        <v>5</v>
      </c>
      <c r="BG5" s="383">
        <v>6</v>
      </c>
    </row>
    <row r="6" spans="1:60" ht="15.95" customHeight="1" x14ac:dyDescent="0.25">
      <c r="A6" s="68"/>
      <c r="B6" s="845"/>
      <c r="C6" s="847"/>
      <c r="D6" s="548">
        <v>1</v>
      </c>
      <c r="E6" s="511">
        <f>IF($D6&gt;Calc1!$B$14,"",1)</f>
        <v>1</v>
      </c>
      <c r="F6" s="181">
        <f>IF(OR($V$15,$D6&gt;Calc1!$B$14),"",$S$5)</f>
        <v>0.375</v>
      </c>
      <c r="G6" s="172" t="str">
        <f>IF(OR($V$15,$D6&gt;Calc1!$B$14),"","1")</f>
        <v>1</v>
      </c>
      <c r="H6" s="288" t="str">
        <f ca="1">IF($I6="","",IF(LEFT($I6,1)&lt;&gt;LEFT($K6,1),"??",LEFT($I6,1)))</f>
        <v>A</v>
      </c>
      <c r="I6" s="306" t="str">
        <f t="array" aca="1" ref="I6:I65" ca="1">IF(Calc1!$F$14&lt;3,"",IF(OFFSET(Pairings!$A$1,0,(Calc1!$F$14-2)*4-1,60,1)="","",OFFSET(Pairings!$A$1,0,(Calc1!$F$14-2)*4-1,60,1)))</f>
        <v>A5</v>
      </c>
      <c r="J6" s="307" t="s">
        <v>4</v>
      </c>
      <c r="K6" s="308" t="str">
        <f t="array" aca="1" ref="K6:K65" ca="1">IF(Calc1!$F$14&lt;3,"",IF(OFFSET(Pairings!$A$1,0,(Calc1!$F$14-2)*4,60,1)="","",OFFSET(Pairings!$A$1,0,(Calc1!$F$14-2)*4,60,1)))</f>
        <v>A2</v>
      </c>
      <c r="L6" s="176" t="str">
        <f ca="1">IF($I6="","",IF(VLOOKUP($I6,$B$7:$C$68,2,0)="","",VLOOKUP($I6,$B$7:$C$68,2,0)))</f>
        <v>VFB Essenheim</v>
      </c>
      <c r="M6" s="177" t="s">
        <v>4</v>
      </c>
      <c r="N6" s="178" t="str">
        <f ca="1">IF($K6="","",IF(VLOOKUP($K6,$B$7:$C$68,2,0)="","",VLOOKUP($K6,$B$7:$C$68,2,0)))</f>
        <v>FC Barcelona</v>
      </c>
      <c r="O6" s="688"/>
      <c r="P6" s="682"/>
      <c r="Q6" s="304"/>
      <c r="R6" s="857"/>
      <c r="S6" s="859"/>
      <c r="T6" s="861"/>
      <c r="U6" s="165"/>
      <c r="W6" s="384">
        <v>1</v>
      </c>
      <c r="X6" s="534">
        <v>6</v>
      </c>
      <c r="Y6" s="535">
        <v>6</v>
      </c>
      <c r="Z6" s="535">
        <v>6</v>
      </c>
      <c r="AA6" s="535">
        <v>6</v>
      </c>
      <c r="AB6" s="535">
        <v>6</v>
      </c>
      <c r="AC6" s="536">
        <v>6</v>
      </c>
      <c r="AD6" s="534">
        <v>6</v>
      </c>
      <c r="AE6" s="535">
        <v>6</v>
      </c>
      <c r="AF6" s="535">
        <v>6</v>
      </c>
      <c r="AG6" s="535">
        <v>6</v>
      </c>
      <c r="AH6" s="535">
        <v>6</v>
      </c>
      <c r="AI6" s="536">
        <v>6</v>
      </c>
      <c r="AJ6" s="534">
        <v>6</v>
      </c>
      <c r="AK6" s="535">
        <v>6</v>
      </c>
      <c r="AL6" s="535">
        <v>6</v>
      </c>
      <c r="AM6" s="535">
        <v>6</v>
      </c>
      <c r="AN6" s="535">
        <v>6</v>
      </c>
      <c r="AO6" s="536">
        <v>6</v>
      </c>
      <c r="AP6" s="534">
        <v>6</v>
      </c>
      <c r="AQ6" s="535">
        <v>6</v>
      </c>
      <c r="AR6" s="535">
        <v>6</v>
      </c>
      <c r="AS6" s="535">
        <v>6</v>
      </c>
      <c r="AT6" s="535">
        <v>6</v>
      </c>
      <c r="AU6" s="536">
        <v>6</v>
      </c>
      <c r="AV6" s="534">
        <v>6</v>
      </c>
      <c r="AW6" s="535">
        <v>6</v>
      </c>
      <c r="AX6" s="535">
        <v>6</v>
      </c>
      <c r="AY6" s="535">
        <v>6</v>
      </c>
      <c r="AZ6" s="535">
        <v>6</v>
      </c>
      <c r="BA6" s="536">
        <v>6</v>
      </c>
      <c r="BB6" s="534">
        <v>6</v>
      </c>
      <c r="BC6" s="535">
        <v>6</v>
      </c>
      <c r="BD6" s="535">
        <v>6</v>
      </c>
      <c r="BE6" s="535">
        <v>6</v>
      </c>
      <c r="BF6" s="535">
        <v>6</v>
      </c>
      <c r="BG6" s="536">
        <v>6</v>
      </c>
      <c r="BH6" s="443">
        <v>1</v>
      </c>
    </row>
    <row r="7" spans="1:60" ht="15.95" customHeight="1" x14ac:dyDescent="0.25">
      <c r="A7" s="68"/>
      <c r="B7" s="848" t="s">
        <v>186</v>
      </c>
      <c r="C7" s="849" t="s">
        <v>231</v>
      </c>
      <c r="D7" s="548">
        <v>2</v>
      </c>
      <c r="E7" s="505">
        <f t="array" aca="1" ref="E7" ca="1">IF($D7&gt;Calc1!$B$14,"",ROW(2:2)-SUM((($L$6:$L6="")+($N$6:$N6="")&gt;0)*1))</f>
        <v>2</v>
      </c>
      <c r="F7" s="171">
        <f ca="1">IF(OR($V$15,$D7&gt;Calc1!$B$14),"",$S$5+QUOTIENT(($E7-1),$V$11)*($S$7+$S$9)/1440+SUM($P$6:$P6)/1440)</f>
        <v>0.375</v>
      </c>
      <c r="G7" s="173">
        <f ca="1">IF(OR($V$15,$D7&gt;Calc1!$B$14),"",MOD($E7-1,$V$11)+1)</f>
        <v>2</v>
      </c>
      <c r="H7" s="288" t="str">
        <f t="shared" ref="H7:H64" ca="1" si="0">IF($I7="","",IF(LEFT($I7,1)&lt;&gt;LEFT($K7,1),"??",LEFT($I7,1)))</f>
        <v>B</v>
      </c>
      <c r="I7" s="309" t="str">
        <f ca="1"/>
        <v>B5</v>
      </c>
      <c r="J7" s="310" t="s">
        <v>4</v>
      </c>
      <c r="K7" s="311" t="str">
        <f ca="1"/>
        <v>B2</v>
      </c>
      <c r="L7" s="176" t="str">
        <f t="shared" ref="L7:L65" ca="1" si="1">IF($I7="","",IF(VLOOKUP($I7,$B$7:$C$68,2,0)="","",VLOOKUP($I7,$B$7:$C$68,2,0)))</f>
        <v>FC Grönlingen</v>
      </c>
      <c r="M7" s="177" t="s">
        <v>4</v>
      </c>
      <c r="N7" s="178" t="str">
        <f t="shared" ref="N7:N65" ca="1" si="2">IF($K7="","",IF(VLOOKUP($K7,$B$7:$C$68,2,0)="","",VLOOKUP($K7,$B$7:$C$68,2,0)))</f>
        <v>Inter Mailand</v>
      </c>
      <c r="O7" s="328"/>
      <c r="P7" s="683"/>
      <c r="Q7" s="304"/>
      <c r="R7" s="857" t="str">
        <f>Sprache!$E$42</f>
        <v>Spielzeit pro Spiel:</v>
      </c>
      <c r="S7" s="862">
        <v>30</v>
      </c>
      <c r="T7" s="861" t="s">
        <v>152</v>
      </c>
      <c r="U7" s="120"/>
      <c r="V7" t="s">
        <v>245</v>
      </c>
      <c r="W7" s="384">
        <v>2</v>
      </c>
      <c r="X7" s="537">
        <v>6</v>
      </c>
      <c r="Y7" s="538">
        <v>6</v>
      </c>
      <c r="Z7" s="538">
        <v>6</v>
      </c>
      <c r="AA7" s="538">
        <v>6</v>
      </c>
      <c r="AB7" s="538">
        <v>6</v>
      </c>
      <c r="AC7" s="539">
        <v>6</v>
      </c>
      <c r="AD7" s="537">
        <v>6</v>
      </c>
      <c r="AE7" s="538">
        <v>6</v>
      </c>
      <c r="AF7" s="538">
        <v>6</v>
      </c>
      <c r="AG7" s="538">
        <v>6</v>
      </c>
      <c r="AH7" s="538">
        <v>6</v>
      </c>
      <c r="AI7" s="539">
        <v>6</v>
      </c>
      <c r="AJ7" s="537">
        <v>6</v>
      </c>
      <c r="AK7" s="538">
        <v>6</v>
      </c>
      <c r="AL7" s="538">
        <v>6</v>
      </c>
      <c r="AM7" s="538">
        <v>6</v>
      </c>
      <c r="AN7" s="538">
        <v>6</v>
      </c>
      <c r="AO7" s="539">
        <v>6</v>
      </c>
      <c r="AP7" s="537">
        <v>6</v>
      </c>
      <c r="AQ7" s="538">
        <v>6</v>
      </c>
      <c r="AR7" s="538">
        <v>6</v>
      </c>
      <c r="AS7" s="538">
        <v>6</v>
      </c>
      <c r="AT7" s="538">
        <v>6</v>
      </c>
      <c r="AU7" s="539">
        <v>6</v>
      </c>
      <c r="AV7" s="537">
        <v>6</v>
      </c>
      <c r="AW7" s="538">
        <v>6</v>
      </c>
      <c r="AX7" s="538">
        <v>6</v>
      </c>
      <c r="AY7" s="538">
        <v>6</v>
      </c>
      <c r="AZ7" s="538">
        <v>6</v>
      </c>
      <c r="BA7" s="539">
        <v>6</v>
      </c>
      <c r="BB7" s="537">
        <v>6</v>
      </c>
      <c r="BC7" s="538">
        <v>6</v>
      </c>
      <c r="BD7" s="538">
        <v>6</v>
      </c>
      <c r="BE7" s="538">
        <v>6</v>
      </c>
      <c r="BF7" s="538">
        <v>6</v>
      </c>
      <c r="BG7" s="539">
        <v>6</v>
      </c>
      <c r="BH7" s="444"/>
    </row>
    <row r="8" spans="1:60" ht="15.95" customHeight="1" x14ac:dyDescent="0.25">
      <c r="A8" s="68"/>
      <c r="B8" s="835"/>
      <c r="C8" s="837"/>
      <c r="D8" s="548">
        <v>3</v>
      </c>
      <c r="E8" s="505">
        <f t="array" aca="1" ref="E8" ca="1">IF($D8&gt;Calc1!$B$14,"",ROW(3:3)-SUM((($L$6:$L7="")+($N$6:$N7="")&gt;0)*1))</f>
        <v>3</v>
      </c>
      <c r="F8" s="171">
        <f ca="1">IF(OR($V$15,$D8&gt;Calc1!$B$14),"",$S$5+QUOTIENT(($E8-1),$V$11)*($S$7+$S$9)/1440+SUM($P$6:$P7)/1440)</f>
        <v>0.375</v>
      </c>
      <c r="G8" s="173">
        <f ca="1">IF(OR($V$15,$D8&gt;Calc1!$B$14),"",MOD($E8-1,$V$11)+1)</f>
        <v>3</v>
      </c>
      <c r="H8" s="288" t="str">
        <f t="shared" ca="1" si="0"/>
        <v>C</v>
      </c>
      <c r="I8" s="309" t="str">
        <f ca="1"/>
        <v>C5</v>
      </c>
      <c r="J8" s="310" t="s">
        <v>4</v>
      </c>
      <c r="K8" s="311" t="str">
        <f ca="1"/>
        <v>C2</v>
      </c>
      <c r="L8" s="176" t="str">
        <f t="shared" ca="1" si="1"/>
        <v>1. FC Nürnberg</v>
      </c>
      <c r="M8" s="177" t="s">
        <v>4</v>
      </c>
      <c r="N8" s="178" t="str">
        <f t="shared" ca="1" si="2"/>
        <v>Real Madrid</v>
      </c>
      <c r="O8" s="328"/>
      <c r="P8" s="683"/>
      <c r="Q8" s="304"/>
      <c r="R8" s="857"/>
      <c r="S8" s="862"/>
      <c r="T8" s="861"/>
      <c r="U8" s="165"/>
      <c r="V8" t="s">
        <v>244</v>
      </c>
      <c r="W8" s="384">
        <v>3</v>
      </c>
      <c r="X8" s="537">
        <v>6</v>
      </c>
      <c r="Y8" s="538">
        <v>6</v>
      </c>
      <c r="Z8" s="538">
        <v>6</v>
      </c>
      <c r="AA8" s="538">
        <v>6</v>
      </c>
      <c r="AB8" s="538">
        <v>6</v>
      </c>
      <c r="AC8" s="539">
        <v>6</v>
      </c>
      <c r="AD8" s="537">
        <v>6</v>
      </c>
      <c r="AE8" s="538">
        <v>6</v>
      </c>
      <c r="AF8" s="538">
        <v>6</v>
      </c>
      <c r="AG8" s="538">
        <v>6</v>
      </c>
      <c r="AH8" s="538">
        <v>6</v>
      </c>
      <c r="AI8" s="539">
        <v>6</v>
      </c>
      <c r="AJ8" s="537">
        <v>6</v>
      </c>
      <c r="AK8" s="538">
        <v>6</v>
      </c>
      <c r="AL8" s="538">
        <v>6</v>
      </c>
      <c r="AM8" s="538">
        <v>6</v>
      </c>
      <c r="AN8" s="538">
        <v>6</v>
      </c>
      <c r="AO8" s="539">
        <v>6</v>
      </c>
      <c r="AP8" s="537">
        <v>6</v>
      </c>
      <c r="AQ8" s="538">
        <v>6</v>
      </c>
      <c r="AR8" s="538">
        <v>6</v>
      </c>
      <c r="AS8" s="538">
        <v>6</v>
      </c>
      <c r="AT8" s="538">
        <v>6</v>
      </c>
      <c r="AU8" s="539">
        <v>6</v>
      </c>
      <c r="AV8" s="537">
        <v>6</v>
      </c>
      <c r="AW8" s="538">
        <v>6</v>
      </c>
      <c r="AX8" s="538">
        <v>6</v>
      </c>
      <c r="AY8" s="538">
        <v>6</v>
      </c>
      <c r="AZ8" s="538">
        <v>6</v>
      </c>
      <c r="BA8" s="539">
        <v>6</v>
      </c>
      <c r="BB8" s="537">
        <v>6</v>
      </c>
      <c r="BC8" s="538">
        <v>6</v>
      </c>
      <c r="BD8" s="538">
        <v>6</v>
      </c>
      <c r="BE8" s="538">
        <v>6</v>
      </c>
      <c r="BF8" s="538">
        <v>6</v>
      </c>
      <c r="BG8" s="539">
        <v>6</v>
      </c>
      <c r="BH8" s="444"/>
    </row>
    <row r="9" spans="1:60" ht="15.95" customHeight="1" x14ac:dyDescent="0.25">
      <c r="A9" s="68"/>
      <c r="B9" s="834" t="s">
        <v>188</v>
      </c>
      <c r="C9" s="836" t="s">
        <v>232</v>
      </c>
      <c r="D9" s="548">
        <v>4</v>
      </c>
      <c r="E9" s="505">
        <f t="array" aca="1" ref="E9" ca="1">IF($D9&gt;Calc1!$B$14,"",ROW(4:4)-SUM((($L$6:$L8="")+($N$6:$N8="")&gt;0)*1))</f>
        <v>4</v>
      </c>
      <c r="F9" s="171">
        <f ca="1">IF(OR($V$15,$D9&gt;Calc1!$B$14),"",$S$5+QUOTIENT(($E9-1),$V$11)*($S$7+$S$9)/1440+SUM($P$6:$P8)/1440)</f>
        <v>0.375</v>
      </c>
      <c r="G9" s="173">
        <f ca="1">IF(OR($V$15,$D9&gt;Calc1!$B$14),"",MOD($E9-1,$V$11)+1)</f>
        <v>4</v>
      </c>
      <c r="H9" s="288" t="str">
        <f t="shared" ca="1" si="0"/>
        <v>D</v>
      </c>
      <c r="I9" s="309" t="str">
        <f ca="1"/>
        <v>D5</v>
      </c>
      <c r="J9" s="310" t="s">
        <v>4</v>
      </c>
      <c r="K9" s="311" t="str">
        <f ca="1"/>
        <v>D2</v>
      </c>
      <c r="L9" s="176" t="str">
        <f t="shared" ca="1" si="1"/>
        <v>SV Oberredenburg</v>
      </c>
      <c r="M9" s="177" t="s">
        <v>4</v>
      </c>
      <c r="N9" s="178" t="str">
        <f t="shared" ca="1" si="2"/>
        <v>Paris St. Germain</v>
      </c>
      <c r="O9" s="328"/>
      <c r="P9" s="683"/>
      <c r="Q9" s="304"/>
      <c r="R9" s="857" t="str">
        <f>Sprache!$E$43</f>
        <v>Wechselzeit:</v>
      </c>
      <c r="S9" s="862">
        <v>5</v>
      </c>
      <c r="T9" s="861" t="s">
        <v>152</v>
      </c>
      <c r="U9" s="165"/>
      <c r="V9" t="s">
        <v>243</v>
      </c>
      <c r="W9" s="384">
        <v>4</v>
      </c>
      <c r="X9" s="537">
        <v>6</v>
      </c>
      <c r="Y9" s="538">
        <v>6</v>
      </c>
      <c r="Z9" s="538">
        <v>6</v>
      </c>
      <c r="AA9" s="538">
        <v>6</v>
      </c>
      <c r="AB9" s="538">
        <v>6</v>
      </c>
      <c r="AC9" s="539">
        <v>6</v>
      </c>
      <c r="AD9" s="537">
        <v>6</v>
      </c>
      <c r="AE9" s="538">
        <v>6</v>
      </c>
      <c r="AF9" s="538">
        <v>6</v>
      </c>
      <c r="AG9" s="538">
        <v>6</v>
      </c>
      <c r="AH9" s="538">
        <v>6</v>
      </c>
      <c r="AI9" s="539">
        <v>6</v>
      </c>
      <c r="AJ9" s="537">
        <v>6</v>
      </c>
      <c r="AK9" s="538">
        <v>6</v>
      </c>
      <c r="AL9" s="538">
        <v>6</v>
      </c>
      <c r="AM9" s="538">
        <v>6</v>
      </c>
      <c r="AN9" s="538">
        <v>6</v>
      </c>
      <c r="AO9" s="539">
        <v>6</v>
      </c>
      <c r="AP9" s="537">
        <v>6</v>
      </c>
      <c r="AQ9" s="538">
        <v>6</v>
      </c>
      <c r="AR9" s="538">
        <v>6</v>
      </c>
      <c r="AS9" s="538">
        <v>6</v>
      </c>
      <c r="AT9" s="538">
        <v>6</v>
      </c>
      <c r="AU9" s="539">
        <v>6</v>
      </c>
      <c r="AV9" s="537">
        <v>6</v>
      </c>
      <c r="AW9" s="538">
        <v>6</v>
      </c>
      <c r="AX9" s="538">
        <v>6</v>
      </c>
      <c r="AY9" s="538">
        <v>6</v>
      </c>
      <c r="AZ9" s="538">
        <v>6</v>
      </c>
      <c r="BA9" s="539">
        <v>6</v>
      </c>
      <c r="BB9" s="537">
        <v>6</v>
      </c>
      <c r="BC9" s="538">
        <v>6</v>
      </c>
      <c r="BD9" s="538">
        <v>6</v>
      </c>
      <c r="BE9" s="538">
        <v>6</v>
      </c>
      <c r="BF9" s="538">
        <v>6</v>
      </c>
      <c r="BG9" s="539">
        <v>6</v>
      </c>
      <c r="BH9" s="444"/>
    </row>
    <row r="10" spans="1:60" ht="15.95" customHeight="1" x14ac:dyDescent="0.25">
      <c r="A10" s="68"/>
      <c r="B10" s="835"/>
      <c r="C10" s="837"/>
      <c r="D10" s="548">
        <v>5</v>
      </c>
      <c r="E10" s="505">
        <f t="array" aca="1" ref="E10" ca="1">IF($D10&gt;Calc1!$B$14,"",ROW(5:5)-SUM((($L$6:$L9="")+($N$6:$N9="")&gt;0)*1))</f>
        <v>5</v>
      </c>
      <c r="F10" s="171">
        <f ca="1">IF(OR($V$15,$D10&gt;Calc1!$B$14),"",$S$5+QUOTIENT(($E10-1),$V$11)*($S$7+$S$9)/1440+SUM($P$6:$P9)/1440)</f>
        <v>0.39930555555555558</v>
      </c>
      <c r="G10" s="173">
        <f ca="1">IF(OR($V$15,$D10&gt;Calc1!$B$14),"",MOD($E10-1,$V$11)+1)</f>
        <v>1</v>
      </c>
      <c r="H10" s="288" t="str">
        <f t="shared" ca="1" si="0"/>
        <v>A</v>
      </c>
      <c r="I10" s="309" t="str">
        <f ca="1"/>
        <v>A3</v>
      </c>
      <c r="J10" s="310" t="s">
        <v>4</v>
      </c>
      <c r="K10" s="311" t="str">
        <f ca="1"/>
        <v>A4</v>
      </c>
      <c r="L10" s="176" t="str">
        <f t="shared" ca="1" si="1"/>
        <v>Eintracht Frankfurt</v>
      </c>
      <c r="M10" s="177" t="s">
        <v>4</v>
      </c>
      <c r="N10" s="178" t="str">
        <f t="shared" ca="1" si="2"/>
        <v>Maibach 1822 eV</v>
      </c>
      <c r="O10" s="328"/>
      <c r="P10" s="683"/>
      <c r="Q10" s="304"/>
      <c r="R10" s="857"/>
      <c r="S10" s="862"/>
      <c r="T10" s="861"/>
      <c r="U10" s="165"/>
      <c r="V10" s="386">
        <f ca="1">IF(OR(Calc1!$F$13&lt;1,Calc2!$F$13&lt;1,Calc3!$F$13&lt;1,Calc4!$F$13&lt;1),6,INDEX(OFFSET($X$6:$AC$11,(Calc4!$F$13-1)*6,(Calc3!$F$13-1)*6),Calc1!$F$13,Calc2!$F$13))</f>
        <v>6</v>
      </c>
      <c r="W10" s="384">
        <v>5</v>
      </c>
      <c r="X10" s="537">
        <v>6</v>
      </c>
      <c r="Y10" s="538">
        <v>6</v>
      </c>
      <c r="Z10" s="538">
        <v>6</v>
      </c>
      <c r="AA10" s="538">
        <v>6</v>
      </c>
      <c r="AB10" s="538">
        <v>6</v>
      </c>
      <c r="AC10" s="539">
        <v>6</v>
      </c>
      <c r="AD10" s="537">
        <v>6</v>
      </c>
      <c r="AE10" s="538">
        <v>6</v>
      </c>
      <c r="AF10" s="538">
        <v>6</v>
      </c>
      <c r="AG10" s="538">
        <v>6</v>
      </c>
      <c r="AH10" s="538">
        <v>6</v>
      </c>
      <c r="AI10" s="539">
        <v>6</v>
      </c>
      <c r="AJ10" s="537">
        <v>6</v>
      </c>
      <c r="AK10" s="538">
        <v>6</v>
      </c>
      <c r="AL10" s="538">
        <v>6</v>
      </c>
      <c r="AM10" s="538">
        <v>6</v>
      </c>
      <c r="AN10" s="538">
        <v>6</v>
      </c>
      <c r="AO10" s="539">
        <v>6</v>
      </c>
      <c r="AP10" s="537">
        <v>6</v>
      </c>
      <c r="AQ10" s="538">
        <v>6</v>
      </c>
      <c r="AR10" s="538">
        <v>6</v>
      </c>
      <c r="AS10" s="538">
        <v>6</v>
      </c>
      <c r="AT10" s="538">
        <v>6</v>
      </c>
      <c r="AU10" s="539">
        <v>6</v>
      </c>
      <c r="AV10" s="537">
        <v>6</v>
      </c>
      <c r="AW10" s="538">
        <v>6</v>
      </c>
      <c r="AX10" s="538">
        <v>6</v>
      </c>
      <c r="AY10" s="538">
        <v>6</v>
      </c>
      <c r="AZ10" s="538">
        <v>6</v>
      </c>
      <c r="BA10" s="539">
        <v>6</v>
      </c>
      <c r="BB10" s="537">
        <v>6</v>
      </c>
      <c r="BC10" s="538">
        <v>6</v>
      </c>
      <c r="BD10" s="538">
        <v>6</v>
      </c>
      <c r="BE10" s="538">
        <v>6</v>
      </c>
      <c r="BF10" s="538">
        <v>6</v>
      </c>
      <c r="BG10" s="539">
        <v>6</v>
      </c>
      <c r="BH10" s="444"/>
    </row>
    <row r="11" spans="1:60" ht="15.95" customHeight="1" thickBot="1" x14ac:dyDescent="0.3">
      <c r="A11" s="68"/>
      <c r="B11" s="834" t="s">
        <v>184</v>
      </c>
      <c r="C11" s="836" t="s">
        <v>233</v>
      </c>
      <c r="D11" s="548">
        <v>6</v>
      </c>
      <c r="E11" s="505">
        <f t="array" aca="1" ref="E11" ca="1">IF($D11&gt;Calc1!$B$14,"",ROW(6:6)-SUM((($L$6:$L10="")+($N$6:$N10="")&gt;0)*1))</f>
        <v>6</v>
      </c>
      <c r="F11" s="171">
        <f ca="1">IF(OR($V$15,$D11&gt;Calc1!$B$14),"",$S$5+QUOTIENT(($E11-1),$V$11)*($S$7+$S$9)/1440+SUM($P$6:$P10)/1440)</f>
        <v>0.39930555555555558</v>
      </c>
      <c r="G11" s="173">
        <f ca="1">IF(OR($V$15,$D11&gt;Calc1!$B$14),"",MOD($E11-1,$V$11)+1)</f>
        <v>2</v>
      </c>
      <c r="H11" s="288" t="str">
        <f t="shared" ca="1" si="0"/>
        <v>B</v>
      </c>
      <c r="I11" s="309" t="str">
        <f ca="1"/>
        <v>B3</v>
      </c>
      <c r="J11" s="310" t="s">
        <v>4</v>
      </c>
      <c r="K11" s="311" t="str">
        <f ca="1"/>
        <v>B4</v>
      </c>
      <c r="L11" s="176" t="str">
        <f t="shared" ca="1" si="1"/>
        <v>SSV Wildbach</v>
      </c>
      <c r="M11" s="177" t="s">
        <v>4</v>
      </c>
      <c r="N11" s="178" t="str">
        <f t="shared" ca="1" si="2"/>
        <v>Manchester City</v>
      </c>
      <c r="O11" s="328"/>
      <c r="P11" s="683"/>
      <c r="Q11" s="304"/>
      <c r="R11" s="857" t="str">
        <f>Sprache!$E$44</f>
        <v>Anzahl der Spielfelder:</v>
      </c>
      <c r="S11" s="862">
        <v>4</v>
      </c>
      <c r="T11" s="865" t="str">
        <f ca="1">IF($V$10&lt;7,"(max. "&amp;$V$10&amp;")","")</f>
        <v>(max. 6)</v>
      </c>
      <c r="V11" s="386">
        <f ca="1">MIN($S$11,$V$10)</f>
        <v>4</v>
      </c>
      <c r="W11" s="385">
        <v>6</v>
      </c>
      <c r="X11" s="540">
        <v>6</v>
      </c>
      <c r="Y11" s="541">
        <v>6</v>
      </c>
      <c r="Z11" s="541">
        <v>6</v>
      </c>
      <c r="AA11" s="541">
        <v>6</v>
      </c>
      <c r="AB11" s="541">
        <v>6</v>
      </c>
      <c r="AC11" s="542">
        <v>6</v>
      </c>
      <c r="AD11" s="540">
        <v>6</v>
      </c>
      <c r="AE11" s="541">
        <v>6</v>
      </c>
      <c r="AF11" s="541">
        <v>6</v>
      </c>
      <c r="AG11" s="541">
        <v>6</v>
      </c>
      <c r="AH11" s="541">
        <v>6</v>
      </c>
      <c r="AI11" s="542">
        <v>6</v>
      </c>
      <c r="AJ11" s="540">
        <v>6</v>
      </c>
      <c r="AK11" s="541">
        <v>6</v>
      </c>
      <c r="AL11" s="541">
        <v>6</v>
      </c>
      <c r="AM11" s="541">
        <v>6</v>
      </c>
      <c r="AN11" s="541">
        <v>6</v>
      </c>
      <c r="AO11" s="542">
        <v>6</v>
      </c>
      <c r="AP11" s="540">
        <v>6</v>
      </c>
      <c r="AQ11" s="541">
        <v>6</v>
      </c>
      <c r="AR11" s="541">
        <v>6</v>
      </c>
      <c r="AS11" s="541">
        <v>6</v>
      </c>
      <c r="AT11" s="541">
        <v>6</v>
      </c>
      <c r="AU11" s="542">
        <v>6</v>
      </c>
      <c r="AV11" s="540">
        <v>6</v>
      </c>
      <c r="AW11" s="541">
        <v>6</v>
      </c>
      <c r="AX11" s="541">
        <v>6</v>
      </c>
      <c r="AY11" s="541">
        <v>6</v>
      </c>
      <c r="AZ11" s="541">
        <v>6</v>
      </c>
      <c r="BA11" s="542">
        <v>6</v>
      </c>
      <c r="BB11" s="540">
        <v>6</v>
      </c>
      <c r="BC11" s="541">
        <v>6</v>
      </c>
      <c r="BD11" s="541">
        <v>6</v>
      </c>
      <c r="BE11" s="541">
        <v>6</v>
      </c>
      <c r="BF11" s="541">
        <v>6</v>
      </c>
      <c r="BG11" s="542">
        <v>6</v>
      </c>
      <c r="BH11" s="444"/>
    </row>
    <row r="12" spans="1:60" ht="15.95" customHeight="1" thickTop="1" thickBot="1" x14ac:dyDescent="0.3">
      <c r="A12" s="68"/>
      <c r="B12" s="835"/>
      <c r="C12" s="837"/>
      <c r="D12" s="548">
        <v>7</v>
      </c>
      <c r="E12" s="505">
        <f t="array" aca="1" ref="E12" ca="1">IF($D12&gt;Calc1!$B$14,"",ROW(7:7)-SUM((($L$6:$L11="")+($N$6:$N11="")&gt;0)*1))</f>
        <v>7</v>
      </c>
      <c r="F12" s="171">
        <f ca="1">IF(OR($V$15,$D12&gt;Calc1!$B$14),"",$S$5+QUOTIENT(($E12-1),$V$11)*($S$7+$S$9)/1440+SUM($P$6:$P11)/1440)</f>
        <v>0.39930555555555558</v>
      </c>
      <c r="G12" s="173">
        <f ca="1">IF(OR($V$15,$D12&gt;Calc1!$B$14),"",MOD($E12-1,$V$11)+1)</f>
        <v>3</v>
      </c>
      <c r="H12" s="288" t="str">
        <f t="shared" ca="1" si="0"/>
        <v>C</v>
      </c>
      <c r="I12" s="309" t="str">
        <f ca="1"/>
        <v>C3</v>
      </c>
      <c r="J12" s="310" t="s">
        <v>4</v>
      </c>
      <c r="K12" s="311" t="str">
        <f ca="1"/>
        <v>C4</v>
      </c>
      <c r="L12" s="176" t="str">
        <f t="shared" ca="1" si="1"/>
        <v>Borussia Dortmund</v>
      </c>
      <c r="M12" s="177" t="s">
        <v>4</v>
      </c>
      <c r="N12" s="178" t="str">
        <f t="shared" ca="1" si="2"/>
        <v>FSV Rauen</v>
      </c>
      <c r="O12" s="328"/>
      <c r="P12" s="683"/>
      <c r="Q12" s="304"/>
      <c r="R12" s="863"/>
      <c r="S12" s="864"/>
      <c r="T12" s="866"/>
      <c r="U12" s="120"/>
      <c r="V12" s="392" t="s">
        <v>282</v>
      </c>
      <c r="W12" s="384">
        <v>1</v>
      </c>
      <c r="X12" s="534">
        <v>6</v>
      </c>
      <c r="Y12" s="535">
        <v>6</v>
      </c>
      <c r="Z12" s="535">
        <v>6</v>
      </c>
      <c r="AA12" s="535">
        <v>6</v>
      </c>
      <c r="AB12" s="535">
        <v>6</v>
      </c>
      <c r="AC12" s="536">
        <v>6</v>
      </c>
      <c r="AD12" s="534">
        <v>6</v>
      </c>
      <c r="AE12" s="535">
        <v>6</v>
      </c>
      <c r="AF12" s="535">
        <v>6</v>
      </c>
      <c r="AG12" s="535">
        <v>6</v>
      </c>
      <c r="AH12" s="535">
        <v>6</v>
      </c>
      <c r="AI12" s="536">
        <v>6</v>
      </c>
      <c r="AJ12" s="534">
        <v>6</v>
      </c>
      <c r="AK12" s="535">
        <v>6</v>
      </c>
      <c r="AL12" s="535">
        <v>6</v>
      </c>
      <c r="AM12" s="535">
        <v>6</v>
      </c>
      <c r="AN12" s="535">
        <v>6</v>
      </c>
      <c r="AO12" s="536">
        <v>6</v>
      </c>
      <c r="AP12" s="534">
        <v>6</v>
      </c>
      <c r="AQ12" s="535">
        <v>6</v>
      </c>
      <c r="AR12" s="535">
        <v>6</v>
      </c>
      <c r="AS12" s="535">
        <v>6</v>
      </c>
      <c r="AT12" s="535">
        <v>6</v>
      </c>
      <c r="AU12" s="536">
        <v>6</v>
      </c>
      <c r="AV12" s="534">
        <v>6</v>
      </c>
      <c r="AW12" s="535">
        <v>6</v>
      </c>
      <c r="AX12" s="535">
        <v>6</v>
      </c>
      <c r="AY12" s="535">
        <v>6</v>
      </c>
      <c r="AZ12" s="535">
        <v>6</v>
      </c>
      <c r="BA12" s="536">
        <v>6</v>
      </c>
      <c r="BB12" s="534">
        <v>6</v>
      </c>
      <c r="BC12" s="535">
        <v>6</v>
      </c>
      <c r="BD12" s="535">
        <v>6</v>
      </c>
      <c r="BE12" s="535">
        <v>6</v>
      </c>
      <c r="BF12" s="535">
        <v>6</v>
      </c>
      <c r="BG12" s="536">
        <v>6</v>
      </c>
      <c r="BH12" s="443">
        <v>2</v>
      </c>
    </row>
    <row r="13" spans="1:60" ht="15.95" customHeight="1" x14ac:dyDescent="0.25">
      <c r="A13" s="68"/>
      <c r="B13" s="834" t="s">
        <v>190</v>
      </c>
      <c r="C13" s="836" t="s">
        <v>234</v>
      </c>
      <c r="D13" s="548">
        <v>8</v>
      </c>
      <c r="E13" s="505">
        <f t="array" aca="1" ref="E13" ca="1">IF($D13&gt;Calc1!$B$14,"",ROW(8:8)-SUM((($L$6:$L12="")+($N$6:$N12="")&gt;0)*1))</f>
        <v>8</v>
      </c>
      <c r="F13" s="171">
        <f ca="1">IF(OR($V$15,$D13&gt;Calc1!$B$14),"",$S$5+QUOTIENT(($E13-1),$V$11)*($S$7+$S$9)/1440+SUM($P$6:$P12)/1440)</f>
        <v>0.39930555555555558</v>
      </c>
      <c r="G13" s="173">
        <f ca="1">IF(OR($V$15,$D13&gt;Calc1!$B$14),"",MOD($E13-1,$V$11)+1)</f>
        <v>4</v>
      </c>
      <c r="H13" s="288" t="str">
        <f t="shared" ca="1" si="0"/>
        <v>D</v>
      </c>
      <c r="I13" s="309" t="str">
        <f ca="1"/>
        <v>D3</v>
      </c>
      <c r="J13" s="310" t="s">
        <v>4</v>
      </c>
      <c r="K13" s="311" t="str">
        <f ca="1"/>
        <v>D4</v>
      </c>
      <c r="L13" s="176" t="str">
        <f t="shared" ca="1" si="1"/>
        <v>HSV</v>
      </c>
      <c r="M13" s="177" t="s">
        <v>4</v>
      </c>
      <c r="N13" s="178" t="str">
        <f t="shared" ca="1" si="2"/>
        <v>RB Leipzig</v>
      </c>
      <c r="O13" s="328"/>
      <c r="P13" s="683"/>
      <c r="Q13" s="304"/>
      <c r="R13" s="867" t="str">
        <f>Sprache!$E$40</f>
        <v>Ende der Vorrunde:</v>
      </c>
      <c r="S13" s="869">
        <f t="array" aca="1" ref="S13" ca="1">IF($V$15,"",$S$5+(ROUNDUP((Calc1!$B$14-SUM(((OFFSET($L$6,,,Calc1!$B$14,1)="")+(OFFSET($N$6,,,Calc1!$B$14,1)="")&gt;0)*1))/$V11,0)*($S$7+$S$9)-$S$9)/1440+SUM(OFFSET($P$6,,,Calc1!$B$14-1,1))/1440)</f>
        <v>0.61458333333333337</v>
      </c>
      <c r="T13" s="871"/>
      <c r="U13" s="165"/>
      <c r="V13" s="387" t="s">
        <v>246</v>
      </c>
      <c r="W13" s="384">
        <v>2</v>
      </c>
      <c r="X13" s="537">
        <v>6</v>
      </c>
      <c r="Y13" s="538">
        <v>6</v>
      </c>
      <c r="Z13" s="538">
        <v>6</v>
      </c>
      <c r="AA13" s="538">
        <v>6</v>
      </c>
      <c r="AB13" s="538">
        <v>6</v>
      </c>
      <c r="AC13" s="539">
        <v>6</v>
      </c>
      <c r="AD13" s="537">
        <v>6</v>
      </c>
      <c r="AE13" s="538">
        <v>6</v>
      </c>
      <c r="AF13" s="538">
        <v>6</v>
      </c>
      <c r="AG13" s="538">
        <v>6</v>
      </c>
      <c r="AH13" s="538">
        <v>6</v>
      </c>
      <c r="AI13" s="539">
        <v>6</v>
      </c>
      <c r="AJ13" s="537">
        <v>6</v>
      </c>
      <c r="AK13" s="538">
        <v>6</v>
      </c>
      <c r="AL13" s="538">
        <v>6</v>
      </c>
      <c r="AM13" s="538">
        <v>6</v>
      </c>
      <c r="AN13" s="538">
        <v>6</v>
      </c>
      <c r="AO13" s="539">
        <v>6</v>
      </c>
      <c r="AP13" s="537">
        <v>6</v>
      </c>
      <c r="AQ13" s="538">
        <v>6</v>
      </c>
      <c r="AR13" s="538">
        <v>6</v>
      </c>
      <c r="AS13" s="538">
        <v>6</v>
      </c>
      <c r="AT13" s="538">
        <v>6</v>
      </c>
      <c r="AU13" s="539">
        <v>6</v>
      </c>
      <c r="AV13" s="537">
        <v>6</v>
      </c>
      <c r="AW13" s="538">
        <v>6</v>
      </c>
      <c r="AX13" s="538">
        <v>6</v>
      </c>
      <c r="AY13" s="538">
        <v>6</v>
      </c>
      <c r="AZ13" s="538">
        <v>6</v>
      </c>
      <c r="BA13" s="539">
        <v>6</v>
      </c>
      <c r="BB13" s="537">
        <v>6</v>
      </c>
      <c r="BC13" s="538">
        <v>6</v>
      </c>
      <c r="BD13" s="538">
        <v>6</v>
      </c>
      <c r="BE13" s="538">
        <v>6</v>
      </c>
      <c r="BF13" s="538">
        <v>6</v>
      </c>
      <c r="BG13" s="539">
        <v>6</v>
      </c>
      <c r="BH13" s="444"/>
    </row>
    <row r="14" spans="1:60" ht="15.95" customHeight="1" thickBot="1" x14ac:dyDescent="0.3">
      <c r="A14" s="68"/>
      <c r="B14" s="835"/>
      <c r="C14" s="837"/>
      <c r="D14" s="548">
        <v>9</v>
      </c>
      <c r="E14" s="505">
        <f t="array" aca="1" ref="E14" ca="1">IF($D14&gt;Calc1!$B$14,"",ROW(9:9)-SUM((($L$6:$L13="")+($N$6:$N13="")&gt;0)*1))</f>
        <v>9</v>
      </c>
      <c r="F14" s="171">
        <f ca="1">IF(OR($V$15,$D14&gt;Calc1!$B$14),"",$S$5+QUOTIENT(($E14-1),$V$11)*($S$7+$S$9)/1440+SUM($P$6:$P13)/1440)</f>
        <v>0.4236111111111111</v>
      </c>
      <c r="G14" s="173">
        <f ca="1">IF(OR($V$15,$D14&gt;Calc1!$B$14),"",MOD($E14-1,$V$11)+1)</f>
        <v>1</v>
      </c>
      <c r="H14" s="288" t="str">
        <f t="shared" ca="1" si="0"/>
        <v>A</v>
      </c>
      <c r="I14" s="309" t="str">
        <f ca="1"/>
        <v>A5</v>
      </c>
      <c r="J14" s="310" t="s">
        <v>4</v>
      </c>
      <c r="K14" s="311" t="str">
        <f ca="1"/>
        <v>A1</v>
      </c>
      <c r="L14" s="176" t="str">
        <f t="shared" ca="1" si="1"/>
        <v>VFB Essenheim</v>
      </c>
      <c r="M14" s="177" t="s">
        <v>4</v>
      </c>
      <c r="N14" s="178" t="str">
        <f t="shared" ca="1" si="2"/>
        <v>1. FC Riedwald</v>
      </c>
      <c r="O14" s="328"/>
      <c r="P14" s="683"/>
      <c r="Q14" s="304"/>
      <c r="R14" s="868"/>
      <c r="S14" s="870"/>
      <c r="T14" s="872"/>
      <c r="U14" s="165"/>
      <c r="V14" s="387" t="s">
        <v>247</v>
      </c>
      <c r="W14" s="384">
        <v>3</v>
      </c>
      <c r="X14" s="537">
        <v>6</v>
      </c>
      <c r="Y14" s="538">
        <v>6</v>
      </c>
      <c r="Z14" s="538">
        <v>6</v>
      </c>
      <c r="AA14" s="538">
        <v>6</v>
      </c>
      <c r="AB14" s="538">
        <v>6</v>
      </c>
      <c r="AC14" s="539">
        <v>6</v>
      </c>
      <c r="AD14" s="537">
        <v>6</v>
      </c>
      <c r="AE14" s="538">
        <v>6</v>
      </c>
      <c r="AF14" s="538">
        <v>6</v>
      </c>
      <c r="AG14" s="538">
        <v>6</v>
      </c>
      <c r="AH14" s="538">
        <v>6</v>
      </c>
      <c r="AI14" s="539">
        <v>6</v>
      </c>
      <c r="AJ14" s="537">
        <v>6</v>
      </c>
      <c r="AK14" s="538">
        <v>6</v>
      </c>
      <c r="AL14" s="538">
        <v>6</v>
      </c>
      <c r="AM14" s="538">
        <v>6</v>
      </c>
      <c r="AN14" s="538">
        <v>6</v>
      </c>
      <c r="AO14" s="539">
        <v>6</v>
      </c>
      <c r="AP14" s="537">
        <v>6</v>
      </c>
      <c r="AQ14" s="538">
        <v>6</v>
      </c>
      <c r="AR14" s="538">
        <v>6</v>
      </c>
      <c r="AS14" s="538">
        <v>6</v>
      </c>
      <c r="AT14" s="538">
        <v>6</v>
      </c>
      <c r="AU14" s="539">
        <v>6</v>
      </c>
      <c r="AV14" s="537">
        <v>6</v>
      </c>
      <c r="AW14" s="538">
        <v>6</v>
      </c>
      <c r="AX14" s="538">
        <v>6</v>
      </c>
      <c r="AY14" s="538">
        <v>6</v>
      </c>
      <c r="AZ14" s="538">
        <v>6</v>
      </c>
      <c r="BA14" s="539">
        <v>6</v>
      </c>
      <c r="BB14" s="537">
        <v>6</v>
      </c>
      <c r="BC14" s="538">
        <v>6</v>
      </c>
      <c r="BD14" s="538">
        <v>6</v>
      </c>
      <c r="BE14" s="538">
        <v>6</v>
      </c>
      <c r="BF14" s="538">
        <v>6</v>
      </c>
      <c r="BG14" s="539">
        <v>6</v>
      </c>
      <c r="BH14" s="444"/>
    </row>
    <row r="15" spans="1:60" ht="15.95" customHeight="1" x14ac:dyDescent="0.25">
      <c r="A15" s="68"/>
      <c r="B15" s="834" t="s">
        <v>192</v>
      </c>
      <c r="C15" s="836" t="s">
        <v>235</v>
      </c>
      <c r="D15" s="548">
        <v>10</v>
      </c>
      <c r="E15" s="505">
        <f t="array" aca="1" ref="E15" ca="1">IF($D15&gt;Calc1!$B$14,"",ROW(10:10)-SUM((($L$6:$L14="")+($N$6:$N14="")&gt;0)*1))</f>
        <v>10</v>
      </c>
      <c r="F15" s="171">
        <f ca="1">IF(OR($V$15,$D15&gt;Calc1!$B$14),"",$S$5+QUOTIENT(($E15-1),$V$11)*($S$7+$S$9)/1440+SUM($P$6:$P14)/1440)</f>
        <v>0.4236111111111111</v>
      </c>
      <c r="G15" s="173">
        <f ca="1">IF(OR($V$15,$D15&gt;Calc1!$B$14),"",MOD($E15-1,$V$11)+1)</f>
        <v>2</v>
      </c>
      <c r="H15" s="288" t="str">
        <f t="shared" ca="1" si="0"/>
        <v>B</v>
      </c>
      <c r="I15" s="309" t="str">
        <f ca="1"/>
        <v>B5</v>
      </c>
      <c r="J15" s="310" t="s">
        <v>4</v>
      </c>
      <c r="K15" s="311" t="str">
        <f ca="1"/>
        <v>B1</v>
      </c>
      <c r="L15" s="176" t="str">
        <f t="shared" ca="1" si="1"/>
        <v>FC Grönlingen</v>
      </c>
      <c r="M15" s="177" t="s">
        <v>4</v>
      </c>
      <c r="N15" s="178" t="str">
        <f t="shared" ca="1" si="2"/>
        <v>Mainz 05</v>
      </c>
      <c r="O15" s="328"/>
      <c r="P15" s="683"/>
      <c r="Q15" s="304"/>
      <c r="R15" s="559" t="str">
        <f>Sprache!$E$122</f>
        <v>Turnierende (Endrunde 1):</v>
      </c>
      <c r="S15" s="562">
        <f ca="1">'Endrunde 1'!$J$52</f>
        <v>0.78472222222222232</v>
      </c>
      <c r="T15" s="414"/>
      <c r="U15" s="165"/>
      <c r="V15" s="388" t="b">
        <f>OR($S$5="",$S$7="",$S$9="",$S$11="",Calc1!$F$14&lt;3)</f>
        <v>0</v>
      </c>
      <c r="W15" s="384">
        <v>4</v>
      </c>
      <c r="X15" s="537">
        <v>6</v>
      </c>
      <c r="Y15" s="538">
        <v>6</v>
      </c>
      <c r="Z15" s="538">
        <v>6</v>
      </c>
      <c r="AA15" s="538">
        <v>6</v>
      </c>
      <c r="AB15" s="538">
        <v>6</v>
      </c>
      <c r="AC15" s="539">
        <v>6</v>
      </c>
      <c r="AD15" s="537">
        <v>6</v>
      </c>
      <c r="AE15" s="538">
        <v>6</v>
      </c>
      <c r="AF15" s="538">
        <v>6</v>
      </c>
      <c r="AG15" s="538">
        <v>6</v>
      </c>
      <c r="AH15" s="538">
        <v>6</v>
      </c>
      <c r="AI15" s="539">
        <v>6</v>
      </c>
      <c r="AJ15" s="537">
        <v>6</v>
      </c>
      <c r="AK15" s="538">
        <v>6</v>
      </c>
      <c r="AL15" s="538">
        <v>6</v>
      </c>
      <c r="AM15" s="538">
        <v>6</v>
      </c>
      <c r="AN15" s="538">
        <v>6</v>
      </c>
      <c r="AO15" s="539">
        <v>6</v>
      </c>
      <c r="AP15" s="537">
        <v>6</v>
      </c>
      <c r="AQ15" s="538">
        <v>6</v>
      </c>
      <c r="AR15" s="538">
        <v>6</v>
      </c>
      <c r="AS15" s="538">
        <v>6</v>
      </c>
      <c r="AT15" s="538">
        <v>6</v>
      </c>
      <c r="AU15" s="539">
        <v>6</v>
      </c>
      <c r="AV15" s="537">
        <v>6</v>
      </c>
      <c r="AW15" s="538">
        <v>6</v>
      </c>
      <c r="AX15" s="538">
        <v>6</v>
      </c>
      <c r="AY15" s="538">
        <v>6</v>
      </c>
      <c r="AZ15" s="538">
        <v>6</v>
      </c>
      <c r="BA15" s="539">
        <v>6</v>
      </c>
      <c r="BB15" s="537">
        <v>6</v>
      </c>
      <c r="BC15" s="538">
        <v>6</v>
      </c>
      <c r="BD15" s="538">
        <v>6</v>
      </c>
      <c r="BE15" s="538">
        <v>6</v>
      </c>
      <c r="BF15" s="538">
        <v>6</v>
      </c>
      <c r="BG15" s="539">
        <v>6</v>
      </c>
      <c r="BH15" s="444"/>
    </row>
    <row r="16" spans="1:60" ht="15.95" customHeight="1" x14ac:dyDescent="0.25">
      <c r="A16" s="68"/>
      <c r="B16" s="835"/>
      <c r="C16" s="837"/>
      <c r="D16" s="548">
        <v>11</v>
      </c>
      <c r="E16" s="505">
        <f t="array" aca="1" ref="E16" ca="1">IF($D16&gt;Calc1!$B$14,"",ROW(11:11)-SUM((($L$6:$L15="")+($N$6:$N15="")&gt;0)*1))</f>
        <v>11</v>
      </c>
      <c r="F16" s="171">
        <f ca="1">IF(OR($V$15,$D16&gt;Calc1!$B$14),"",$S$5+QUOTIENT(($E16-1),$V$11)*($S$7+$S$9)/1440+SUM($P$6:$P15)/1440)</f>
        <v>0.4236111111111111</v>
      </c>
      <c r="G16" s="173">
        <f ca="1">IF(OR($V$15,$D16&gt;Calc1!$B$14),"",MOD($E16-1,$V$11)+1)</f>
        <v>3</v>
      </c>
      <c r="H16" s="288" t="str">
        <f t="shared" ca="1" si="0"/>
        <v>C</v>
      </c>
      <c r="I16" s="309" t="str">
        <f ca="1"/>
        <v>C5</v>
      </c>
      <c r="J16" s="310" t="s">
        <v>4</v>
      </c>
      <c r="K16" s="311" t="str">
        <f ca="1"/>
        <v>C1</v>
      </c>
      <c r="L16" s="176" t="str">
        <f t="shared" ca="1" si="1"/>
        <v>1. FC Nürnberg</v>
      </c>
      <c r="M16" s="177" t="s">
        <v>4</v>
      </c>
      <c r="N16" s="178" t="str">
        <f t="shared" ca="1" si="2"/>
        <v>Kickers Rodendorf</v>
      </c>
      <c r="O16" s="328"/>
      <c r="P16" s="683"/>
      <c r="Q16" s="304"/>
      <c r="R16" s="560" t="str">
        <f>Sprache!$E$123</f>
        <v>Turnierende (Endrunde 2):</v>
      </c>
      <c r="S16" s="563">
        <f ca="1">'Endrunde 2'!$K$23</f>
        <v>0.71180555555555569</v>
      </c>
      <c r="T16" s="558"/>
      <c r="U16" s="165"/>
      <c r="W16" s="384">
        <v>5</v>
      </c>
      <c r="X16" s="537">
        <v>6</v>
      </c>
      <c r="Y16" s="538">
        <v>6</v>
      </c>
      <c r="Z16" s="538">
        <v>6</v>
      </c>
      <c r="AA16" s="538">
        <v>6</v>
      </c>
      <c r="AB16" s="538">
        <v>6</v>
      </c>
      <c r="AC16" s="539">
        <v>6</v>
      </c>
      <c r="AD16" s="537">
        <v>6</v>
      </c>
      <c r="AE16" s="538">
        <v>6</v>
      </c>
      <c r="AF16" s="538">
        <v>6</v>
      </c>
      <c r="AG16" s="538">
        <v>6</v>
      </c>
      <c r="AH16" s="538">
        <v>6</v>
      </c>
      <c r="AI16" s="539">
        <v>6</v>
      </c>
      <c r="AJ16" s="537">
        <v>6</v>
      </c>
      <c r="AK16" s="538">
        <v>6</v>
      </c>
      <c r="AL16" s="538">
        <v>6</v>
      </c>
      <c r="AM16" s="538">
        <v>6</v>
      </c>
      <c r="AN16" s="538">
        <v>6</v>
      </c>
      <c r="AO16" s="539">
        <v>6</v>
      </c>
      <c r="AP16" s="537">
        <v>6</v>
      </c>
      <c r="AQ16" s="538">
        <v>6</v>
      </c>
      <c r="AR16" s="538">
        <v>6</v>
      </c>
      <c r="AS16" s="538">
        <v>6</v>
      </c>
      <c r="AT16" s="538">
        <v>6</v>
      </c>
      <c r="AU16" s="539">
        <v>6</v>
      </c>
      <c r="AV16" s="537">
        <v>6</v>
      </c>
      <c r="AW16" s="538">
        <v>6</v>
      </c>
      <c r="AX16" s="538">
        <v>6</v>
      </c>
      <c r="AY16" s="538">
        <v>6</v>
      </c>
      <c r="AZ16" s="538">
        <v>6</v>
      </c>
      <c r="BA16" s="539">
        <v>6</v>
      </c>
      <c r="BB16" s="537">
        <v>6</v>
      </c>
      <c r="BC16" s="538">
        <v>6</v>
      </c>
      <c r="BD16" s="538">
        <v>6</v>
      </c>
      <c r="BE16" s="538">
        <v>6</v>
      </c>
      <c r="BF16" s="538">
        <v>6</v>
      </c>
      <c r="BG16" s="539">
        <v>6</v>
      </c>
      <c r="BH16" s="444"/>
    </row>
    <row r="17" spans="1:60" ht="15.95" customHeight="1" thickBot="1" x14ac:dyDescent="0.3">
      <c r="A17" s="68"/>
      <c r="B17" s="834" t="s">
        <v>194</v>
      </c>
      <c r="C17" s="836"/>
      <c r="D17" s="548">
        <v>12</v>
      </c>
      <c r="E17" s="505">
        <f t="array" aca="1" ref="E17" ca="1">IF($D17&gt;Calc1!$B$14,"",ROW(12:12)-SUM((($L$6:$L16="")+($N$6:$N16="")&gt;0)*1))</f>
        <v>12</v>
      </c>
      <c r="F17" s="171">
        <f ca="1">IF(OR($V$15,$D17&gt;Calc1!$B$14),"",$S$5+QUOTIENT(($E17-1),$V$11)*($S$7+$S$9)/1440+SUM($P$6:$P16)/1440)</f>
        <v>0.4236111111111111</v>
      </c>
      <c r="G17" s="173">
        <f ca="1">IF(OR($V$15,$D17&gt;Calc1!$B$14),"",MOD($E17-1,$V$11)+1)</f>
        <v>4</v>
      </c>
      <c r="H17" s="288" t="str">
        <f t="shared" ca="1" si="0"/>
        <v>D</v>
      </c>
      <c r="I17" s="309" t="str">
        <f ca="1"/>
        <v>D5</v>
      </c>
      <c r="J17" s="310" t="s">
        <v>4</v>
      </c>
      <c r="K17" s="311" t="str">
        <f ca="1"/>
        <v>D1</v>
      </c>
      <c r="L17" s="176" t="str">
        <f t="shared" ca="1" si="1"/>
        <v>SV Oberredenburg</v>
      </c>
      <c r="M17" s="177" t="s">
        <v>4</v>
      </c>
      <c r="N17" s="178" t="str">
        <f t="shared" ca="1" si="2"/>
        <v>TSG Saalberg eV</v>
      </c>
      <c r="O17" s="328"/>
      <c r="P17" s="683"/>
      <c r="Q17" s="532"/>
      <c r="R17" s="560" t="str">
        <f>Sprache!$E$124</f>
        <v>Turnierende (Endrunde 3):</v>
      </c>
      <c r="S17" s="563">
        <f ca="1">'Endrunde 3'!$K$18</f>
        <v>0.68750000000000011</v>
      </c>
      <c r="T17" s="558"/>
      <c r="U17" s="533"/>
      <c r="V17" s="442" t="str">
        <f>Calc1!$F$13&amp;"  "&amp;Calc2!$F$13&amp;"  "&amp;Calc3!$F$13&amp;"  "&amp;Calc4!$F$13</f>
        <v>5  5  5  5</v>
      </c>
      <c r="W17" s="385">
        <v>6</v>
      </c>
      <c r="X17" s="540">
        <v>6</v>
      </c>
      <c r="Y17" s="541">
        <v>6</v>
      </c>
      <c r="Z17" s="541">
        <v>6</v>
      </c>
      <c r="AA17" s="541">
        <v>6</v>
      </c>
      <c r="AB17" s="541">
        <v>6</v>
      </c>
      <c r="AC17" s="542">
        <v>6</v>
      </c>
      <c r="AD17" s="540">
        <v>6</v>
      </c>
      <c r="AE17" s="541">
        <v>6</v>
      </c>
      <c r="AF17" s="541">
        <v>6</v>
      </c>
      <c r="AG17" s="541">
        <v>6</v>
      </c>
      <c r="AH17" s="541">
        <v>6</v>
      </c>
      <c r="AI17" s="542">
        <v>6</v>
      </c>
      <c r="AJ17" s="540">
        <v>6</v>
      </c>
      <c r="AK17" s="541">
        <v>6</v>
      </c>
      <c r="AL17" s="541">
        <v>6</v>
      </c>
      <c r="AM17" s="541">
        <v>6</v>
      </c>
      <c r="AN17" s="541">
        <v>6</v>
      </c>
      <c r="AO17" s="542">
        <v>6</v>
      </c>
      <c r="AP17" s="540">
        <v>6</v>
      </c>
      <c r="AQ17" s="541">
        <v>6</v>
      </c>
      <c r="AR17" s="541">
        <v>6</v>
      </c>
      <c r="AS17" s="541">
        <v>6</v>
      </c>
      <c r="AT17" s="541">
        <v>6</v>
      </c>
      <c r="AU17" s="542">
        <v>6</v>
      </c>
      <c r="AV17" s="540">
        <v>6</v>
      </c>
      <c r="AW17" s="541">
        <v>6</v>
      </c>
      <c r="AX17" s="541">
        <v>6</v>
      </c>
      <c r="AY17" s="541">
        <v>6</v>
      </c>
      <c r="AZ17" s="541">
        <v>6</v>
      </c>
      <c r="BA17" s="542">
        <v>6</v>
      </c>
      <c r="BB17" s="540">
        <v>6</v>
      </c>
      <c r="BC17" s="541">
        <v>6</v>
      </c>
      <c r="BD17" s="541">
        <v>6</v>
      </c>
      <c r="BE17" s="541">
        <v>6</v>
      </c>
      <c r="BF17" s="541">
        <v>6</v>
      </c>
      <c r="BG17" s="542">
        <v>6</v>
      </c>
      <c r="BH17" s="444"/>
    </row>
    <row r="18" spans="1:60" ht="15.95" customHeight="1" thickTop="1" thickBot="1" x14ac:dyDescent="0.3">
      <c r="A18" s="68"/>
      <c r="B18" s="838"/>
      <c r="C18" s="839"/>
      <c r="D18" s="548">
        <v>13</v>
      </c>
      <c r="E18" s="505">
        <f t="array" aca="1" ref="E18" ca="1">IF($D18&gt;Calc1!$B$14,"",ROW(13:13)-SUM((($L$6:$L17="")+($N$6:$N17="")&gt;0)*1))</f>
        <v>13</v>
      </c>
      <c r="F18" s="171">
        <f ca="1">IF(OR($V$15,$D18&gt;Calc1!$B$14),"",$S$5+QUOTIENT(($E18-1),$V$11)*($S$7+$S$9)/1440+SUM($P$6:$P17)/1440)</f>
        <v>0.44791666666666669</v>
      </c>
      <c r="G18" s="173">
        <f ca="1">IF(OR($V$15,$D18&gt;Calc1!$B$14),"",MOD($E18-1,$V$11)+1)</f>
        <v>1</v>
      </c>
      <c r="H18" s="288" t="str">
        <f t="shared" ca="1" si="0"/>
        <v>A</v>
      </c>
      <c r="I18" s="309" t="str">
        <f ca="1"/>
        <v>A2</v>
      </c>
      <c r="J18" s="310" t="s">
        <v>4</v>
      </c>
      <c r="K18" s="311" t="str">
        <f ca="1"/>
        <v>A3</v>
      </c>
      <c r="L18" s="176" t="str">
        <f t="shared" ca="1" si="1"/>
        <v>FC Barcelona</v>
      </c>
      <c r="M18" s="177" t="s">
        <v>4</v>
      </c>
      <c r="N18" s="178" t="str">
        <f t="shared" ca="1" si="2"/>
        <v>Eintracht Frankfurt</v>
      </c>
      <c r="O18" s="328"/>
      <c r="P18" s="683"/>
      <c r="Q18" s="532"/>
      <c r="R18" s="561" t="str">
        <f>Sprache!$E$125</f>
        <v>Turnierende (Endrunde 4):</v>
      </c>
      <c r="S18" s="564">
        <f ca="1">'Endrunde 4'!$I$50</f>
        <v>0.80902777777777779</v>
      </c>
      <c r="T18" s="413"/>
      <c r="U18" s="533"/>
      <c r="W18" s="384">
        <v>1</v>
      </c>
      <c r="X18" s="534">
        <v>6</v>
      </c>
      <c r="Y18" s="535">
        <v>6</v>
      </c>
      <c r="Z18" s="535">
        <v>6</v>
      </c>
      <c r="AA18" s="535">
        <v>6</v>
      </c>
      <c r="AB18" s="535">
        <v>6</v>
      </c>
      <c r="AC18" s="536">
        <v>6</v>
      </c>
      <c r="AD18" s="534">
        <v>6</v>
      </c>
      <c r="AE18" s="535">
        <v>6</v>
      </c>
      <c r="AF18" s="535">
        <v>6</v>
      </c>
      <c r="AG18" s="535">
        <v>6</v>
      </c>
      <c r="AH18" s="535">
        <v>6</v>
      </c>
      <c r="AI18" s="536">
        <v>6</v>
      </c>
      <c r="AJ18" s="534">
        <v>6</v>
      </c>
      <c r="AK18" s="535">
        <v>6</v>
      </c>
      <c r="AL18" s="535">
        <v>6</v>
      </c>
      <c r="AM18" s="535">
        <v>6</v>
      </c>
      <c r="AN18" s="535">
        <v>6</v>
      </c>
      <c r="AO18" s="536">
        <v>6</v>
      </c>
      <c r="AP18" s="534">
        <v>6</v>
      </c>
      <c r="AQ18" s="535">
        <v>6</v>
      </c>
      <c r="AR18" s="535">
        <v>6</v>
      </c>
      <c r="AS18" s="535">
        <v>6</v>
      </c>
      <c r="AT18" s="535">
        <v>6</v>
      </c>
      <c r="AU18" s="536">
        <v>6</v>
      </c>
      <c r="AV18" s="534">
        <v>6</v>
      </c>
      <c r="AW18" s="535">
        <v>6</v>
      </c>
      <c r="AX18" s="535">
        <v>6</v>
      </c>
      <c r="AY18" s="535">
        <v>6</v>
      </c>
      <c r="AZ18" s="535">
        <v>6</v>
      </c>
      <c r="BA18" s="536">
        <v>6</v>
      </c>
      <c r="BB18" s="534">
        <v>6</v>
      </c>
      <c r="BC18" s="535">
        <v>6</v>
      </c>
      <c r="BD18" s="535">
        <v>6</v>
      </c>
      <c r="BE18" s="535">
        <v>6</v>
      </c>
      <c r="BF18" s="535">
        <v>6</v>
      </c>
      <c r="BG18" s="536">
        <v>6</v>
      </c>
      <c r="BH18" s="443">
        <v>3</v>
      </c>
    </row>
    <row r="19" spans="1:60" ht="15.95" customHeight="1" thickTop="1" x14ac:dyDescent="0.25">
      <c r="A19" s="68"/>
      <c r="B19" s="275"/>
      <c r="C19" s="423"/>
      <c r="D19" s="548">
        <v>14</v>
      </c>
      <c r="E19" s="505">
        <f t="array" aca="1" ref="E19" ca="1">IF($D19&gt;Calc1!$B$14,"",ROW(14:14)-SUM((($L$6:$L18="")+($N$6:$N18="")&gt;0)*1))</f>
        <v>14</v>
      </c>
      <c r="F19" s="171">
        <f ca="1">IF(OR($V$15,$D19&gt;Calc1!$B$14),"",$S$5+QUOTIENT(($E19-1),$V$11)*($S$7+$S$9)/1440+SUM($P$6:$P18)/1440)</f>
        <v>0.44791666666666669</v>
      </c>
      <c r="G19" s="173">
        <f ca="1">IF(OR($V$15,$D19&gt;Calc1!$B$14),"",MOD($E19-1,$V$11)+1)</f>
        <v>2</v>
      </c>
      <c r="H19" s="288" t="str">
        <f t="shared" ca="1" si="0"/>
        <v>B</v>
      </c>
      <c r="I19" s="309" t="str">
        <f ca="1"/>
        <v>B2</v>
      </c>
      <c r="J19" s="310" t="s">
        <v>4</v>
      </c>
      <c r="K19" s="311" t="str">
        <f ca="1"/>
        <v>B3</v>
      </c>
      <c r="L19" s="176" t="str">
        <f t="shared" ca="1" si="1"/>
        <v>Inter Mailand</v>
      </c>
      <c r="M19" s="177" t="s">
        <v>4</v>
      </c>
      <c r="N19" s="178" t="str">
        <f t="shared" ca="1" si="2"/>
        <v>SSV Wildbach</v>
      </c>
      <c r="O19" s="328"/>
      <c r="P19" s="683"/>
      <c r="Q19" s="532"/>
      <c r="U19" s="533"/>
      <c r="W19" s="384">
        <v>2</v>
      </c>
      <c r="X19" s="537">
        <v>6</v>
      </c>
      <c r="Y19" s="538">
        <v>6</v>
      </c>
      <c r="Z19" s="538">
        <v>6</v>
      </c>
      <c r="AA19" s="538">
        <v>6</v>
      </c>
      <c r="AB19" s="538">
        <v>6</v>
      </c>
      <c r="AC19" s="539">
        <v>6</v>
      </c>
      <c r="AD19" s="537">
        <v>6</v>
      </c>
      <c r="AE19" s="538">
        <v>6</v>
      </c>
      <c r="AF19" s="538">
        <v>6</v>
      </c>
      <c r="AG19" s="538">
        <v>6</v>
      </c>
      <c r="AH19" s="538">
        <v>6</v>
      </c>
      <c r="AI19" s="539">
        <v>6</v>
      </c>
      <c r="AJ19" s="537">
        <v>6</v>
      </c>
      <c r="AK19" s="538">
        <v>6</v>
      </c>
      <c r="AL19" s="538">
        <v>6</v>
      </c>
      <c r="AM19" s="538">
        <v>6</v>
      </c>
      <c r="AN19" s="538">
        <v>6</v>
      </c>
      <c r="AO19" s="539">
        <v>6</v>
      </c>
      <c r="AP19" s="537">
        <v>6</v>
      </c>
      <c r="AQ19" s="538">
        <v>6</v>
      </c>
      <c r="AR19" s="538">
        <v>6</v>
      </c>
      <c r="AS19" s="538">
        <v>6</v>
      </c>
      <c r="AT19" s="538">
        <v>6</v>
      </c>
      <c r="AU19" s="539">
        <v>6</v>
      </c>
      <c r="AV19" s="537">
        <v>6</v>
      </c>
      <c r="AW19" s="538">
        <v>6</v>
      </c>
      <c r="AX19" s="538">
        <v>6</v>
      </c>
      <c r="AY19" s="538">
        <v>6</v>
      </c>
      <c r="AZ19" s="538">
        <v>6</v>
      </c>
      <c r="BA19" s="539">
        <v>6</v>
      </c>
      <c r="BB19" s="537">
        <v>6</v>
      </c>
      <c r="BC19" s="538">
        <v>6</v>
      </c>
      <c r="BD19" s="538">
        <v>6</v>
      </c>
      <c r="BE19" s="538">
        <v>6</v>
      </c>
      <c r="BF19" s="538">
        <v>6</v>
      </c>
      <c r="BG19" s="539">
        <v>6</v>
      </c>
      <c r="BH19" s="444"/>
    </row>
    <row r="20" spans="1:60" ht="15.95" customHeight="1" x14ac:dyDescent="0.25">
      <c r="A20" s="68"/>
      <c r="B20" s="840"/>
      <c r="C20" s="842" t="str">
        <f>Sprache!$E$16&amp;" B"</f>
        <v>Gruppe B</v>
      </c>
      <c r="D20" s="548">
        <v>15</v>
      </c>
      <c r="E20" s="505">
        <f t="array" aca="1" ref="E20" ca="1">IF($D20&gt;Calc1!$B$14,"",ROW(15:15)-SUM((($L$6:$L19="")+($N$6:$N19="")&gt;0)*1))</f>
        <v>15</v>
      </c>
      <c r="F20" s="171">
        <f ca="1">IF(OR($V$15,$D20&gt;Calc1!$B$14),"",$S$5+QUOTIENT(($E20-1),$V$11)*($S$7+$S$9)/1440+SUM($P$6:$P19)/1440)</f>
        <v>0.44791666666666669</v>
      </c>
      <c r="G20" s="173">
        <f ca="1">IF(OR($V$15,$D20&gt;Calc1!$B$14),"",MOD($E20-1,$V$11)+1)</f>
        <v>3</v>
      </c>
      <c r="H20" s="288" t="str">
        <f t="shared" ca="1" si="0"/>
        <v>C</v>
      </c>
      <c r="I20" s="309" t="str">
        <f ca="1"/>
        <v>C2</v>
      </c>
      <c r="J20" s="310" t="s">
        <v>4</v>
      </c>
      <c r="K20" s="311" t="str">
        <f ca="1"/>
        <v>C3</v>
      </c>
      <c r="L20" s="176" t="str">
        <f t="shared" ca="1" si="1"/>
        <v>Real Madrid</v>
      </c>
      <c r="M20" s="177" t="s">
        <v>4</v>
      </c>
      <c r="N20" s="178" t="str">
        <f t="shared" ca="1" si="2"/>
        <v>Borussia Dortmund</v>
      </c>
      <c r="O20" s="328"/>
      <c r="P20" s="683"/>
      <c r="Q20" s="532"/>
      <c r="U20" s="533"/>
      <c r="W20" s="384">
        <v>3</v>
      </c>
      <c r="X20" s="537">
        <v>6</v>
      </c>
      <c r="Y20" s="538">
        <v>6</v>
      </c>
      <c r="Z20" s="538">
        <v>6</v>
      </c>
      <c r="AA20" s="538">
        <v>6</v>
      </c>
      <c r="AB20" s="538">
        <v>6</v>
      </c>
      <c r="AC20" s="539">
        <v>6</v>
      </c>
      <c r="AD20" s="537">
        <v>6</v>
      </c>
      <c r="AE20" s="538">
        <v>6</v>
      </c>
      <c r="AF20" s="538">
        <v>6</v>
      </c>
      <c r="AG20" s="538">
        <v>6</v>
      </c>
      <c r="AH20" s="538">
        <v>6</v>
      </c>
      <c r="AI20" s="539">
        <v>6</v>
      </c>
      <c r="AJ20" s="537">
        <v>6</v>
      </c>
      <c r="AK20" s="538">
        <v>6</v>
      </c>
      <c r="AL20" s="538">
        <v>6</v>
      </c>
      <c r="AM20" s="538">
        <v>6</v>
      </c>
      <c r="AN20" s="538">
        <v>6</v>
      </c>
      <c r="AO20" s="539">
        <v>6</v>
      </c>
      <c r="AP20" s="537">
        <v>6</v>
      </c>
      <c r="AQ20" s="538">
        <v>6</v>
      </c>
      <c r="AR20" s="538">
        <v>6</v>
      </c>
      <c r="AS20" s="538">
        <v>6</v>
      </c>
      <c r="AT20" s="538">
        <v>6</v>
      </c>
      <c r="AU20" s="539">
        <v>6</v>
      </c>
      <c r="AV20" s="537">
        <v>6</v>
      </c>
      <c r="AW20" s="538">
        <v>6</v>
      </c>
      <c r="AX20" s="538">
        <v>6</v>
      </c>
      <c r="AY20" s="538">
        <v>6</v>
      </c>
      <c r="AZ20" s="538">
        <v>6</v>
      </c>
      <c r="BA20" s="539">
        <v>6</v>
      </c>
      <c r="BB20" s="537">
        <v>6</v>
      </c>
      <c r="BC20" s="538">
        <v>6</v>
      </c>
      <c r="BD20" s="538">
        <v>6</v>
      </c>
      <c r="BE20" s="538">
        <v>6</v>
      </c>
      <c r="BF20" s="538">
        <v>6</v>
      </c>
      <c r="BG20" s="539">
        <v>6</v>
      </c>
      <c r="BH20" s="444"/>
    </row>
    <row r="21" spans="1:60" ht="15.95" customHeight="1" thickBot="1" x14ac:dyDescent="0.3">
      <c r="A21" s="68"/>
      <c r="B21" s="841"/>
      <c r="C21" s="843"/>
      <c r="D21" s="548">
        <v>16</v>
      </c>
      <c r="E21" s="505">
        <f t="array" aca="1" ref="E21" ca="1">IF($D21&gt;Calc1!$B$14,"",ROW(16:16)-SUM((($L$6:$L20="")+($N$6:$N20="")&gt;0)*1))</f>
        <v>16</v>
      </c>
      <c r="F21" s="171">
        <f ca="1">IF(OR($V$15,$D21&gt;Calc1!$B$14),"",$S$5+QUOTIENT(($E21-1),$V$11)*($S$7+$S$9)/1440+SUM($P$6:$P20)/1440)</f>
        <v>0.44791666666666669</v>
      </c>
      <c r="G21" s="173">
        <f ca="1">IF(OR($V$15,$D21&gt;Calc1!$B$14),"",MOD($E21-1,$V$11)+1)</f>
        <v>4</v>
      </c>
      <c r="H21" s="288" t="str">
        <f t="shared" ca="1" si="0"/>
        <v>D</v>
      </c>
      <c r="I21" s="309" t="str">
        <f ca="1"/>
        <v>D2</v>
      </c>
      <c r="J21" s="310" t="s">
        <v>4</v>
      </c>
      <c r="K21" s="311" t="str">
        <f ca="1"/>
        <v>D3</v>
      </c>
      <c r="L21" s="176" t="str">
        <f t="shared" ca="1" si="1"/>
        <v>Paris St. Germain</v>
      </c>
      <c r="M21" s="177" t="s">
        <v>4</v>
      </c>
      <c r="N21" s="178" t="str">
        <f t="shared" ca="1" si="2"/>
        <v>HSV</v>
      </c>
      <c r="O21" s="328"/>
      <c r="P21" s="683"/>
      <c r="Q21" s="532"/>
      <c r="U21" s="533"/>
      <c r="W21" s="384">
        <v>4</v>
      </c>
      <c r="X21" s="537">
        <v>6</v>
      </c>
      <c r="Y21" s="538">
        <v>6</v>
      </c>
      <c r="Z21" s="538">
        <v>6</v>
      </c>
      <c r="AA21" s="538">
        <v>6</v>
      </c>
      <c r="AB21" s="538">
        <v>6</v>
      </c>
      <c r="AC21" s="539">
        <v>6</v>
      </c>
      <c r="AD21" s="537">
        <v>6</v>
      </c>
      <c r="AE21" s="538">
        <v>6</v>
      </c>
      <c r="AF21" s="538">
        <v>6</v>
      </c>
      <c r="AG21" s="538">
        <v>6</v>
      </c>
      <c r="AH21" s="538">
        <v>6</v>
      </c>
      <c r="AI21" s="539">
        <v>6</v>
      </c>
      <c r="AJ21" s="537">
        <v>6</v>
      </c>
      <c r="AK21" s="538">
        <v>6</v>
      </c>
      <c r="AL21" s="538">
        <v>6</v>
      </c>
      <c r="AM21" s="538">
        <v>6</v>
      </c>
      <c r="AN21" s="538">
        <v>6</v>
      </c>
      <c r="AO21" s="539">
        <v>6</v>
      </c>
      <c r="AP21" s="537">
        <v>6</v>
      </c>
      <c r="AQ21" s="538">
        <v>6</v>
      </c>
      <c r="AR21" s="538">
        <v>6</v>
      </c>
      <c r="AS21" s="538">
        <v>6</v>
      </c>
      <c r="AT21" s="538">
        <v>6</v>
      </c>
      <c r="AU21" s="539">
        <v>6</v>
      </c>
      <c r="AV21" s="537">
        <v>6</v>
      </c>
      <c r="AW21" s="538">
        <v>6</v>
      </c>
      <c r="AX21" s="538">
        <v>6</v>
      </c>
      <c r="AY21" s="538">
        <v>6</v>
      </c>
      <c r="AZ21" s="538">
        <v>6</v>
      </c>
      <c r="BA21" s="539">
        <v>6</v>
      </c>
      <c r="BB21" s="537">
        <v>6</v>
      </c>
      <c r="BC21" s="538">
        <v>6</v>
      </c>
      <c r="BD21" s="538">
        <v>6</v>
      </c>
      <c r="BE21" s="538">
        <v>6</v>
      </c>
      <c r="BF21" s="538">
        <v>6</v>
      </c>
      <c r="BG21" s="539">
        <v>6</v>
      </c>
      <c r="BH21" s="444"/>
    </row>
    <row r="22" spans="1:60" ht="15.95" customHeight="1" thickTop="1" x14ac:dyDescent="0.25">
      <c r="A22" s="68"/>
      <c r="B22" s="844"/>
      <c r="C22" s="846" t="str">
        <f>Sprache!$E$10</f>
        <v>Teilnehmer bzw. Mannschaft</v>
      </c>
      <c r="D22" s="548">
        <v>17</v>
      </c>
      <c r="E22" s="505">
        <f t="array" aca="1" ref="E22" ca="1">IF($D22&gt;Calc1!$B$14,"",ROW(17:17)-SUM((($L$6:$L21="")+($N$6:$N21="")&gt;0)*1))</f>
        <v>17</v>
      </c>
      <c r="F22" s="171">
        <f ca="1">IF(OR($V$15,$D22&gt;Calc1!$B$14),"",$S$5+QUOTIENT(($E22-1),$V$11)*($S$7+$S$9)/1440+SUM($P$6:$P21)/1440)</f>
        <v>0.47222222222222221</v>
      </c>
      <c r="G22" s="173">
        <f ca="1">IF(OR($V$15,$D22&gt;Calc1!$B$14),"",MOD($E22-1,$V$11)+1)</f>
        <v>1</v>
      </c>
      <c r="H22" s="288" t="str">
        <f t="shared" ca="1" si="0"/>
        <v>A</v>
      </c>
      <c r="I22" s="309" t="str">
        <f ca="1"/>
        <v>A1</v>
      </c>
      <c r="J22" s="310" t="s">
        <v>4</v>
      </c>
      <c r="K22" s="311" t="str">
        <f ca="1"/>
        <v>A4</v>
      </c>
      <c r="L22" s="176" t="str">
        <f t="shared" ca="1" si="1"/>
        <v>1. FC Riedwald</v>
      </c>
      <c r="M22" s="177" t="s">
        <v>4</v>
      </c>
      <c r="N22" s="178" t="str">
        <f t="shared" ca="1" si="2"/>
        <v>Maibach 1822 eV</v>
      </c>
      <c r="O22" s="328"/>
      <c r="P22" s="683"/>
      <c r="Q22" s="532"/>
      <c r="R22" s="873" t="str">
        <f ca="1">Sprache!$E$120&amp;$V$10&amp;Sprache!$E$121</f>
        <v>Wegen zeitlicher Konflikte kann nur auf maximal 6 Spielplätzen gleichzeitig gespielt werden.</v>
      </c>
      <c r="S22" s="873"/>
      <c r="T22" s="873"/>
      <c r="U22" s="533"/>
      <c r="W22" s="384">
        <v>5</v>
      </c>
      <c r="X22" s="537">
        <v>6</v>
      </c>
      <c r="Y22" s="538">
        <v>6</v>
      </c>
      <c r="Z22" s="538">
        <v>6</v>
      </c>
      <c r="AA22" s="538">
        <v>6</v>
      </c>
      <c r="AB22" s="538">
        <v>6</v>
      </c>
      <c r="AC22" s="539">
        <v>6</v>
      </c>
      <c r="AD22" s="537">
        <v>6</v>
      </c>
      <c r="AE22" s="538">
        <v>6</v>
      </c>
      <c r="AF22" s="538">
        <v>6</v>
      </c>
      <c r="AG22" s="538">
        <v>6</v>
      </c>
      <c r="AH22" s="538">
        <v>6</v>
      </c>
      <c r="AI22" s="539">
        <v>6</v>
      </c>
      <c r="AJ22" s="537">
        <v>6</v>
      </c>
      <c r="AK22" s="538">
        <v>6</v>
      </c>
      <c r="AL22" s="538">
        <v>6</v>
      </c>
      <c r="AM22" s="538">
        <v>6</v>
      </c>
      <c r="AN22" s="538">
        <v>6</v>
      </c>
      <c r="AO22" s="539">
        <v>6</v>
      </c>
      <c r="AP22" s="537">
        <v>6</v>
      </c>
      <c r="AQ22" s="538">
        <v>6</v>
      </c>
      <c r="AR22" s="538">
        <v>6</v>
      </c>
      <c r="AS22" s="538">
        <v>6</v>
      </c>
      <c r="AT22" s="538">
        <v>6</v>
      </c>
      <c r="AU22" s="539">
        <v>6</v>
      </c>
      <c r="AV22" s="537">
        <v>6</v>
      </c>
      <c r="AW22" s="538">
        <v>6</v>
      </c>
      <c r="AX22" s="538">
        <v>6</v>
      </c>
      <c r="AY22" s="538">
        <v>6</v>
      </c>
      <c r="AZ22" s="538">
        <v>6</v>
      </c>
      <c r="BA22" s="539">
        <v>6</v>
      </c>
      <c r="BB22" s="537">
        <v>6</v>
      </c>
      <c r="BC22" s="538">
        <v>6</v>
      </c>
      <c r="BD22" s="538">
        <v>6</v>
      </c>
      <c r="BE22" s="538">
        <v>6</v>
      </c>
      <c r="BF22" s="538">
        <v>6</v>
      </c>
      <c r="BG22" s="539">
        <v>6</v>
      </c>
      <c r="BH22" s="444"/>
    </row>
    <row r="23" spans="1:60" ht="15.95" customHeight="1" thickBot="1" x14ac:dyDescent="0.3">
      <c r="A23" s="68"/>
      <c r="B23" s="845"/>
      <c r="C23" s="847"/>
      <c r="D23" s="548">
        <v>18</v>
      </c>
      <c r="E23" s="505">
        <f t="array" aca="1" ref="E23" ca="1">IF($D23&gt;Calc1!$B$14,"",ROW(18:18)-SUM((($L$6:$L22="")+($N$6:$N22="")&gt;0)*1))</f>
        <v>18</v>
      </c>
      <c r="F23" s="171">
        <f ca="1">IF(OR($V$15,$D23&gt;Calc1!$B$14),"",$S$5+QUOTIENT(($E23-1),$V$11)*($S$7+$S$9)/1440+SUM($P$6:$P22)/1440)</f>
        <v>0.47222222222222221</v>
      </c>
      <c r="G23" s="173">
        <f ca="1">IF(OR($V$15,$D23&gt;Calc1!$B$14),"",MOD($E23-1,$V$11)+1)</f>
        <v>2</v>
      </c>
      <c r="H23" s="288" t="str">
        <f t="shared" ca="1" si="0"/>
        <v>B</v>
      </c>
      <c r="I23" s="309" t="str">
        <f ca="1"/>
        <v>B1</v>
      </c>
      <c r="J23" s="310" t="s">
        <v>4</v>
      </c>
      <c r="K23" s="311" t="str">
        <f ca="1"/>
        <v>B4</v>
      </c>
      <c r="L23" s="176" t="str">
        <f t="shared" ca="1" si="1"/>
        <v>Mainz 05</v>
      </c>
      <c r="M23" s="177" t="s">
        <v>4</v>
      </c>
      <c r="N23" s="178" t="str">
        <f t="shared" ca="1" si="2"/>
        <v>Manchester City</v>
      </c>
      <c r="O23" s="328"/>
      <c r="P23" s="683"/>
      <c r="Q23" s="532"/>
      <c r="R23" s="873"/>
      <c r="S23" s="873"/>
      <c r="T23" s="873"/>
      <c r="U23" s="533"/>
      <c r="W23" s="385">
        <v>6</v>
      </c>
      <c r="X23" s="540">
        <v>6</v>
      </c>
      <c r="Y23" s="541">
        <v>6</v>
      </c>
      <c r="Z23" s="541">
        <v>6</v>
      </c>
      <c r="AA23" s="541">
        <v>6</v>
      </c>
      <c r="AB23" s="541">
        <v>6</v>
      </c>
      <c r="AC23" s="542">
        <v>6</v>
      </c>
      <c r="AD23" s="540">
        <v>6</v>
      </c>
      <c r="AE23" s="541">
        <v>6</v>
      </c>
      <c r="AF23" s="541">
        <v>6</v>
      </c>
      <c r="AG23" s="541">
        <v>6</v>
      </c>
      <c r="AH23" s="541">
        <v>6</v>
      </c>
      <c r="AI23" s="542">
        <v>6</v>
      </c>
      <c r="AJ23" s="540">
        <v>6</v>
      </c>
      <c r="AK23" s="541">
        <v>6</v>
      </c>
      <c r="AL23" s="541">
        <v>6</v>
      </c>
      <c r="AM23" s="541">
        <v>6</v>
      </c>
      <c r="AN23" s="541">
        <v>6</v>
      </c>
      <c r="AO23" s="542">
        <v>6</v>
      </c>
      <c r="AP23" s="540">
        <v>6</v>
      </c>
      <c r="AQ23" s="541">
        <v>6</v>
      </c>
      <c r="AR23" s="541">
        <v>6</v>
      </c>
      <c r="AS23" s="541">
        <v>6</v>
      </c>
      <c r="AT23" s="541">
        <v>6</v>
      </c>
      <c r="AU23" s="542">
        <v>6</v>
      </c>
      <c r="AV23" s="540">
        <v>6</v>
      </c>
      <c r="AW23" s="541">
        <v>6</v>
      </c>
      <c r="AX23" s="541">
        <v>6</v>
      </c>
      <c r="AY23" s="541">
        <v>6</v>
      </c>
      <c r="AZ23" s="541">
        <v>6</v>
      </c>
      <c r="BA23" s="542">
        <v>6</v>
      </c>
      <c r="BB23" s="540">
        <v>6</v>
      </c>
      <c r="BC23" s="541">
        <v>6</v>
      </c>
      <c r="BD23" s="541">
        <v>6</v>
      </c>
      <c r="BE23" s="541">
        <v>6</v>
      </c>
      <c r="BF23" s="541">
        <v>6</v>
      </c>
      <c r="BG23" s="542">
        <v>6</v>
      </c>
      <c r="BH23" s="444"/>
    </row>
    <row r="24" spans="1:60" ht="15.95" customHeight="1" thickTop="1" x14ac:dyDescent="0.25">
      <c r="A24" s="68"/>
      <c r="B24" s="848" t="s">
        <v>187</v>
      </c>
      <c r="C24" s="849" t="s">
        <v>236</v>
      </c>
      <c r="D24" s="548">
        <v>19</v>
      </c>
      <c r="E24" s="505">
        <f t="array" aca="1" ref="E24" ca="1">IF($D24&gt;Calc1!$B$14,"",ROW(19:19)-SUM((($L$6:$L23="")+($N$6:$N23="")&gt;0)*1))</f>
        <v>19</v>
      </c>
      <c r="F24" s="171">
        <f ca="1">IF(OR($V$15,$D24&gt;Calc1!$B$14),"",$S$5+QUOTIENT(($E24-1),$V$11)*($S$7+$S$9)/1440+SUM($P$6:$P23)/1440)</f>
        <v>0.47222222222222221</v>
      </c>
      <c r="G24" s="173">
        <f ca="1">IF(OR($V$15,$D24&gt;Calc1!$B$14),"",MOD($E24-1,$V$11)+1)</f>
        <v>3</v>
      </c>
      <c r="H24" s="288" t="str">
        <f t="shared" ca="1" si="0"/>
        <v>C</v>
      </c>
      <c r="I24" s="309" t="str">
        <f ca="1"/>
        <v>C1</v>
      </c>
      <c r="J24" s="310" t="s">
        <v>4</v>
      </c>
      <c r="K24" s="311" t="str">
        <f ca="1"/>
        <v>C4</v>
      </c>
      <c r="L24" s="176" t="str">
        <f t="shared" ca="1" si="1"/>
        <v>Kickers Rodendorf</v>
      </c>
      <c r="M24" s="177" t="s">
        <v>4</v>
      </c>
      <c r="N24" s="178" t="str">
        <f t="shared" ca="1" si="2"/>
        <v>FSV Rauen</v>
      </c>
      <c r="O24" s="328"/>
      <c r="P24" s="683"/>
      <c r="Q24" s="532"/>
      <c r="R24" s="389"/>
      <c r="S24" s="522" t="str">
        <f t="array" aca="1" ref="S24" ca="1">IFERROR(proof!$E$3-SUM(((OFFSET($L$6,0,0,proof!$E$3,1)="")+(OFFSET($N$6,0,0,proof!$E$3,1)="")&gt;0)*1),"")</f>
        <v/>
      </c>
      <c r="T24" s="522" t="str">
        <f t="array" aca="1" ref="T24" ca="1">IFERROR(proof!$E$4-SUM(((OFFSET($L$6,0,0,proof!$E$4,1)="")+(OFFSET($N$6,0,0,proof!$E$4,1)="")&gt;0)*1),"")</f>
        <v/>
      </c>
      <c r="U24" s="533"/>
      <c r="W24" s="384">
        <v>1</v>
      </c>
      <c r="X24" s="534">
        <v>6</v>
      </c>
      <c r="Y24" s="535">
        <v>6</v>
      </c>
      <c r="Z24" s="535">
        <v>6</v>
      </c>
      <c r="AA24" s="535">
        <v>6</v>
      </c>
      <c r="AB24" s="535">
        <v>6</v>
      </c>
      <c r="AC24" s="536">
        <v>6</v>
      </c>
      <c r="AD24" s="534">
        <v>6</v>
      </c>
      <c r="AE24" s="535">
        <v>6</v>
      </c>
      <c r="AF24" s="535">
        <v>6</v>
      </c>
      <c r="AG24" s="535">
        <v>6</v>
      </c>
      <c r="AH24" s="535">
        <v>6</v>
      </c>
      <c r="AI24" s="536">
        <v>6</v>
      </c>
      <c r="AJ24" s="534">
        <v>6</v>
      </c>
      <c r="AK24" s="535">
        <v>6</v>
      </c>
      <c r="AL24" s="535">
        <v>6</v>
      </c>
      <c r="AM24" s="535">
        <v>6</v>
      </c>
      <c r="AN24" s="535">
        <v>6</v>
      </c>
      <c r="AO24" s="536">
        <v>6</v>
      </c>
      <c r="AP24" s="534">
        <v>6</v>
      </c>
      <c r="AQ24" s="535">
        <v>6</v>
      </c>
      <c r="AR24" s="535">
        <v>6</v>
      </c>
      <c r="AS24" s="535">
        <v>6</v>
      </c>
      <c r="AT24" s="535">
        <v>6</v>
      </c>
      <c r="AU24" s="536">
        <v>6</v>
      </c>
      <c r="AV24" s="534">
        <v>6</v>
      </c>
      <c r="AW24" s="535">
        <v>6</v>
      </c>
      <c r="AX24" s="535">
        <v>6</v>
      </c>
      <c r="AY24" s="535">
        <v>6</v>
      </c>
      <c r="AZ24" s="535">
        <v>6</v>
      </c>
      <c r="BA24" s="536">
        <v>6</v>
      </c>
      <c r="BB24" s="534">
        <v>6</v>
      </c>
      <c r="BC24" s="535">
        <v>6</v>
      </c>
      <c r="BD24" s="535">
        <v>6</v>
      </c>
      <c r="BE24" s="535">
        <v>6</v>
      </c>
      <c r="BF24" s="535">
        <v>6</v>
      </c>
      <c r="BG24" s="536">
        <v>6</v>
      </c>
      <c r="BH24" s="443">
        <v>4</v>
      </c>
    </row>
    <row r="25" spans="1:60" ht="15.95" customHeight="1" x14ac:dyDescent="0.25">
      <c r="B25" s="835"/>
      <c r="C25" s="837"/>
      <c r="D25" s="548">
        <v>20</v>
      </c>
      <c r="E25" s="505">
        <f t="array" aca="1" ref="E25" ca="1">IF($D25&gt;Calc1!$B$14,"",ROW(20:20)-SUM((($L$6:$L24="")+($N$6:$N24="")&gt;0)*1))</f>
        <v>20</v>
      </c>
      <c r="F25" s="171">
        <f ca="1">IF(OR($V$15,$D25&gt;Calc1!$B$14),"",$S$5+QUOTIENT(($E25-1),$V$11)*($S$7+$S$9)/1440+SUM($P$6:$P24)/1440)</f>
        <v>0.47222222222222221</v>
      </c>
      <c r="G25" s="173">
        <f ca="1">IF(OR($V$15,$D25&gt;Calc1!$B$14),"",MOD($E25-1,$V$11)+1)</f>
        <v>4</v>
      </c>
      <c r="H25" s="288" t="str">
        <f t="shared" ca="1" si="0"/>
        <v>D</v>
      </c>
      <c r="I25" s="309" t="str">
        <f ca="1"/>
        <v>D1</v>
      </c>
      <c r="J25" s="310" t="s">
        <v>4</v>
      </c>
      <c r="K25" s="311" t="str">
        <f ca="1"/>
        <v>D4</v>
      </c>
      <c r="L25" s="176" t="str">
        <f t="shared" ca="1" si="1"/>
        <v>TSG Saalberg eV</v>
      </c>
      <c r="M25" s="177" t="s">
        <v>4</v>
      </c>
      <c r="N25" s="178" t="str">
        <f t="shared" ca="1" si="2"/>
        <v>RB Leipzig</v>
      </c>
      <c r="O25" s="328"/>
      <c r="P25" s="683"/>
      <c r="Q25" s="532"/>
      <c r="R25" s="833" t="str">
        <f ca="1">IF($V$15,"",IF(proof!$G$2="FEHLER",Sprache!$E$128&amp;proof!$E$6,""))</f>
        <v/>
      </c>
      <c r="S25" s="833"/>
      <c r="T25" s="833"/>
      <c r="U25" s="533"/>
      <c r="W25" s="384">
        <v>2</v>
      </c>
      <c r="X25" s="537">
        <v>6</v>
      </c>
      <c r="Y25" s="538">
        <v>6</v>
      </c>
      <c r="Z25" s="538">
        <v>6</v>
      </c>
      <c r="AA25" s="538">
        <v>6</v>
      </c>
      <c r="AB25" s="538">
        <v>6</v>
      </c>
      <c r="AC25" s="539">
        <v>6</v>
      </c>
      <c r="AD25" s="537">
        <v>6</v>
      </c>
      <c r="AE25" s="538">
        <v>6</v>
      </c>
      <c r="AF25" s="538">
        <v>6</v>
      </c>
      <c r="AG25" s="538">
        <v>6</v>
      </c>
      <c r="AH25" s="538">
        <v>6</v>
      </c>
      <c r="AI25" s="539">
        <v>6</v>
      </c>
      <c r="AJ25" s="537">
        <v>6</v>
      </c>
      <c r="AK25" s="538">
        <v>6</v>
      </c>
      <c r="AL25" s="538">
        <v>6</v>
      </c>
      <c r="AM25" s="538">
        <v>6</v>
      </c>
      <c r="AN25" s="538">
        <v>6</v>
      </c>
      <c r="AO25" s="539">
        <v>6</v>
      </c>
      <c r="AP25" s="537">
        <v>6</v>
      </c>
      <c r="AQ25" s="538">
        <v>6</v>
      </c>
      <c r="AR25" s="538">
        <v>6</v>
      </c>
      <c r="AS25" s="538">
        <v>6</v>
      </c>
      <c r="AT25" s="538">
        <v>6</v>
      </c>
      <c r="AU25" s="539">
        <v>6</v>
      </c>
      <c r="AV25" s="537">
        <v>6</v>
      </c>
      <c r="AW25" s="538">
        <v>6</v>
      </c>
      <c r="AX25" s="538">
        <v>6</v>
      </c>
      <c r="AY25" s="538">
        <v>6</v>
      </c>
      <c r="AZ25" s="538">
        <v>6</v>
      </c>
      <c r="BA25" s="539">
        <v>6</v>
      </c>
      <c r="BB25" s="537">
        <v>6</v>
      </c>
      <c r="BC25" s="538">
        <v>6</v>
      </c>
      <c r="BD25" s="538">
        <v>6</v>
      </c>
      <c r="BE25" s="538">
        <v>6</v>
      </c>
      <c r="BF25" s="538">
        <v>6</v>
      </c>
      <c r="BG25" s="539">
        <v>6</v>
      </c>
      <c r="BH25" s="444"/>
    </row>
    <row r="26" spans="1:60" ht="15.95" customHeight="1" x14ac:dyDescent="0.25">
      <c r="B26" s="834" t="s">
        <v>189</v>
      </c>
      <c r="C26" s="836" t="s">
        <v>237</v>
      </c>
      <c r="D26" s="548">
        <v>21</v>
      </c>
      <c r="E26" s="505">
        <f t="array" aca="1" ref="E26" ca="1">IF($D26&gt;Calc1!$B$14,"",ROW(21:21)-SUM((($L$6:$L25="")+($N$6:$N25="")&gt;0)*1))</f>
        <v>21</v>
      </c>
      <c r="F26" s="171">
        <f ca="1">IF(OR($V$15,$D26&gt;Calc1!$B$14),"",$S$5+QUOTIENT(($E26-1),$V$11)*($S$7+$S$9)/1440+SUM($P$6:$P25)/1440)</f>
        <v>0.49652777777777779</v>
      </c>
      <c r="G26" s="173">
        <f ca="1">IF(OR($V$15,$D26&gt;Calc1!$B$14),"",MOD($E26-1,$V$11)+1)</f>
        <v>1</v>
      </c>
      <c r="H26" s="288" t="str">
        <f t="shared" ca="1" si="0"/>
        <v>A</v>
      </c>
      <c r="I26" s="309" t="str">
        <f ca="1"/>
        <v>A3</v>
      </c>
      <c r="J26" s="310" t="s">
        <v>4</v>
      </c>
      <c r="K26" s="311" t="str">
        <f ca="1"/>
        <v>A5</v>
      </c>
      <c r="L26" s="176" t="str">
        <f t="shared" ca="1" si="1"/>
        <v>Eintracht Frankfurt</v>
      </c>
      <c r="M26" s="177" t="s">
        <v>4</v>
      </c>
      <c r="N26" s="178" t="str">
        <f t="shared" ca="1" si="2"/>
        <v>VFB Essenheim</v>
      </c>
      <c r="O26" s="328"/>
      <c r="P26" s="683"/>
      <c r="Q26" s="532"/>
      <c r="R26" s="833" t="str">
        <f ca="1">IF($V$15,"",IF(proof!$G$2="FEHLER",Sprache!$E$129&amp;$S$24&amp;Sprache!$E$130&amp;$T$24,""))</f>
        <v/>
      </c>
      <c r="S26" s="833"/>
      <c r="T26" s="833"/>
      <c r="U26" s="533"/>
      <c r="W26" s="384">
        <v>3</v>
      </c>
      <c r="X26" s="537">
        <v>6</v>
      </c>
      <c r="Y26" s="538">
        <v>6</v>
      </c>
      <c r="Z26" s="538">
        <v>6</v>
      </c>
      <c r="AA26" s="538">
        <v>6</v>
      </c>
      <c r="AB26" s="538">
        <v>6</v>
      </c>
      <c r="AC26" s="539">
        <v>6</v>
      </c>
      <c r="AD26" s="537">
        <v>6</v>
      </c>
      <c r="AE26" s="538">
        <v>6</v>
      </c>
      <c r="AF26" s="538">
        <v>6</v>
      </c>
      <c r="AG26" s="538">
        <v>6</v>
      </c>
      <c r="AH26" s="538">
        <v>6</v>
      </c>
      <c r="AI26" s="539">
        <v>6</v>
      </c>
      <c r="AJ26" s="537">
        <v>6</v>
      </c>
      <c r="AK26" s="538">
        <v>6</v>
      </c>
      <c r="AL26" s="538">
        <v>6</v>
      </c>
      <c r="AM26" s="538">
        <v>6</v>
      </c>
      <c r="AN26" s="538">
        <v>6</v>
      </c>
      <c r="AO26" s="539">
        <v>6</v>
      </c>
      <c r="AP26" s="537">
        <v>6</v>
      </c>
      <c r="AQ26" s="538">
        <v>6</v>
      </c>
      <c r="AR26" s="538">
        <v>6</v>
      </c>
      <c r="AS26" s="538">
        <v>6</v>
      </c>
      <c r="AT26" s="538">
        <v>6</v>
      </c>
      <c r="AU26" s="539">
        <v>6</v>
      </c>
      <c r="AV26" s="537">
        <v>6</v>
      </c>
      <c r="AW26" s="538">
        <v>6</v>
      </c>
      <c r="AX26" s="538">
        <v>6</v>
      </c>
      <c r="AY26" s="538">
        <v>6</v>
      </c>
      <c r="AZ26" s="538">
        <v>6</v>
      </c>
      <c r="BA26" s="539">
        <v>6</v>
      </c>
      <c r="BB26" s="537">
        <v>6</v>
      </c>
      <c r="BC26" s="538">
        <v>6</v>
      </c>
      <c r="BD26" s="538">
        <v>6</v>
      </c>
      <c r="BE26" s="538">
        <v>6</v>
      </c>
      <c r="BF26" s="538">
        <v>6</v>
      </c>
      <c r="BG26" s="539">
        <v>6</v>
      </c>
      <c r="BH26" s="444"/>
    </row>
    <row r="27" spans="1:60" ht="15.95" customHeight="1" x14ac:dyDescent="0.25">
      <c r="B27" s="835"/>
      <c r="C27" s="837"/>
      <c r="D27" s="548">
        <v>22</v>
      </c>
      <c r="E27" s="505">
        <f t="array" aca="1" ref="E27" ca="1">IF($D27&gt;Calc1!$B$14,"",ROW(22:22)-SUM((($L$6:$L26="")+($N$6:$N26="")&gt;0)*1))</f>
        <v>22</v>
      </c>
      <c r="F27" s="171">
        <f ca="1">IF(OR($V$15,$D27&gt;Calc1!$B$14),"",$S$5+QUOTIENT(($E27-1),$V$11)*($S$7+$S$9)/1440+SUM($P$6:$P26)/1440)</f>
        <v>0.49652777777777779</v>
      </c>
      <c r="G27" s="173">
        <f ca="1">IF(OR($V$15,$D27&gt;Calc1!$B$14),"",MOD($E27-1,$V$11)+1)</f>
        <v>2</v>
      </c>
      <c r="H27" s="288" t="str">
        <f t="shared" ca="1" si="0"/>
        <v>B</v>
      </c>
      <c r="I27" s="309" t="str">
        <f ca="1"/>
        <v>B3</v>
      </c>
      <c r="J27" s="310" t="s">
        <v>4</v>
      </c>
      <c r="K27" s="311" t="str">
        <f ca="1"/>
        <v>B5</v>
      </c>
      <c r="L27" s="176" t="str">
        <f t="shared" ca="1" si="1"/>
        <v>SSV Wildbach</v>
      </c>
      <c r="M27" s="177" t="s">
        <v>4</v>
      </c>
      <c r="N27" s="178" t="str">
        <f t="shared" ca="1" si="2"/>
        <v>FC Grönlingen</v>
      </c>
      <c r="O27" s="328"/>
      <c r="P27" s="683"/>
      <c r="Q27" s="532"/>
      <c r="R27" s="423"/>
      <c r="S27" s="168"/>
      <c r="T27" s="168"/>
      <c r="U27" s="533"/>
      <c r="W27" s="384">
        <v>4</v>
      </c>
      <c r="X27" s="537">
        <v>6</v>
      </c>
      <c r="Y27" s="538">
        <v>6</v>
      </c>
      <c r="Z27" s="538">
        <v>6</v>
      </c>
      <c r="AA27" s="538">
        <v>6</v>
      </c>
      <c r="AB27" s="538">
        <v>6</v>
      </c>
      <c r="AC27" s="539">
        <v>6</v>
      </c>
      <c r="AD27" s="537">
        <v>6</v>
      </c>
      <c r="AE27" s="538">
        <v>6</v>
      </c>
      <c r="AF27" s="538">
        <v>6</v>
      </c>
      <c r="AG27" s="538">
        <v>6</v>
      </c>
      <c r="AH27" s="538">
        <v>6</v>
      </c>
      <c r="AI27" s="539">
        <v>6</v>
      </c>
      <c r="AJ27" s="537">
        <v>6</v>
      </c>
      <c r="AK27" s="538">
        <v>6</v>
      </c>
      <c r="AL27" s="538">
        <v>6</v>
      </c>
      <c r="AM27" s="538">
        <v>6</v>
      </c>
      <c r="AN27" s="538">
        <v>6</v>
      </c>
      <c r="AO27" s="539">
        <v>6</v>
      </c>
      <c r="AP27" s="537">
        <v>6</v>
      </c>
      <c r="AQ27" s="538">
        <v>6</v>
      </c>
      <c r="AR27" s="538">
        <v>6</v>
      </c>
      <c r="AS27" s="538">
        <v>6</v>
      </c>
      <c r="AT27" s="538">
        <v>6</v>
      </c>
      <c r="AU27" s="539">
        <v>6</v>
      </c>
      <c r="AV27" s="537">
        <v>6</v>
      </c>
      <c r="AW27" s="538">
        <v>6</v>
      </c>
      <c r="AX27" s="538">
        <v>6</v>
      </c>
      <c r="AY27" s="538">
        <v>6</v>
      </c>
      <c r="AZ27" s="538">
        <v>6</v>
      </c>
      <c r="BA27" s="539">
        <v>6</v>
      </c>
      <c r="BB27" s="537">
        <v>6</v>
      </c>
      <c r="BC27" s="538">
        <v>6</v>
      </c>
      <c r="BD27" s="538">
        <v>6</v>
      </c>
      <c r="BE27" s="538">
        <v>6</v>
      </c>
      <c r="BF27" s="538">
        <v>6</v>
      </c>
      <c r="BG27" s="539">
        <v>6</v>
      </c>
      <c r="BH27" s="444"/>
    </row>
    <row r="28" spans="1:60" ht="15.95" customHeight="1" x14ac:dyDescent="0.25">
      <c r="B28" s="834" t="s">
        <v>185</v>
      </c>
      <c r="C28" s="836" t="s">
        <v>239</v>
      </c>
      <c r="D28" s="548">
        <v>23</v>
      </c>
      <c r="E28" s="505">
        <f t="array" aca="1" ref="E28" ca="1">IF($D28&gt;Calc1!$B$14,"",ROW(23:23)-SUM((($L$6:$L27="")+($N$6:$N27="")&gt;0)*1))</f>
        <v>23</v>
      </c>
      <c r="F28" s="171">
        <f ca="1">IF(OR($V$15,$D28&gt;Calc1!$B$14),"",$S$5+QUOTIENT(($E28-1),$V$11)*($S$7+$S$9)/1440+SUM($P$6:$P27)/1440)</f>
        <v>0.49652777777777779</v>
      </c>
      <c r="G28" s="173">
        <f ca="1">IF(OR($V$15,$D28&gt;Calc1!$B$14),"",MOD($E28-1,$V$11)+1)</f>
        <v>3</v>
      </c>
      <c r="H28" s="288" t="str">
        <f t="shared" ca="1" si="0"/>
        <v>C</v>
      </c>
      <c r="I28" s="309" t="str">
        <f ca="1"/>
        <v>C3</v>
      </c>
      <c r="J28" s="310" t="s">
        <v>4</v>
      </c>
      <c r="K28" s="311" t="str">
        <f ca="1"/>
        <v>C5</v>
      </c>
      <c r="L28" s="176" t="str">
        <f t="shared" ca="1" si="1"/>
        <v>Borussia Dortmund</v>
      </c>
      <c r="M28" s="177" t="s">
        <v>4</v>
      </c>
      <c r="N28" s="178" t="str">
        <f t="shared" ca="1" si="2"/>
        <v>1. FC Nürnberg</v>
      </c>
      <c r="O28" s="328"/>
      <c r="P28" s="683"/>
      <c r="Q28" s="532"/>
      <c r="R28" s="423"/>
      <c r="S28" s="168"/>
      <c r="T28" s="168"/>
      <c r="U28" s="533"/>
      <c r="W28" s="384">
        <v>5</v>
      </c>
      <c r="X28" s="537">
        <v>6</v>
      </c>
      <c r="Y28" s="538">
        <v>6</v>
      </c>
      <c r="Z28" s="538">
        <v>6</v>
      </c>
      <c r="AA28" s="538">
        <v>6</v>
      </c>
      <c r="AB28" s="538">
        <v>6</v>
      </c>
      <c r="AC28" s="539">
        <v>6</v>
      </c>
      <c r="AD28" s="537">
        <v>6</v>
      </c>
      <c r="AE28" s="538">
        <v>6</v>
      </c>
      <c r="AF28" s="538">
        <v>6</v>
      </c>
      <c r="AG28" s="538">
        <v>6</v>
      </c>
      <c r="AH28" s="538">
        <v>6</v>
      </c>
      <c r="AI28" s="539">
        <v>6</v>
      </c>
      <c r="AJ28" s="537">
        <v>6</v>
      </c>
      <c r="AK28" s="538">
        <v>6</v>
      </c>
      <c r="AL28" s="538">
        <v>6</v>
      </c>
      <c r="AM28" s="538">
        <v>6</v>
      </c>
      <c r="AN28" s="538">
        <v>6</v>
      </c>
      <c r="AO28" s="539">
        <v>6</v>
      </c>
      <c r="AP28" s="537">
        <v>6</v>
      </c>
      <c r="AQ28" s="538">
        <v>6</v>
      </c>
      <c r="AR28" s="538">
        <v>6</v>
      </c>
      <c r="AS28" s="538">
        <v>6</v>
      </c>
      <c r="AT28" s="538">
        <v>6</v>
      </c>
      <c r="AU28" s="539">
        <v>6</v>
      </c>
      <c r="AV28" s="537">
        <v>6</v>
      </c>
      <c r="AW28" s="538">
        <v>6</v>
      </c>
      <c r="AX28" s="538">
        <v>6</v>
      </c>
      <c r="AY28" s="538">
        <v>6</v>
      </c>
      <c r="AZ28" s="538">
        <v>6</v>
      </c>
      <c r="BA28" s="539">
        <v>6</v>
      </c>
      <c r="BB28" s="537">
        <v>6</v>
      </c>
      <c r="BC28" s="538">
        <v>6</v>
      </c>
      <c r="BD28" s="538">
        <v>6</v>
      </c>
      <c r="BE28" s="538">
        <v>6</v>
      </c>
      <c r="BF28" s="538">
        <v>6</v>
      </c>
      <c r="BG28" s="539">
        <v>6</v>
      </c>
      <c r="BH28" s="444"/>
    </row>
    <row r="29" spans="1:60" ht="15.95" customHeight="1" thickBot="1" x14ac:dyDescent="0.3">
      <c r="B29" s="835"/>
      <c r="C29" s="837"/>
      <c r="D29" s="548">
        <v>24</v>
      </c>
      <c r="E29" s="505">
        <f t="array" aca="1" ref="E29" ca="1">IF($D29&gt;Calc1!$B$14,"",ROW(24:24)-SUM((($L$6:$L28="")+($N$6:$N28="")&gt;0)*1))</f>
        <v>24</v>
      </c>
      <c r="F29" s="171">
        <f ca="1">IF(OR($V$15,$D29&gt;Calc1!$B$14),"",$S$5+QUOTIENT(($E29-1),$V$11)*($S$7+$S$9)/1440+SUM($P$6:$P28)/1440)</f>
        <v>0.49652777777777779</v>
      </c>
      <c r="G29" s="173">
        <f ca="1">IF(OR($V$15,$D29&gt;Calc1!$B$14),"",MOD($E29-1,$V$11)+1)</f>
        <v>4</v>
      </c>
      <c r="H29" s="288" t="str">
        <f t="shared" ca="1" si="0"/>
        <v>D</v>
      </c>
      <c r="I29" s="309" t="str">
        <f ca="1"/>
        <v>D3</v>
      </c>
      <c r="J29" s="310" t="s">
        <v>4</v>
      </c>
      <c r="K29" s="311" t="str">
        <f ca="1"/>
        <v>D5</v>
      </c>
      <c r="L29" s="176" t="str">
        <f t="shared" ca="1" si="1"/>
        <v>HSV</v>
      </c>
      <c r="M29" s="177" t="s">
        <v>4</v>
      </c>
      <c r="N29" s="178" t="str">
        <f t="shared" ca="1" si="2"/>
        <v>SV Oberredenburg</v>
      </c>
      <c r="O29" s="328"/>
      <c r="P29" s="683"/>
      <c r="Q29" s="532"/>
      <c r="R29" s="423"/>
      <c r="S29" s="168"/>
      <c r="T29" s="168"/>
      <c r="U29" s="533"/>
      <c r="W29" s="385">
        <v>6</v>
      </c>
      <c r="X29" s="540">
        <v>6</v>
      </c>
      <c r="Y29" s="541">
        <v>6</v>
      </c>
      <c r="Z29" s="541">
        <v>6</v>
      </c>
      <c r="AA29" s="541">
        <v>6</v>
      </c>
      <c r="AB29" s="541">
        <v>6</v>
      </c>
      <c r="AC29" s="542">
        <v>6</v>
      </c>
      <c r="AD29" s="540">
        <v>6</v>
      </c>
      <c r="AE29" s="541">
        <v>6</v>
      </c>
      <c r="AF29" s="541">
        <v>6</v>
      </c>
      <c r="AG29" s="541">
        <v>6</v>
      </c>
      <c r="AH29" s="541">
        <v>6</v>
      </c>
      <c r="AI29" s="542">
        <v>6</v>
      </c>
      <c r="AJ29" s="540">
        <v>6</v>
      </c>
      <c r="AK29" s="541">
        <v>6</v>
      </c>
      <c r="AL29" s="541">
        <v>6</v>
      </c>
      <c r="AM29" s="541">
        <v>6</v>
      </c>
      <c r="AN29" s="541">
        <v>6</v>
      </c>
      <c r="AO29" s="542">
        <v>6</v>
      </c>
      <c r="AP29" s="540">
        <v>6</v>
      </c>
      <c r="AQ29" s="541">
        <v>6</v>
      </c>
      <c r="AR29" s="541">
        <v>6</v>
      </c>
      <c r="AS29" s="541">
        <v>6</v>
      </c>
      <c r="AT29" s="541">
        <v>6</v>
      </c>
      <c r="AU29" s="542">
        <v>6</v>
      </c>
      <c r="AV29" s="540">
        <v>6</v>
      </c>
      <c r="AW29" s="541">
        <v>6</v>
      </c>
      <c r="AX29" s="541">
        <v>6</v>
      </c>
      <c r="AY29" s="541">
        <v>6</v>
      </c>
      <c r="AZ29" s="541">
        <v>6</v>
      </c>
      <c r="BA29" s="542">
        <v>6</v>
      </c>
      <c r="BB29" s="540">
        <v>6</v>
      </c>
      <c r="BC29" s="541">
        <v>6</v>
      </c>
      <c r="BD29" s="541">
        <v>6</v>
      </c>
      <c r="BE29" s="541">
        <v>6</v>
      </c>
      <c r="BF29" s="541">
        <v>6</v>
      </c>
      <c r="BG29" s="542">
        <v>6</v>
      </c>
      <c r="BH29" s="444"/>
    </row>
    <row r="30" spans="1:60" ht="15.95" customHeight="1" thickTop="1" x14ac:dyDescent="0.25">
      <c r="B30" s="834" t="s">
        <v>191</v>
      </c>
      <c r="C30" s="836" t="s">
        <v>238</v>
      </c>
      <c r="D30" s="548">
        <v>25</v>
      </c>
      <c r="E30" s="505">
        <f t="array" aca="1" ref="E30" ca="1">IF($D30&gt;Calc1!$B$14,"",ROW(25:25)-SUM((($L$6:$L29="")+($N$6:$N29="")&gt;0)*1))</f>
        <v>25</v>
      </c>
      <c r="F30" s="171">
        <f ca="1">IF(OR($V$15,$D30&gt;Calc1!$B$14),"",$S$5+QUOTIENT(($E30-1),$V$11)*($S$7+$S$9)/1440+SUM($P$6:$P29)/1440)</f>
        <v>0.52083333333333337</v>
      </c>
      <c r="G30" s="173">
        <f ca="1">IF(OR($V$15,$D30&gt;Calc1!$B$14),"",MOD($E30-1,$V$11)+1)</f>
        <v>1</v>
      </c>
      <c r="H30" s="288" t="str">
        <f t="shared" ca="1" si="0"/>
        <v>A</v>
      </c>
      <c r="I30" s="309" t="str">
        <f ca="1"/>
        <v>A2</v>
      </c>
      <c r="J30" s="310" t="s">
        <v>4</v>
      </c>
      <c r="K30" s="311" t="str">
        <f ca="1"/>
        <v>A4</v>
      </c>
      <c r="L30" s="176" t="str">
        <f t="shared" ca="1" si="1"/>
        <v>FC Barcelona</v>
      </c>
      <c r="M30" s="177" t="s">
        <v>4</v>
      </c>
      <c r="N30" s="178" t="str">
        <f t="shared" ca="1" si="2"/>
        <v>Maibach 1822 eV</v>
      </c>
      <c r="O30" s="328"/>
      <c r="P30" s="683"/>
      <c r="Q30" s="532"/>
      <c r="R30" s="423"/>
      <c r="S30" s="168"/>
      <c r="T30" s="168"/>
      <c r="U30" s="533"/>
      <c r="W30" s="384">
        <v>1</v>
      </c>
      <c r="X30" s="534">
        <v>6</v>
      </c>
      <c r="Y30" s="535">
        <v>6</v>
      </c>
      <c r="Z30" s="535">
        <v>6</v>
      </c>
      <c r="AA30" s="535">
        <v>6</v>
      </c>
      <c r="AB30" s="535">
        <v>6</v>
      </c>
      <c r="AC30" s="536">
        <v>6</v>
      </c>
      <c r="AD30" s="534">
        <v>6</v>
      </c>
      <c r="AE30" s="535">
        <v>6</v>
      </c>
      <c r="AF30" s="535">
        <v>6</v>
      </c>
      <c r="AG30" s="535">
        <v>6</v>
      </c>
      <c r="AH30" s="535">
        <v>6</v>
      </c>
      <c r="AI30" s="536">
        <v>6</v>
      </c>
      <c r="AJ30" s="534">
        <v>6</v>
      </c>
      <c r="AK30" s="535">
        <v>6</v>
      </c>
      <c r="AL30" s="535">
        <v>6</v>
      </c>
      <c r="AM30" s="535">
        <v>6</v>
      </c>
      <c r="AN30" s="535">
        <v>6</v>
      </c>
      <c r="AO30" s="536">
        <v>6</v>
      </c>
      <c r="AP30" s="534">
        <v>6</v>
      </c>
      <c r="AQ30" s="535">
        <v>6</v>
      </c>
      <c r="AR30" s="535">
        <v>6</v>
      </c>
      <c r="AS30" s="535">
        <v>6</v>
      </c>
      <c r="AT30" s="535">
        <v>6</v>
      </c>
      <c r="AU30" s="536">
        <v>6</v>
      </c>
      <c r="AV30" s="534">
        <v>6</v>
      </c>
      <c r="AW30" s="535">
        <v>6</v>
      </c>
      <c r="AX30" s="535">
        <v>6</v>
      </c>
      <c r="AY30" s="535">
        <v>6</v>
      </c>
      <c r="AZ30" s="535">
        <v>6</v>
      </c>
      <c r="BA30" s="536">
        <v>6</v>
      </c>
      <c r="BB30" s="534">
        <v>6</v>
      </c>
      <c r="BC30" s="535">
        <v>6</v>
      </c>
      <c r="BD30" s="535">
        <v>6</v>
      </c>
      <c r="BE30" s="535">
        <v>6</v>
      </c>
      <c r="BF30" s="535">
        <v>6</v>
      </c>
      <c r="BG30" s="536">
        <v>6</v>
      </c>
      <c r="BH30" s="443">
        <v>5</v>
      </c>
    </row>
    <row r="31" spans="1:60" ht="15.95" customHeight="1" x14ac:dyDescent="0.25">
      <c r="B31" s="835"/>
      <c r="C31" s="837"/>
      <c r="D31" s="548">
        <v>26</v>
      </c>
      <c r="E31" s="505">
        <f t="array" aca="1" ref="E31" ca="1">IF($D31&gt;Calc1!$B$14,"",ROW(26:26)-SUM((($L$6:$L30="")+($N$6:$N30="")&gt;0)*1))</f>
        <v>26</v>
      </c>
      <c r="F31" s="171">
        <f ca="1">IF(OR($V$15,$D31&gt;Calc1!$B$14),"",$S$5+QUOTIENT(($E31-1),$V$11)*($S$7+$S$9)/1440+SUM($P$6:$P30)/1440)</f>
        <v>0.52083333333333337</v>
      </c>
      <c r="G31" s="173">
        <f ca="1">IF(OR($V$15,$D31&gt;Calc1!$B$14),"",MOD($E31-1,$V$11)+1)</f>
        <v>2</v>
      </c>
      <c r="H31" s="288" t="str">
        <f t="shared" ca="1" si="0"/>
        <v>B</v>
      </c>
      <c r="I31" s="309" t="str">
        <f ca="1"/>
        <v>B2</v>
      </c>
      <c r="J31" s="310" t="s">
        <v>4</v>
      </c>
      <c r="K31" s="311" t="str">
        <f ca="1"/>
        <v>B4</v>
      </c>
      <c r="L31" s="176" t="str">
        <f t="shared" ca="1" si="1"/>
        <v>Inter Mailand</v>
      </c>
      <c r="M31" s="177" t="s">
        <v>4</v>
      </c>
      <c r="N31" s="178" t="str">
        <f t="shared" ca="1" si="2"/>
        <v>Manchester City</v>
      </c>
      <c r="O31" s="328"/>
      <c r="P31" s="683"/>
      <c r="Q31" s="532"/>
      <c r="R31" s="423"/>
      <c r="S31" s="168"/>
      <c r="T31" s="168"/>
      <c r="U31" s="533"/>
      <c r="W31" s="384">
        <v>2</v>
      </c>
      <c r="X31" s="537">
        <v>6</v>
      </c>
      <c r="Y31" s="538">
        <v>6</v>
      </c>
      <c r="Z31" s="538">
        <v>6</v>
      </c>
      <c r="AA31" s="538">
        <v>6</v>
      </c>
      <c r="AB31" s="538">
        <v>6</v>
      </c>
      <c r="AC31" s="539">
        <v>6</v>
      </c>
      <c r="AD31" s="537">
        <v>6</v>
      </c>
      <c r="AE31" s="538">
        <v>6</v>
      </c>
      <c r="AF31" s="538">
        <v>6</v>
      </c>
      <c r="AG31" s="538">
        <v>6</v>
      </c>
      <c r="AH31" s="538">
        <v>6</v>
      </c>
      <c r="AI31" s="539">
        <v>6</v>
      </c>
      <c r="AJ31" s="537">
        <v>6</v>
      </c>
      <c r="AK31" s="538">
        <v>6</v>
      </c>
      <c r="AL31" s="538">
        <v>6</v>
      </c>
      <c r="AM31" s="538">
        <v>6</v>
      </c>
      <c r="AN31" s="538">
        <v>6</v>
      </c>
      <c r="AO31" s="539">
        <v>6</v>
      </c>
      <c r="AP31" s="537">
        <v>6</v>
      </c>
      <c r="AQ31" s="538">
        <v>6</v>
      </c>
      <c r="AR31" s="538">
        <v>6</v>
      </c>
      <c r="AS31" s="538">
        <v>6</v>
      </c>
      <c r="AT31" s="538">
        <v>6</v>
      </c>
      <c r="AU31" s="539">
        <v>6</v>
      </c>
      <c r="AV31" s="537">
        <v>6</v>
      </c>
      <c r="AW31" s="538">
        <v>6</v>
      </c>
      <c r="AX31" s="538">
        <v>6</v>
      </c>
      <c r="AY31" s="538">
        <v>6</v>
      </c>
      <c r="AZ31" s="538">
        <v>6</v>
      </c>
      <c r="BA31" s="539">
        <v>6</v>
      </c>
      <c r="BB31" s="537">
        <v>6</v>
      </c>
      <c r="BC31" s="538">
        <v>6</v>
      </c>
      <c r="BD31" s="538">
        <v>6</v>
      </c>
      <c r="BE31" s="538">
        <v>6</v>
      </c>
      <c r="BF31" s="538">
        <v>6</v>
      </c>
      <c r="BG31" s="539">
        <v>6</v>
      </c>
      <c r="BH31" s="444"/>
    </row>
    <row r="32" spans="1:60" ht="15.95" customHeight="1" x14ac:dyDescent="0.25">
      <c r="B32" s="834" t="s">
        <v>193</v>
      </c>
      <c r="C32" s="836" t="s">
        <v>240</v>
      </c>
      <c r="D32" s="548">
        <v>27</v>
      </c>
      <c r="E32" s="505">
        <f t="array" aca="1" ref="E32" ca="1">IF($D32&gt;Calc1!$B$14,"",ROW(27:27)-SUM((($L$6:$L31="")+($N$6:$N31="")&gt;0)*1))</f>
        <v>27</v>
      </c>
      <c r="F32" s="171">
        <f ca="1">IF(OR($V$15,$D32&gt;Calc1!$B$14),"",$S$5+QUOTIENT(($E32-1),$V$11)*($S$7+$S$9)/1440+SUM($P$6:$P31)/1440)</f>
        <v>0.52083333333333337</v>
      </c>
      <c r="G32" s="173">
        <f ca="1">IF(OR($V$15,$D32&gt;Calc1!$B$14),"",MOD($E32-1,$V$11)+1)</f>
        <v>3</v>
      </c>
      <c r="H32" s="288" t="str">
        <f t="shared" ca="1" si="0"/>
        <v>C</v>
      </c>
      <c r="I32" s="309" t="str">
        <f ca="1"/>
        <v>C2</v>
      </c>
      <c r="J32" s="310" t="s">
        <v>4</v>
      </c>
      <c r="K32" s="311" t="str">
        <f ca="1"/>
        <v>C4</v>
      </c>
      <c r="L32" s="176" t="str">
        <f t="shared" ca="1" si="1"/>
        <v>Real Madrid</v>
      </c>
      <c r="M32" s="177" t="s">
        <v>4</v>
      </c>
      <c r="N32" s="178" t="str">
        <f t="shared" ca="1" si="2"/>
        <v>FSV Rauen</v>
      </c>
      <c r="O32" s="328"/>
      <c r="P32" s="683"/>
      <c r="Q32" s="532"/>
      <c r="R32" s="426"/>
      <c r="S32" s="168"/>
      <c r="T32" s="168"/>
      <c r="U32" s="533"/>
      <c r="W32" s="384">
        <v>3</v>
      </c>
      <c r="X32" s="537">
        <v>6</v>
      </c>
      <c r="Y32" s="538">
        <v>6</v>
      </c>
      <c r="Z32" s="538">
        <v>6</v>
      </c>
      <c r="AA32" s="538">
        <v>6</v>
      </c>
      <c r="AB32" s="538">
        <v>6</v>
      </c>
      <c r="AC32" s="539">
        <v>6</v>
      </c>
      <c r="AD32" s="537">
        <v>6</v>
      </c>
      <c r="AE32" s="538">
        <v>6</v>
      </c>
      <c r="AF32" s="538">
        <v>6</v>
      </c>
      <c r="AG32" s="538">
        <v>6</v>
      </c>
      <c r="AH32" s="538">
        <v>6</v>
      </c>
      <c r="AI32" s="539">
        <v>6</v>
      </c>
      <c r="AJ32" s="537">
        <v>6</v>
      </c>
      <c r="AK32" s="538">
        <v>6</v>
      </c>
      <c r="AL32" s="538">
        <v>6</v>
      </c>
      <c r="AM32" s="538">
        <v>6</v>
      </c>
      <c r="AN32" s="538">
        <v>6</v>
      </c>
      <c r="AO32" s="539">
        <v>6</v>
      </c>
      <c r="AP32" s="537">
        <v>6</v>
      </c>
      <c r="AQ32" s="538">
        <v>6</v>
      </c>
      <c r="AR32" s="538">
        <v>6</v>
      </c>
      <c r="AS32" s="538">
        <v>6</v>
      </c>
      <c r="AT32" s="538">
        <v>6</v>
      </c>
      <c r="AU32" s="539">
        <v>6</v>
      </c>
      <c r="AV32" s="537">
        <v>6</v>
      </c>
      <c r="AW32" s="538">
        <v>6</v>
      </c>
      <c r="AX32" s="538">
        <v>6</v>
      </c>
      <c r="AY32" s="538">
        <v>6</v>
      </c>
      <c r="AZ32" s="538">
        <v>6</v>
      </c>
      <c r="BA32" s="539">
        <v>6</v>
      </c>
      <c r="BB32" s="537">
        <v>6</v>
      </c>
      <c r="BC32" s="538">
        <v>6</v>
      </c>
      <c r="BD32" s="538">
        <v>6</v>
      </c>
      <c r="BE32" s="538">
        <v>6</v>
      </c>
      <c r="BF32" s="538">
        <v>6</v>
      </c>
      <c r="BG32" s="539">
        <v>6</v>
      </c>
      <c r="BH32" s="444"/>
    </row>
    <row r="33" spans="2:60" ht="15.95" customHeight="1" x14ac:dyDescent="0.25">
      <c r="B33" s="835"/>
      <c r="C33" s="837"/>
      <c r="D33" s="548">
        <v>28</v>
      </c>
      <c r="E33" s="505">
        <f t="array" aca="1" ref="E33" ca="1">IF($D33&gt;Calc1!$B$14,"",ROW(28:28)-SUM((($L$6:$L32="")+($N$6:$N32="")&gt;0)*1))</f>
        <v>28</v>
      </c>
      <c r="F33" s="171">
        <f ca="1">IF(OR($V$15,$D33&gt;Calc1!$B$14),"",$S$5+QUOTIENT(($E33-1),$V$11)*($S$7+$S$9)/1440+SUM($P$6:$P32)/1440)</f>
        <v>0.52083333333333337</v>
      </c>
      <c r="G33" s="173">
        <f ca="1">IF(OR($V$15,$D33&gt;Calc1!$B$14),"",MOD($E33-1,$V$11)+1)</f>
        <v>4</v>
      </c>
      <c r="H33" s="288" t="str">
        <f t="shared" ca="1" si="0"/>
        <v>D</v>
      </c>
      <c r="I33" s="309" t="str">
        <f ca="1"/>
        <v>D2</v>
      </c>
      <c r="J33" s="310" t="s">
        <v>4</v>
      </c>
      <c r="K33" s="311" t="str">
        <f ca="1"/>
        <v>D4</v>
      </c>
      <c r="L33" s="176" t="str">
        <f t="shared" ca="1" si="1"/>
        <v>Paris St. Germain</v>
      </c>
      <c r="M33" s="177" t="s">
        <v>4</v>
      </c>
      <c r="N33" s="178" t="str">
        <f t="shared" ca="1" si="2"/>
        <v>RB Leipzig</v>
      </c>
      <c r="O33" s="328"/>
      <c r="P33" s="683"/>
      <c r="Q33" s="532"/>
      <c r="R33" s="423"/>
      <c r="S33" s="168"/>
      <c r="T33" s="168"/>
      <c r="U33" s="533"/>
      <c r="W33" s="384">
        <v>4</v>
      </c>
      <c r="X33" s="537">
        <v>6</v>
      </c>
      <c r="Y33" s="538">
        <v>6</v>
      </c>
      <c r="Z33" s="538">
        <v>6</v>
      </c>
      <c r="AA33" s="538">
        <v>6</v>
      </c>
      <c r="AB33" s="538">
        <v>6</v>
      </c>
      <c r="AC33" s="539">
        <v>6</v>
      </c>
      <c r="AD33" s="537">
        <v>6</v>
      </c>
      <c r="AE33" s="538">
        <v>6</v>
      </c>
      <c r="AF33" s="538">
        <v>6</v>
      </c>
      <c r="AG33" s="538">
        <v>6</v>
      </c>
      <c r="AH33" s="538">
        <v>6</v>
      </c>
      <c r="AI33" s="539">
        <v>6</v>
      </c>
      <c r="AJ33" s="537">
        <v>6</v>
      </c>
      <c r="AK33" s="538">
        <v>6</v>
      </c>
      <c r="AL33" s="538">
        <v>6</v>
      </c>
      <c r="AM33" s="538">
        <v>6</v>
      </c>
      <c r="AN33" s="538">
        <v>6</v>
      </c>
      <c r="AO33" s="539">
        <v>6</v>
      </c>
      <c r="AP33" s="537">
        <v>6</v>
      </c>
      <c r="AQ33" s="538">
        <v>6</v>
      </c>
      <c r="AR33" s="538">
        <v>6</v>
      </c>
      <c r="AS33" s="538">
        <v>6</v>
      </c>
      <c r="AT33" s="538">
        <v>6</v>
      </c>
      <c r="AU33" s="539">
        <v>6</v>
      </c>
      <c r="AV33" s="537">
        <v>6</v>
      </c>
      <c r="AW33" s="538">
        <v>6</v>
      </c>
      <c r="AX33" s="538">
        <v>6</v>
      </c>
      <c r="AY33" s="538">
        <v>6</v>
      </c>
      <c r="AZ33" s="538">
        <v>6</v>
      </c>
      <c r="BA33" s="539">
        <v>6</v>
      </c>
      <c r="BB33" s="537">
        <v>6</v>
      </c>
      <c r="BC33" s="538">
        <v>6</v>
      </c>
      <c r="BD33" s="538">
        <v>6</v>
      </c>
      <c r="BE33" s="538">
        <v>6</v>
      </c>
      <c r="BF33" s="538">
        <v>6</v>
      </c>
      <c r="BG33" s="539">
        <v>6</v>
      </c>
      <c r="BH33" s="444"/>
    </row>
    <row r="34" spans="2:60" ht="15.95" customHeight="1" x14ac:dyDescent="0.25">
      <c r="B34" s="834" t="s">
        <v>195</v>
      </c>
      <c r="C34" s="836"/>
      <c r="D34" s="548">
        <v>29</v>
      </c>
      <c r="E34" s="505">
        <f t="array" aca="1" ref="E34" ca="1">IF($D34&gt;Calc1!$B$14,"",ROW(29:29)-SUM((($L$6:$L33="")+($N$6:$N33="")&gt;0)*1))</f>
        <v>29</v>
      </c>
      <c r="F34" s="171">
        <f ca="1">IF(OR($V$15,$D34&gt;Calc1!$B$14),"",$S$5+QUOTIENT(($E34-1),$V$11)*($S$7+$S$9)/1440+SUM($P$6:$P33)/1440)</f>
        <v>0.54513888888888884</v>
      </c>
      <c r="G34" s="173">
        <f ca="1">IF(OR($V$15,$D34&gt;Calc1!$B$14),"",MOD($E34-1,$V$11)+1)</f>
        <v>1</v>
      </c>
      <c r="H34" s="288" t="str">
        <f t="shared" ca="1" si="0"/>
        <v>A</v>
      </c>
      <c r="I34" s="309" t="str">
        <f ca="1"/>
        <v>A3</v>
      </c>
      <c r="J34" s="310" t="s">
        <v>4</v>
      </c>
      <c r="K34" s="311" t="str">
        <f ca="1"/>
        <v>A1</v>
      </c>
      <c r="L34" s="176" t="str">
        <f t="shared" ca="1" si="1"/>
        <v>Eintracht Frankfurt</v>
      </c>
      <c r="M34" s="177" t="s">
        <v>4</v>
      </c>
      <c r="N34" s="178" t="str">
        <f t="shared" ca="1" si="2"/>
        <v>1. FC Riedwald</v>
      </c>
      <c r="O34" s="328"/>
      <c r="P34" s="684"/>
      <c r="Q34" s="532"/>
      <c r="R34" s="423"/>
      <c r="S34" s="168"/>
      <c r="T34" s="168"/>
      <c r="U34" s="533"/>
      <c r="W34" s="384">
        <v>5</v>
      </c>
      <c r="X34" s="537">
        <v>6</v>
      </c>
      <c r="Y34" s="538">
        <v>6</v>
      </c>
      <c r="Z34" s="538">
        <v>6</v>
      </c>
      <c r="AA34" s="538">
        <v>6</v>
      </c>
      <c r="AB34" s="538">
        <v>6</v>
      </c>
      <c r="AC34" s="539">
        <v>6</v>
      </c>
      <c r="AD34" s="537">
        <v>6</v>
      </c>
      <c r="AE34" s="538">
        <v>6</v>
      </c>
      <c r="AF34" s="538">
        <v>6</v>
      </c>
      <c r="AG34" s="538">
        <v>6</v>
      </c>
      <c r="AH34" s="538">
        <v>6</v>
      </c>
      <c r="AI34" s="539">
        <v>6</v>
      </c>
      <c r="AJ34" s="537">
        <v>6</v>
      </c>
      <c r="AK34" s="538">
        <v>6</v>
      </c>
      <c r="AL34" s="538">
        <v>6</v>
      </c>
      <c r="AM34" s="538">
        <v>6</v>
      </c>
      <c r="AN34" s="538">
        <v>6</v>
      </c>
      <c r="AO34" s="539">
        <v>6</v>
      </c>
      <c r="AP34" s="537">
        <v>6</v>
      </c>
      <c r="AQ34" s="538">
        <v>6</v>
      </c>
      <c r="AR34" s="538">
        <v>6</v>
      </c>
      <c r="AS34" s="538">
        <v>6</v>
      </c>
      <c r="AT34" s="538">
        <v>6</v>
      </c>
      <c r="AU34" s="539">
        <v>6</v>
      </c>
      <c r="AV34" s="537">
        <v>6</v>
      </c>
      <c r="AW34" s="538">
        <v>6</v>
      </c>
      <c r="AX34" s="538">
        <v>6</v>
      </c>
      <c r="AY34" s="538">
        <v>6</v>
      </c>
      <c r="AZ34" s="538">
        <v>6</v>
      </c>
      <c r="BA34" s="539">
        <v>6</v>
      </c>
      <c r="BB34" s="537">
        <v>6</v>
      </c>
      <c r="BC34" s="538">
        <v>6</v>
      </c>
      <c r="BD34" s="538">
        <v>6</v>
      </c>
      <c r="BE34" s="538">
        <v>6</v>
      </c>
      <c r="BF34" s="538">
        <v>6</v>
      </c>
      <c r="BG34" s="539">
        <v>6</v>
      </c>
      <c r="BH34" s="444"/>
    </row>
    <row r="35" spans="2:60" ht="15.95" customHeight="1" thickBot="1" x14ac:dyDescent="0.3">
      <c r="B35" s="838"/>
      <c r="C35" s="839"/>
      <c r="D35" s="548">
        <v>30</v>
      </c>
      <c r="E35" s="505">
        <f t="array" aca="1" ref="E35" ca="1">IF($D35&gt;Calc1!$B$14,"",ROW(30:30)-SUM((($L$6:$L34="")+($N$6:$N34="")&gt;0)*1))</f>
        <v>30</v>
      </c>
      <c r="F35" s="171">
        <f ca="1">IF(OR($V$15,$D35&gt;Calc1!$B$14),"",$S$5+QUOTIENT(($E35-1),$V$11)*($S$7+$S$9)/1440+SUM($P$6:$P34)/1440)</f>
        <v>0.54513888888888884</v>
      </c>
      <c r="G35" s="173">
        <f ca="1">IF(OR($V$15,$D35&gt;Calc1!$B$14),"",MOD($E35-1,$V$11)+1)</f>
        <v>2</v>
      </c>
      <c r="H35" s="288" t="str">
        <f t="shared" ca="1" si="0"/>
        <v>B</v>
      </c>
      <c r="I35" s="309" t="str">
        <f ca="1"/>
        <v>B3</v>
      </c>
      <c r="J35" s="310" t="s">
        <v>4</v>
      </c>
      <c r="K35" s="311" t="str">
        <f ca="1"/>
        <v>B1</v>
      </c>
      <c r="L35" s="176" t="str">
        <f t="shared" ca="1" si="1"/>
        <v>SSV Wildbach</v>
      </c>
      <c r="M35" s="177" t="s">
        <v>4</v>
      </c>
      <c r="N35" s="178" t="str">
        <f t="shared" ca="1" si="2"/>
        <v>Mainz 05</v>
      </c>
      <c r="O35" s="328"/>
      <c r="P35" s="684"/>
      <c r="Q35" s="532"/>
      <c r="R35" s="423"/>
      <c r="S35" s="168"/>
      <c r="T35" s="168"/>
      <c r="U35" s="533"/>
      <c r="W35" s="385">
        <v>6</v>
      </c>
      <c r="X35" s="540">
        <v>6</v>
      </c>
      <c r="Y35" s="541">
        <v>6</v>
      </c>
      <c r="Z35" s="541">
        <v>6</v>
      </c>
      <c r="AA35" s="541">
        <v>6</v>
      </c>
      <c r="AB35" s="541">
        <v>6</v>
      </c>
      <c r="AC35" s="542">
        <v>6</v>
      </c>
      <c r="AD35" s="540">
        <v>6</v>
      </c>
      <c r="AE35" s="541">
        <v>6</v>
      </c>
      <c r="AF35" s="541">
        <v>6</v>
      </c>
      <c r="AG35" s="541">
        <v>6</v>
      </c>
      <c r="AH35" s="541">
        <v>6</v>
      </c>
      <c r="AI35" s="542">
        <v>6</v>
      </c>
      <c r="AJ35" s="540">
        <v>6</v>
      </c>
      <c r="AK35" s="541">
        <v>6</v>
      </c>
      <c r="AL35" s="541">
        <v>6</v>
      </c>
      <c r="AM35" s="541">
        <v>6</v>
      </c>
      <c r="AN35" s="541">
        <v>6</v>
      </c>
      <c r="AO35" s="542">
        <v>6</v>
      </c>
      <c r="AP35" s="540">
        <v>6</v>
      </c>
      <c r="AQ35" s="541">
        <v>6</v>
      </c>
      <c r="AR35" s="541">
        <v>6</v>
      </c>
      <c r="AS35" s="541">
        <v>6</v>
      </c>
      <c r="AT35" s="541">
        <v>6</v>
      </c>
      <c r="AU35" s="542">
        <v>6</v>
      </c>
      <c r="AV35" s="540">
        <v>6</v>
      </c>
      <c r="AW35" s="541">
        <v>6</v>
      </c>
      <c r="AX35" s="541">
        <v>6</v>
      </c>
      <c r="AY35" s="541">
        <v>6</v>
      </c>
      <c r="AZ35" s="541">
        <v>6</v>
      </c>
      <c r="BA35" s="542">
        <v>6</v>
      </c>
      <c r="BB35" s="540">
        <v>6</v>
      </c>
      <c r="BC35" s="541">
        <v>6</v>
      </c>
      <c r="BD35" s="541">
        <v>6</v>
      </c>
      <c r="BE35" s="541">
        <v>6</v>
      </c>
      <c r="BF35" s="541">
        <v>6</v>
      </c>
      <c r="BG35" s="542">
        <v>6</v>
      </c>
      <c r="BH35" s="444"/>
    </row>
    <row r="36" spans="2:60" ht="18" customHeight="1" thickTop="1" x14ac:dyDescent="0.25">
      <c r="C36" s="424"/>
      <c r="D36" s="548">
        <v>31</v>
      </c>
      <c r="E36" s="505">
        <f t="array" aca="1" ref="E36" ca="1">IF($D36&gt;Calc1!$B$14,"",ROW(31:31)-SUM((($L$6:$L35="")+($N$6:$N35="")&gt;0)*1))</f>
        <v>31</v>
      </c>
      <c r="F36" s="171">
        <f ca="1">IF(OR($V$15,$D36&gt;Calc1!$B$14),"",$S$5+QUOTIENT(($E36-1),$V$11)*($S$7+$S$9)/1440+SUM($P$6:$P35)/1440)</f>
        <v>0.54513888888888884</v>
      </c>
      <c r="G36" s="173">
        <f ca="1">IF(OR($V$15,$D36&gt;Calc1!$B$14),"",MOD($E36-1,$V$11)+1)</f>
        <v>3</v>
      </c>
      <c r="H36" s="288" t="str">
        <f t="shared" ca="1" si="0"/>
        <v>C</v>
      </c>
      <c r="I36" s="309" t="str">
        <f ca="1"/>
        <v>C3</v>
      </c>
      <c r="J36" s="310" t="s">
        <v>4</v>
      </c>
      <c r="K36" s="311" t="str">
        <f ca="1"/>
        <v>C1</v>
      </c>
      <c r="L36" s="176" t="str">
        <f t="shared" ca="1" si="1"/>
        <v>Borussia Dortmund</v>
      </c>
      <c r="M36" s="177" t="s">
        <v>4</v>
      </c>
      <c r="N36" s="178" t="str">
        <f t="shared" ca="1" si="2"/>
        <v>Kickers Rodendorf</v>
      </c>
      <c r="O36" s="328"/>
      <c r="P36" s="684"/>
      <c r="Q36" s="167"/>
      <c r="R36" s="423"/>
      <c r="S36" s="168"/>
      <c r="T36" s="168"/>
      <c r="U36" s="305"/>
      <c r="W36" s="384">
        <v>1</v>
      </c>
      <c r="X36" s="534">
        <v>6</v>
      </c>
      <c r="Y36" s="535">
        <v>6</v>
      </c>
      <c r="Z36" s="535">
        <v>6</v>
      </c>
      <c r="AA36" s="535">
        <v>6</v>
      </c>
      <c r="AB36" s="535">
        <v>6</v>
      </c>
      <c r="AC36" s="536">
        <v>6</v>
      </c>
      <c r="AD36" s="534">
        <v>6</v>
      </c>
      <c r="AE36" s="535">
        <v>6</v>
      </c>
      <c r="AF36" s="535">
        <v>6</v>
      </c>
      <c r="AG36" s="535">
        <v>6</v>
      </c>
      <c r="AH36" s="535">
        <v>6</v>
      </c>
      <c r="AI36" s="536">
        <v>6</v>
      </c>
      <c r="AJ36" s="534">
        <v>6</v>
      </c>
      <c r="AK36" s="535">
        <v>6</v>
      </c>
      <c r="AL36" s="535">
        <v>6</v>
      </c>
      <c r="AM36" s="535">
        <v>6</v>
      </c>
      <c r="AN36" s="535">
        <v>6</v>
      </c>
      <c r="AO36" s="536">
        <v>6</v>
      </c>
      <c r="AP36" s="534">
        <v>6</v>
      </c>
      <c r="AQ36" s="535">
        <v>6</v>
      </c>
      <c r="AR36" s="535">
        <v>6</v>
      </c>
      <c r="AS36" s="535">
        <v>6</v>
      </c>
      <c r="AT36" s="535">
        <v>6</v>
      </c>
      <c r="AU36" s="536">
        <v>6</v>
      </c>
      <c r="AV36" s="534">
        <v>6</v>
      </c>
      <c r="AW36" s="535">
        <v>6</v>
      </c>
      <c r="AX36" s="535">
        <v>6</v>
      </c>
      <c r="AY36" s="535">
        <v>6</v>
      </c>
      <c r="AZ36" s="535">
        <v>6</v>
      </c>
      <c r="BA36" s="536">
        <v>6</v>
      </c>
      <c r="BB36" s="534">
        <v>6</v>
      </c>
      <c r="BC36" s="535">
        <v>6</v>
      </c>
      <c r="BD36" s="535">
        <v>6</v>
      </c>
      <c r="BE36" s="535">
        <v>6</v>
      </c>
      <c r="BF36" s="535">
        <v>6</v>
      </c>
      <c r="BG36" s="536">
        <v>6</v>
      </c>
      <c r="BH36" s="443">
        <v>6</v>
      </c>
    </row>
    <row r="37" spans="2:60" ht="17.25" customHeight="1" x14ac:dyDescent="0.25">
      <c r="B37" s="840"/>
      <c r="C37" s="842" t="str">
        <f>Sprache!$E$16&amp;" C"</f>
        <v>Gruppe C</v>
      </c>
      <c r="D37" s="548">
        <v>32</v>
      </c>
      <c r="E37" s="505">
        <f t="array" aca="1" ref="E37" ca="1">IF($D37&gt;Calc1!$B$14,"",ROW(32:32)-SUM((($L$6:$L36="")+($N$6:$N36="")&gt;0)*1))</f>
        <v>32</v>
      </c>
      <c r="F37" s="171">
        <f ca="1">IF(OR($V$15,$D37&gt;Calc1!$B$14),"",$S$5+QUOTIENT(($E37-1),$V$11)*($S$7+$S$9)/1440+SUM($P$6:$P36)/1440)</f>
        <v>0.54513888888888884</v>
      </c>
      <c r="G37" s="173">
        <f ca="1">IF(OR($V$15,$D37&gt;Calc1!$B$14),"",MOD($E37-1,$V$11)+1)</f>
        <v>4</v>
      </c>
      <c r="H37" s="288" t="str">
        <f t="shared" ca="1" si="0"/>
        <v>D</v>
      </c>
      <c r="I37" s="309" t="str">
        <f ca="1"/>
        <v>D3</v>
      </c>
      <c r="J37" s="310" t="s">
        <v>4</v>
      </c>
      <c r="K37" s="311" t="str">
        <f ca="1"/>
        <v>D1</v>
      </c>
      <c r="L37" s="176" t="str">
        <f t="shared" ca="1" si="1"/>
        <v>HSV</v>
      </c>
      <c r="M37" s="177" t="s">
        <v>4</v>
      </c>
      <c r="N37" s="178" t="str">
        <f t="shared" ca="1" si="2"/>
        <v>TSG Saalberg eV</v>
      </c>
      <c r="O37" s="328"/>
      <c r="P37" s="684"/>
      <c r="Q37" s="167"/>
      <c r="R37" s="423"/>
      <c r="S37" s="168"/>
      <c r="T37" s="168"/>
      <c r="U37" s="305"/>
      <c r="W37" s="384">
        <v>2</v>
      </c>
      <c r="X37" s="537">
        <v>6</v>
      </c>
      <c r="Y37" s="538">
        <v>6</v>
      </c>
      <c r="Z37" s="538">
        <v>6</v>
      </c>
      <c r="AA37" s="538">
        <v>6</v>
      </c>
      <c r="AB37" s="538">
        <v>6</v>
      </c>
      <c r="AC37" s="539">
        <v>6</v>
      </c>
      <c r="AD37" s="537">
        <v>6</v>
      </c>
      <c r="AE37" s="538">
        <v>6</v>
      </c>
      <c r="AF37" s="538">
        <v>6</v>
      </c>
      <c r="AG37" s="538">
        <v>6</v>
      </c>
      <c r="AH37" s="538">
        <v>6</v>
      </c>
      <c r="AI37" s="539">
        <v>6</v>
      </c>
      <c r="AJ37" s="537">
        <v>6</v>
      </c>
      <c r="AK37" s="538">
        <v>6</v>
      </c>
      <c r="AL37" s="538">
        <v>6</v>
      </c>
      <c r="AM37" s="538">
        <v>6</v>
      </c>
      <c r="AN37" s="538">
        <v>6</v>
      </c>
      <c r="AO37" s="539">
        <v>6</v>
      </c>
      <c r="AP37" s="537">
        <v>6</v>
      </c>
      <c r="AQ37" s="538">
        <v>6</v>
      </c>
      <c r="AR37" s="538">
        <v>6</v>
      </c>
      <c r="AS37" s="538">
        <v>6</v>
      </c>
      <c r="AT37" s="538">
        <v>6</v>
      </c>
      <c r="AU37" s="539">
        <v>6</v>
      </c>
      <c r="AV37" s="537">
        <v>6</v>
      </c>
      <c r="AW37" s="538">
        <v>6</v>
      </c>
      <c r="AX37" s="538">
        <v>6</v>
      </c>
      <c r="AY37" s="538">
        <v>6</v>
      </c>
      <c r="AZ37" s="538">
        <v>6</v>
      </c>
      <c r="BA37" s="539">
        <v>6</v>
      </c>
      <c r="BB37" s="537">
        <v>6</v>
      </c>
      <c r="BC37" s="538">
        <v>6</v>
      </c>
      <c r="BD37" s="538">
        <v>6</v>
      </c>
      <c r="BE37" s="538">
        <v>6</v>
      </c>
      <c r="BF37" s="538">
        <v>6</v>
      </c>
      <c r="BG37" s="539">
        <v>6</v>
      </c>
    </row>
    <row r="38" spans="2:60" ht="18" customHeight="1" thickBot="1" x14ac:dyDescent="0.3">
      <c r="B38" s="841"/>
      <c r="C38" s="843"/>
      <c r="D38" s="548">
        <v>33</v>
      </c>
      <c r="E38" s="505">
        <f t="array" aca="1" ref="E38" ca="1">IF($D38&gt;Calc1!$B$14,"",ROW(33:33)-SUM((($L$6:$L37="")+($N$6:$N37="")&gt;0)*1))</f>
        <v>33</v>
      </c>
      <c r="F38" s="171">
        <f ca="1">IF(OR($V$15,$D38&gt;Calc1!$B$14),"",$S$5+QUOTIENT(($E38-1),$V$11)*($S$7+$S$9)/1440+SUM($P$6:$P37)/1440)</f>
        <v>0.56944444444444442</v>
      </c>
      <c r="G38" s="173">
        <f ca="1">IF(OR($V$15,$D38&gt;Calc1!$B$14),"",MOD($E38-1,$V$11)+1)</f>
        <v>1</v>
      </c>
      <c r="H38" s="288" t="str">
        <f t="shared" ca="1" si="0"/>
        <v>A</v>
      </c>
      <c r="I38" s="309" t="str">
        <f ca="1"/>
        <v>A4</v>
      </c>
      <c r="J38" s="310" t="s">
        <v>4</v>
      </c>
      <c r="K38" s="311" t="str">
        <f ca="1"/>
        <v>A5</v>
      </c>
      <c r="L38" s="176" t="str">
        <f t="shared" ca="1" si="1"/>
        <v>Maibach 1822 eV</v>
      </c>
      <c r="M38" s="177" t="s">
        <v>4</v>
      </c>
      <c r="N38" s="178" t="str">
        <f t="shared" ca="1" si="2"/>
        <v>VFB Essenheim</v>
      </c>
      <c r="O38" s="328"/>
      <c r="P38" s="684"/>
      <c r="Q38" s="167"/>
      <c r="R38" s="423"/>
      <c r="S38" s="168"/>
      <c r="T38" s="168"/>
      <c r="U38" s="168"/>
      <c r="W38" s="384">
        <v>3</v>
      </c>
      <c r="X38" s="537">
        <v>6</v>
      </c>
      <c r="Y38" s="538">
        <v>6</v>
      </c>
      <c r="Z38" s="538">
        <v>6</v>
      </c>
      <c r="AA38" s="538">
        <v>6</v>
      </c>
      <c r="AB38" s="538">
        <v>6</v>
      </c>
      <c r="AC38" s="539">
        <v>6</v>
      </c>
      <c r="AD38" s="537">
        <v>6</v>
      </c>
      <c r="AE38" s="538">
        <v>6</v>
      </c>
      <c r="AF38" s="538">
        <v>6</v>
      </c>
      <c r="AG38" s="538">
        <v>6</v>
      </c>
      <c r="AH38" s="538">
        <v>6</v>
      </c>
      <c r="AI38" s="539">
        <v>6</v>
      </c>
      <c r="AJ38" s="537">
        <v>6</v>
      </c>
      <c r="AK38" s="538">
        <v>6</v>
      </c>
      <c r="AL38" s="538">
        <v>6</v>
      </c>
      <c r="AM38" s="538">
        <v>6</v>
      </c>
      <c r="AN38" s="538">
        <v>6</v>
      </c>
      <c r="AO38" s="539">
        <v>6</v>
      </c>
      <c r="AP38" s="537">
        <v>6</v>
      </c>
      <c r="AQ38" s="538">
        <v>6</v>
      </c>
      <c r="AR38" s="538">
        <v>6</v>
      </c>
      <c r="AS38" s="538">
        <v>6</v>
      </c>
      <c r="AT38" s="538">
        <v>6</v>
      </c>
      <c r="AU38" s="539">
        <v>6</v>
      </c>
      <c r="AV38" s="537">
        <v>6</v>
      </c>
      <c r="AW38" s="538">
        <v>6</v>
      </c>
      <c r="AX38" s="538">
        <v>6</v>
      </c>
      <c r="AY38" s="538">
        <v>6</v>
      </c>
      <c r="AZ38" s="538">
        <v>6</v>
      </c>
      <c r="BA38" s="539">
        <v>6</v>
      </c>
      <c r="BB38" s="537">
        <v>6</v>
      </c>
      <c r="BC38" s="538">
        <v>6</v>
      </c>
      <c r="BD38" s="538">
        <v>6</v>
      </c>
      <c r="BE38" s="538">
        <v>6</v>
      </c>
      <c r="BF38" s="538">
        <v>6</v>
      </c>
      <c r="BG38" s="539">
        <v>6</v>
      </c>
    </row>
    <row r="39" spans="2:60" ht="18" customHeight="1" thickTop="1" x14ac:dyDescent="0.25">
      <c r="B39" s="844"/>
      <c r="C39" s="846" t="str">
        <f>Sprache!$E$10</f>
        <v>Teilnehmer bzw. Mannschaft</v>
      </c>
      <c r="D39" s="548">
        <v>34</v>
      </c>
      <c r="E39" s="505">
        <f t="array" aca="1" ref="E39" ca="1">IF($D39&gt;Calc1!$B$14,"",ROW(34:34)-SUM((($L$6:$L38="")+($N$6:$N38="")&gt;0)*1))</f>
        <v>34</v>
      </c>
      <c r="F39" s="171">
        <f ca="1">IF(OR($V$15,$D39&gt;Calc1!$B$14),"",$S$5+QUOTIENT(($E39-1),$V$11)*($S$7+$S$9)/1440+SUM($P$6:$P38)/1440)</f>
        <v>0.56944444444444442</v>
      </c>
      <c r="G39" s="173">
        <f ca="1">IF(OR($V$15,$D39&gt;Calc1!$B$14),"",MOD($E39-1,$V$11)+1)</f>
        <v>2</v>
      </c>
      <c r="H39" s="288" t="str">
        <f t="shared" ca="1" si="0"/>
        <v>B</v>
      </c>
      <c r="I39" s="309" t="str">
        <f ca="1"/>
        <v>B4</v>
      </c>
      <c r="J39" s="310" t="s">
        <v>4</v>
      </c>
      <c r="K39" s="311" t="str">
        <f ca="1"/>
        <v>B5</v>
      </c>
      <c r="L39" s="176" t="str">
        <f t="shared" ca="1" si="1"/>
        <v>Manchester City</v>
      </c>
      <c r="M39" s="177" t="s">
        <v>4</v>
      </c>
      <c r="N39" s="178" t="str">
        <f t="shared" ca="1" si="2"/>
        <v>FC Grönlingen</v>
      </c>
      <c r="O39" s="328"/>
      <c r="P39" s="684"/>
      <c r="Q39" s="167"/>
      <c r="R39" s="423"/>
      <c r="S39" s="168"/>
      <c r="T39" s="168"/>
      <c r="U39" s="168"/>
      <c r="W39" s="384">
        <v>4</v>
      </c>
      <c r="X39" s="537">
        <v>6</v>
      </c>
      <c r="Y39" s="538">
        <v>6</v>
      </c>
      <c r="Z39" s="538">
        <v>6</v>
      </c>
      <c r="AA39" s="538">
        <v>6</v>
      </c>
      <c r="AB39" s="538">
        <v>6</v>
      </c>
      <c r="AC39" s="539">
        <v>6</v>
      </c>
      <c r="AD39" s="537">
        <v>6</v>
      </c>
      <c r="AE39" s="538">
        <v>6</v>
      </c>
      <c r="AF39" s="538">
        <v>6</v>
      </c>
      <c r="AG39" s="538">
        <v>6</v>
      </c>
      <c r="AH39" s="538">
        <v>6</v>
      </c>
      <c r="AI39" s="539">
        <v>6</v>
      </c>
      <c r="AJ39" s="537">
        <v>6</v>
      </c>
      <c r="AK39" s="538">
        <v>6</v>
      </c>
      <c r="AL39" s="538">
        <v>6</v>
      </c>
      <c r="AM39" s="538">
        <v>6</v>
      </c>
      <c r="AN39" s="538">
        <v>6</v>
      </c>
      <c r="AO39" s="539">
        <v>6</v>
      </c>
      <c r="AP39" s="537">
        <v>6</v>
      </c>
      <c r="AQ39" s="538">
        <v>6</v>
      </c>
      <c r="AR39" s="538">
        <v>6</v>
      </c>
      <c r="AS39" s="538">
        <v>6</v>
      </c>
      <c r="AT39" s="538">
        <v>6</v>
      </c>
      <c r="AU39" s="539">
        <v>6</v>
      </c>
      <c r="AV39" s="537">
        <v>6</v>
      </c>
      <c r="AW39" s="538">
        <v>6</v>
      </c>
      <c r="AX39" s="538">
        <v>6</v>
      </c>
      <c r="AY39" s="538">
        <v>6</v>
      </c>
      <c r="AZ39" s="538">
        <v>6</v>
      </c>
      <c r="BA39" s="539">
        <v>6</v>
      </c>
      <c r="BB39" s="537">
        <v>6</v>
      </c>
      <c r="BC39" s="538">
        <v>6</v>
      </c>
      <c r="BD39" s="538">
        <v>6</v>
      </c>
      <c r="BE39" s="538">
        <v>6</v>
      </c>
      <c r="BF39" s="538">
        <v>6</v>
      </c>
      <c r="BG39" s="539">
        <v>6</v>
      </c>
    </row>
    <row r="40" spans="2:60" ht="17.25" customHeight="1" x14ac:dyDescent="0.25">
      <c r="B40" s="845"/>
      <c r="C40" s="847"/>
      <c r="D40" s="548">
        <v>35</v>
      </c>
      <c r="E40" s="505">
        <f t="array" aca="1" ref="E40" ca="1">IF($D40&gt;Calc1!$B$14,"",ROW(35:35)-SUM((($L$6:$L39="")+($N$6:$N39="")&gt;0)*1))</f>
        <v>35</v>
      </c>
      <c r="F40" s="171">
        <f ca="1">IF(OR($V$15,$D40&gt;Calc1!$B$14),"",$S$5+QUOTIENT(($E40-1),$V$11)*($S$7+$S$9)/1440+SUM($P$6:$P39)/1440)</f>
        <v>0.56944444444444442</v>
      </c>
      <c r="G40" s="173">
        <f ca="1">IF(OR($V$15,$D40&gt;Calc1!$B$14),"",MOD($E40-1,$V$11)+1)</f>
        <v>3</v>
      </c>
      <c r="H40" s="288" t="str">
        <f t="shared" ca="1" si="0"/>
        <v>C</v>
      </c>
      <c r="I40" s="309" t="str">
        <f ca="1"/>
        <v>C4</v>
      </c>
      <c r="J40" s="310" t="s">
        <v>4</v>
      </c>
      <c r="K40" s="311" t="str">
        <f ca="1"/>
        <v>C5</v>
      </c>
      <c r="L40" s="176" t="str">
        <f t="shared" ca="1" si="1"/>
        <v>FSV Rauen</v>
      </c>
      <c r="M40" s="177" t="s">
        <v>4</v>
      </c>
      <c r="N40" s="178" t="str">
        <f t="shared" ca="1" si="2"/>
        <v>1. FC Nürnberg</v>
      </c>
      <c r="O40" s="328"/>
      <c r="P40" s="684"/>
      <c r="Q40" s="167"/>
      <c r="R40" s="423"/>
      <c r="S40" s="168"/>
      <c r="T40" s="168"/>
      <c r="U40" s="168"/>
      <c r="W40" s="384">
        <v>5</v>
      </c>
      <c r="X40" s="537">
        <v>6</v>
      </c>
      <c r="Y40" s="538">
        <v>6</v>
      </c>
      <c r="Z40" s="538">
        <v>6</v>
      </c>
      <c r="AA40" s="538">
        <v>6</v>
      </c>
      <c r="AB40" s="538">
        <v>6</v>
      </c>
      <c r="AC40" s="539">
        <v>6</v>
      </c>
      <c r="AD40" s="537">
        <v>6</v>
      </c>
      <c r="AE40" s="538">
        <v>6</v>
      </c>
      <c r="AF40" s="538">
        <v>6</v>
      </c>
      <c r="AG40" s="538">
        <v>6</v>
      </c>
      <c r="AH40" s="538">
        <v>6</v>
      </c>
      <c r="AI40" s="539">
        <v>6</v>
      </c>
      <c r="AJ40" s="537">
        <v>6</v>
      </c>
      <c r="AK40" s="538">
        <v>6</v>
      </c>
      <c r="AL40" s="538">
        <v>6</v>
      </c>
      <c r="AM40" s="538">
        <v>6</v>
      </c>
      <c r="AN40" s="538">
        <v>6</v>
      </c>
      <c r="AO40" s="539">
        <v>6</v>
      </c>
      <c r="AP40" s="537">
        <v>6</v>
      </c>
      <c r="AQ40" s="538">
        <v>6</v>
      </c>
      <c r="AR40" s="538">
        <v>6</v>
      </c>
      <c r="AS40" s="538">
        <v>6</v>
      </c>
      <c r="AT40" s="538">
        <v>6</v>
      </c>
      <c r="AU40" s="539">
        <v>6</v>
      </c>
      <c r="AV40" s="537">
        <v>6</v>
      </c>
      <c r="AW40" s="538">
        <v>6</v>
      </c>
      <c r="AX40" s="538">
        <v>6</v>
      </c>
      <c r="AY40" s="538">
        <v>6</v>
      </c>
      <c r="AZ40" s="538">
        <v>6</v>
      </c>
      <c r="BA40" s="539">
        <v>6</v>
      </c>
      <c r="BB40" s="537">
        <v>6</v>
      </c>
      <c r="BC40" s="538">
        <v>6</v>
      </c>
      <c r="BD40" s="538">
        <v>6</v>
      </c>
      <c r="BE40" s="538">
        <v>6</v>
      </c>
      <c r="BF40" s="538">
        <v>6</v>
      </c>
      <c r="BG40" s="539">
        <v>6</v>
      </c>
    </row>
    <row r="41" spans="2:60" ht="17.25" customHeight="1" thickBot="1" x14ac:dyDescent="0.3">
      <c r="B41" s="848" t="s">
        <v>260</v>
      </c>
      <c r="C41" s="849" t="s">
        <v>253</v>
      </c>
      <c r="D41" s="548">
        <v>36</v>
      </c>
      <c r="E41" s="505">
        <f t="array" aca="1" ref="E41" ca="1">IF($D41&gt;Calc1!$B$14,"",ROW(36:36)-SUM((($L$6:$L40="")+($N$6:$N40="")&gt;0)*1))</f>
        <v>36</v>
      </c>
      <c r="F41" s="171">
        <f ca="1">IF(OR($V$15,$D41&gt;Calc1!$B$14),"",$S$5+QUOTIENT(($E41-1),$V$11)*($S$7+$S$9)/1440+SUM($P$6:$P40)/1440)</f>
        <v>0.56944444444444442</v>
      </c>
      <c r="G41" s="173">
        <f ca="1">IF(OR($V$15,$D41&gt;Calc1!$B$14),"",MOD($E41-1,$V$11)+1)</f>
        <v>4</v>
      </c>
      <c r="H41" s="288" t="str">
        <f t="shared" ca="1" si="0"/>
        <v>D</v>
      </c>
      <c r="I41" s="309" t="str">
        <f ca="1"/>
        <v>D4</v>
      </c>
      <c r="J41" s="310" t="s">
        <v>4</v>
      </c>
      <c r="K41" s="311" t="str">
        <f ca="1"/>
        <v>D5</v>
      </c>
      <c r="L41" s="176" t="str">
        <f t="shared" ca="1" si="1"/>
        <v>RB Leipzig</v>
      </c>
      <c r="M41" s="177" t="s">
        <v>4</v>
      </c>
      <c r="N41" s="178" t="str">
        <f t="shared" ca="1" si="2"/>
        <v>SV Oberredenburg</v>
      </c>
      <c r="O41" s="328"/>
      <c r="P41" s="684"/>
      <c r="Q41" s="167"/>
      <c r="R41" s="423"/>
      <c r="S41" s="168"/>
      <c r="T41" s="168"/>
      <c r="U41" s="168"/>
      <c r="W41" s="385">
        <v>6</v>
      </c>
      <c r="X41" s="540">
        <v>6</v>
      </c>
      <c r="Y41" s="541">
        <v>6</v>
      </c>
      <c r="Z41" s="541">
        <v>6</v>
      </c>
      <c r="AA41" s="541">
        <v>6</v>
      </c>
      <c r="AB41" s="541">
        <v>6</v>
      </c>
      <c r="AC41" s="542">
        <v>6</v>
      </c>
      <c r="AD41" s="540">
        <v>6</v>
      </c>
      <c r="AE41" s="541">
        <v>6</v>
      </c>
      <c r="AF41" s="541">
        <v>6</v>
      </c>
      <c r="AG41" s="541">
        <v>6</v>
      </c>
      <c r="AH41" s="541">
        <v>6</v>
      </c>
      <c r="AI41" s="542">
        <v>6</v>
      </c>
      <c r="AJ41" s="540">
        <v>6</v>
      </c>
      <c r="AK41" s="541">
        <v>6</v>
      </c>
      <c r="AL41" s="541">
        <v>6</v>
      </c>
      <c r="AM41" s="541">
        <v>6</v>
      </c>
      <c r="AN41" s="541">
        <v>6</v>
      </c>
      <c r="AO41" s="542">
        <v>6</v>
      </c>
      <c r="AP41" s="540">
        <v>6</v>
      </c>
      <c r="AQ41" s="541">
        <v>6</v>
      </c>
      <c r="AR41" s="541">
        <v>6</v>
      </c>
      <c r="AS41" s="541">
        <v>6</v>
      </c>
      <c r="AT41" s="541">
        <v>6</v>
      </c>
      <c r="AU41" s="542">
        <v>6</v>
      </c>
      <c r="AV41" s="540">
        <v>6</v>
      </c>
      <c r="AW41" s="541">
        <v>6</v>
      </c>
      <c r="AX41" s="541">
        <v>6</v>
      </c>
      <c r="AY41" s="541">
        <v>6</v>
      </c>
      <c r="AZ41" s="541">
        <v>6</v>
      </c>
      <c r="BA41" s="542">
        <v>6</v>
      </c>
      <c r="BB41" s="540">
        <v>6</v>
      </c>
      <c r="BC41" s="541">
        <v>6</v>
      </c>
      <c r="BD41" s="541">
        <v>6</v>
      </c>
      <c r="BE41" s="541">
        <v>6</v>
      </c>
      <c r="BF41" s="541">
        <v>6</v>
      </c>
      <c r="BG41" s="542">
        <v>6</v>
      </c>
    </row>
    <row r="42" spans="2:60" ht="17.25" customHeight="1" thickTop="1" x14ac:dyDescent="0.25">
      <c r="B42" s="835"/>
      <c r="C42" s="837"/>
      <c r="D42" s="548">
        <v>37</v>
      </c>
      <c r="E42" s="505">
        <f t="array" aca="1" ref="E42" ca="1">IF($D42&gt;Calc1!$B$14,"",ROW(37:37)-SUM((($L$6:$L41="")+($N$6:$N41="")&gt;0)*1))</f>
        <v>37</v>
      </c>
      <c r="F42" s="171">
        <f ca="1">IF(OR($V$15,$D42&gt;Calc1!$B$14),"",$S$5+QUOTIENT(($E42-1),$V$11)*($S$7+$S$9)/1440+SUM($P$6:$P41)/1440)</f>
        <v>0.59375</v>
      </c>
      <c r="G42" s="173">
        <f ca="1">IF(OR($V$15,$D42&gt;Calc1!$B$14),"",MOD($E42-1,$V$11)+1)</f>
        <v>1</v>
      </c>
      <c r="H42" s="288" t="str">
        <f t="shared" ca="1" si="0"/>
        <v>A</v>
      </c>
      <c r="I42" s="309" t="str">
        <f ca="1"/>
        <v>A1</v>
      </c>
      <c r="J42" s="310" t="s">
        <v>4</v>
      </c>
      <c r="K42" s="311" t="str">
        <f ca="1"/>
        <v>A2</v>
      </c>
      <c r="L42" s="176" t="str">
        <f t="shared" ca="1" si="1"/>
        <v>1. FC Riedwald</v>
      </c>
      <c r="M42" s="177" t="s">
        <v>4</v>
      </c>
      <c r="N42" s="178" t="str">
        <f t="shared" ca="1" si="2"/>
        <v>FC Barcelona</v>
      </c>
      <c r="O42" s="328"/>
      <c r="P42" s="684"/>
      <c r="Q42" s="167"/>
      <c r="R42" s="423"/>
      <c r="S42" s="168"/>
      <c r="T42" s="168"/>
      <c r="U42" s="168"/>
    </row>
    <row r="43" spans="2:60" ht="17.25" x14ac:dyDescent="0.25">
      <c r="B43" s="834" t="s">
        <v>259</v>
      </c>
      <c r="C43" s="836" t="s">
        <v>254</v>
      </c>
      <c r="D43" s="548">
        <v>38</v>
      </c>
      <c r="E43" s="505">
        <f t="array" aca="1" ref="E43" ca="1">IF($D43&gt;Calc1!$B$14,"",ROW(38:38)-SUM((($L$6:$L42="")+($N$6:$N42="")&gt;0)*1))</f>
        <v>38</v>
      </c>
      <c r="F43" s="171">
        <f ca="1">IF(OR($V$15,$D43&gt;Calc1!$B$14),"",$S$5+QUOTIENT(($E43-1),$V$11)*($S$7+$S$9)/1440+SUM($P$6:$P42)/1440)</f>
        <v>0.59375</v>
      </c>
      <c r="G43" s="173">
        <f ca="1">IF(OR($V$15,$D43&gt;Calc1!$B$14),"",MOD($E43-1,$V$11)+1)</f>
        <v>2</v>
      </c>
      <c r="H43" s="288" t="str">
        <f t="shared" ca="1" si="0"/>
        <v>B</v>
      </c>
      <c r="I43" s="309" t="str">
        <f ca="1"/>
        <v>B1</v>
      </c>
      <c r="J43" s="310" t="s">
        <v>4</v>
      </c>
      <c r="K43" s="311" t="str">
        <f ca="1"/>
        <v>B2</v>
      </c>
      <c r="L43" s="176" t="str">
        <f t="shared" ca="1" si="1"/>
        <v>Mainz 05</v>
      </c>
      <c r="M43" s="177" t="s">
        <v>4</v>
      </c>
      <c r="N43" s="178" t="str">
        <f t="shared" ca="1" si="2"/>
        <v>Inter Mailand</v>
      </c>
      <c r="O43" s="328"/>
      <c r="P43" s="684"/>
      <c r="Q43" s="167"/>
      <c r="R43" s="427"/>
      <c r="S43" s="168"/>
      <c r="T43" s="168"/>
      <c r="U43" s="168"/>
    </row>
    <row r="44" spans="2:60" ht="17.25" customHeight="1" x14ac:dyDescent="0.25">
      <c r="B44" s="835"/>
      <c r="C44" s="837"/>
      <c r="D44" s="548">
        <v>39</v>
      </c>
      <c r="E44" s="505">
        <f t="array" aca="1" ref="E44" ca="1">IF($D44&gt;Calc1!$B$14,"",ROW(39:39)-SUM((($L$6:$L43="")+($N$6:$N43="")&gt;0)*1))</f>
        <v>39</v>
      </c>
      <c r="F44" s="171">
        <f ca="1">IF(OR($V$15,$D44&gt;Calc1!$B$14),"",$S$5+QUOTIENT(($E44-1),$V$11)*($S$7+$S$9)/1440+SUM($P$6:$P43)/1440)</f>
        <v>0.59375</v>
      </c>
      <c r="G44" s="173">
        <f ca="1">IF(OR($V$15,$D44&gt;Calc1!$B$14),"",MOD($E44-1,$V$11)+1)</f>
        <v>3</v>
      </c>
      <c r="H44" s="288" t="str">
        <f t="shared" ca="1" si="0"/>
        <v>C</v>
      </c>
      <c r="I44" s="309" t="str">
        <f ca="1"/>
        <v>C1</v>
      </c>
      <c r="J44" s="310" t="s">
        <v>4</v>
      </c>
      <c r="K44" s="311" t="str">
        <f ca="1"/>
        <v>C2</v>
      </c>
      <c r="L44" s="176" t="str">
        <f t="shared" ca="1" si="1"/>
        <v>Kickers Rodendorf</v>
      </c>
      <c r="M44" s="177" t="s">
        <v>4</v>
      </c>
      <c r="N44" s="178" t="str">
        <f t="shared" ca="1" si="2"/>
        <v>Real Madrid</v>
      </c>
      <c r="O44" s="328"/>
      <c r="P44" s="684"/>
      <c r="Q44" s="167"/>
      <c r="R44" s="423"/>
      <c r="S44" s="168"/>
      <c r="T44" s="168"/>
      <c r="U44" s="168"/>
    </row>
    <row r="45" spans="2:60" ht="17.25" customHeight="1" thickBot="1" x14ac:dyDescent="0.3">
      <c r="B45" s="834" t="s">
        <v>258</v>
      </c>
      <c r="C45" s="836" t="s">
        <v>255</v>
      </c>
      <c r="D45" s="548">
        <v>40</v>
      </c>
      <c r="E45" s="505">
        <f t="array" aca="1" ref="E45" ca="1">IF($D45&gt;Calc1!$B$14,"",ROW(40:40)-SUM((($L$6:$L44="")+($N$6:$N44="")&gt;0)*1))</f>
        <v>40</v>
      </c>
      <c r="F45" s="171">
        <f ca="1">IF(OR($V$15,$D45&gt;Calc1!$B$14),"",$S$5+QUOTIENT(($E45-1),$V$11)*($S$7+$S$9)/1440+SUM($P$6:$P44)/1440)</f>
        <v>0.59375</v>
      </c>
      <c r="G45" s="173">
        <f ca="1">IF(OR($V$15,$D45&gt;Calc1!$B$14),"",MOD($E45-1,$V$11)+1)</f>
        <v>4</v>
      </c>
      <c r="H45" s="288" t="str">
        <f t="shared" ca="1" si="0"/>
        <v>D</v>
      </c>
      <c r="I45" s="309" t="str">
        <f ca="1"/>
        <v>D1</v>
      </c>
      <c r="J45" s="310" t="s">
        <v>4</v>
      </c>
      <c r="K45" s="311" t="str">
        <f ca="1"/>
        <v>D2</v>
      </c>
      <c r="L45" s="176" t="str">
        <f t="shared" ca="1" si="1"/>
        <v>TSG Saalberg eV</v>
      </c>
      <c r="M45" s="177" t="s">
        <v>4</v>
      </c>
      <c r="N45" s="178" t="str">
        <f t="shared" ca="1" si="2"/>
        <v>Paris St. Germain</v>
      </c>
      <c r="O45" s="328"/>
      <c r="P45" s="684"/>
      <c r="Q45" s="167"/>
      <c r="R45" s="423"/>
      <c r="S45" s="168"/>
      <c r="T45" s="168"/>
      <c r="U45" s="168"/>
      <c r="X45" s="163">
        <v>1</v>
      </c>
      <c r="Y45" s="163"/>
      <c r="Z45" s="163"/>
      <c r="AA45" s="163"/>
      <c r="AB45" s="163"/>
      <c r="AC45" s="163"/>
      <c r="AD45" s="163">
        <v>2</v>
      </c>
      <c r="AE45" s="163"/>
      <c r="AF45" s="163"/>
      <c r="AG45" s="163"/>
      <c r="AH45" s="163"/>
      <c r="AI45" s="163"/>
      <c r="AJ45" s="163">
        <v>3</v>
      </c>
      <c r="AK45" s="163"/>
      <c r="AL45" s="163"/>
      <c r="AM45" s="163"/>
      <c r="AN45" s="163"/>
      <c r="AO45" s="163"/>
      <c r="AP45" s="163">
        <v>4</v>
      </c>
      <c r="AQ45" s="163"/>
      <c r="AR45" s="163"/>
      <c r="AS45" s="163"/>
      <c r="AT45" s="163"/>
      <c r="AU45" s="163"/>
      <c r="AV45" s="163">
        <v>5</v>
      </c>
      <c r="AW45" s="163"/>
      <c r="AX45" s="163"/>
      <c r="AY45" s="163"/>
      <c r="AZ45" s="163"/>
      <c r="BA45" s="163"/>
      <c r="BB45" s="163">
        <v>6</v>
      </c>
    </row>
    <row r="46" spans="2:60" ht="17.25" customHeight="1" thickTop="1" thickBot="1" x14ac:dyDescent="0.3">
      <c r="B46" s="835"/>
      <c r="C46" s="837"/>
      <c r="D46" s="548">
        <v>41</v>
      </c>
      <c r="E46" s="505" t="str">
        <f t="array" ref="E46">IF($D46&gt;Calc1!$B$14,"",ROW(41:41)-SUM((($L$6:$L45="")+($N$6:$N45="")&gt;0)*1))</f>
        <v/>
      </c>
      <c r="F46" s="171" t="str">
        <f>IF(OR($V$15,$D46&gt;Calc1!$B$14),"",$S$5+QUOTIENT(($E46-1),$V$11)*($S$7+$S$9)/1440+SUM($P$6:$P45)/1440)</f>
        <v/>
      </c>
      <c r="G46" s="173" t="str">
        <f>IF(OR($V$15,$D46&gt;Calc1!$B$14),"",MOD($E46-1,$V$11)+1)</f>
        <v/>
      </c>
      <c r="H46" s="288" t="str">
        <f t="shared" ca="1" si="0"/>
        <v/>
      </c>
      <c r="I46" s="309" t="str">
        <f ca="1"/>
        <v/>
      </c>
      <c r="J46" s="310" t="s">
        <v>4</v>
      </c>
      <c r="K46" s="311" t="str">
        <f ca="1"/>
        <v/>
      </c>
      <c r="L46" s="176" t="str">
        <f t="shared" ca="1" si="1"/>
        <v/>
      </c>
      <c r="M46" s="177" t="s">
        <v>4</v>
      </c>
      <c r="N46" s="178" t="str">
        <f t="shared" ca="1" si="2"/>
        <v/>
      </c>
      <c r="O46" s="328"/>
      <c r="P46" s="684"/>
      <c r="Q46" s="167"/>
      <c r="R46" s="423"/>
      <c r="S46" s="168"/>
      <c r="T46" s="168"/>
      <c r="U46" s="168"/>
      <c r="W46" s="381"/>
      <c r="X46" s="382">
        <v>1</v>
      </c>
      <c r="Y46" s="382">
        <v>2</v>
      </c>
      <c r="Z46" s="382">
        <v>3</v>
      </c>
      <c r="AA46" s="382">
        <v>4</v>
      </c>
      <c r="AB46" s="382">
        <v>5</v>
      </c>
      <c r="AC46" s="383">
        <v>6</v>
      </c>
      <c r="AD46" s="382">
        <v>1</v>
      </c>
      <c r="AE46" s="382">
        <v>2</v>
      </c>
      <c r="AF46" s="382">
        <v>3</v>
      </c>
      <c r="AG46" s="382">
        <v>4</v>
      </c>
      <c r="AH46" s="382">
        <v>5</v>
      </c>
      <c r="AI46" s="383">
        <v>6</v>
      </c>
      <c r="AJ46" s="382">
        <v>1</v>
      </c>
      <c r="AK46" s="382">
        <v>2</v>
      </c>
      <c r="AL46" s="382">
        <v>3</v>
      </c>
      <c r="AM46" s="382">
        <v>4</v>
      </c>
      <c r="AN46" s="382">
        <v>5</v>
      </c>
      <c r="AO46" s="383">
        <v>6</v>
      </c>
      <c r="AP46" s="382">
        <v>1</v>
      </c>
      <c r="AQ46" s="382">
        <v>2</v>
      </c>
      <c r="AR46" s="382">
        <v>3</v>
      </c>
      <c r="AS46" s="382">
        <v>4</v>
      </c>
      <c r="AT46" s="382">
        <v>5</v>
      </c>
      <c r="AU46" s="383">
        <v>6</v>
      </c>
      <c r="AV46" s="382">
        <v>1</v>
      </c>
      <c r="AW46" s="382">
        <v>2</v>
      </c>
      <c r="AX46" s="382">
        <v>3</v>
      </c>
      <c r="AY46" s="382">
        <v>4</v>
      </c>
      <c r="AZ46" s="382">
        <v>5</v>
      </c>
      <c r="BA46" s="383">
        <v>6</v>
      </c>
      <c r="BB46" s="382">
        <v>1</v>
      </c>
      <c r="BC46" s="382">
        <v>2</v>
      </c>
      <c r="BD46" s="382">
        <v>3</v>
      </c>
      <c r="BE46" s="382">
        <v>4</v>
      </c>
      <c r="BF46" s="382">
        <v>5</v>
      </c>
      <c r="BG46" s="383">
        <v>6</v>
      </c>
    </row>
    <row r="47" spans="2:60" ht="17.25" customHeight="1" x14ac:dyDescent="0.25">
      <c r="B47" s="834" t="s">
        <v>261</v>
      </c>
      <c r="C47" s="836" t="s">
        <v>256</v>
      </c>
      <c r="D47" s="548">
        <v>42</v>
      </c>
      <c r="E47" s="505" t="str">
        <f t="array" ref="E47">IF($D47&gt;Calc1!$B$14,"",ROW(42:42)-SUM((($L$6:$L46="")+($N$6:$N46="")&gt;0)*1))</f>
        <v/>
      </c>
      <c r="F47" s="171" t="str">
        <f>IF(OR($V$15,$D47&gt;Calc1!$B$14),"",$S$5+QUOTIENT(($E47-1),$V$11)*($S$7+$S$9)/1440+SUM($P$6:$P46)/1440)</f>
        <v/>
      </c>
      <c r="G47" s="173" t="str">
        <f>IF(OR($V$15,$D47&gt;Calc1!$B$14),"",MOD($E47-1,$V$11)+1)</f>
        <v/>
      </c>
      <c r="H47" s="288" t="str">
        <f t="shared" ca="1" si="0"/>
        <v/>
      </c>
      <c r="I47" s="309" t="str">
        <f ca="1"/>
        <v/>
      </c>
      <c r="J47" s="310" t="s">
        <v>4</v>
      </c>
      <c r="K47" s="311" t="str">
        <f ca="1"/>
        <v/>
      </c>
      <c r="L47" s="176" t="str">
        <f t="shared" ca="1" si="1"/>
        <v/>
      </c>
      <c r="M47" s="177" t="s">
        <v>4</v>
      </c>
      <c r="N47" s="178" t="str">
        <f t="shared" ca="1" si="2"/>
        <v/>
      </c>
      <c r="O47" s="328"/>
      <c r="P47" s="684"/>
      <c r="Q47" s="167"/>
      <c r="R47" s="423"/>
      <c r="S47" s="168"/>
      <c r="T47" s="168"/>
      <c r="U47" s="168"/>
      <c r="W47" s="384">
        <v>1</v>
      </c>
      <c r="X47" s="534">
        <v>8</v>
      </c>
      <c r="Y47" s="535">
        <v>8</v>
      </c>
      <c r="Z47" s="535">
        <v>8</v>
      </c>
      <c r="AA47" s="535">
        <v>8</v>
      </c>
      <c r="AB47" s="535">
        <v>8</v>
      </c>
      <c r="AC47" s="536">
        <v>8</v>
      </c>
      <c r="AD47" s="534">
        <v>8</v>
      </c>
      <c r="AE47" s="535">
        <v>8</v>
      </c>
      <c r="AF47" s="535">
        <v>8</v>
      </c>
      <c r="AG47" s="535">
        <v>8</v>
      </c>
      <c r="AH47" s="535">
        <v>8</v>
      </c>
      <c r="AI47" s="536">
        <v>8</v>
      </c>
      <c r="AJ47" s="534">
        <v>8</v>
      </c>
      <c r="AK47" s="535">
        <v>8</v>
      </c>
      <c r="AL47" s="535">
        <v>8</v>
      </c>
      <c r="AM47" s="535">
        <v>8</v>
      </c>
      <c r="AN47" s="535">
        <v>8</v>
      </c>
      <c r="AO47" s="536">
        <v>8</v>
      </c>
      <c r="AP47" s="534">
        <v>8</v>
      </c>
      <c r="AQ47" s="535">
        <v>8</v>
      </c>
      <c r="AR47" s="535">
        <v>8</v>
      </c>
      <c r="AS47" s="535">
        <v>8</v>
      </c>
      <c r="AT47" s="535">
        <v>8</v>
      </c>
      <c r="AU47" s="536">
        <v>8</v>
      </c>
      <c r="AV47" s="534">
        <v>8</v>
      </c>
      <c r="AW47" s="535">
        <v>8</v>
      </c>
      <c r="AX47" s="535">
        <v>8</v>
      </c>
      <c r="AY47" s="535">
        <v>8</v>
      </c>
      <c r="AZ47" s="535">
        <v>8</v>
      </c>
      <c r="BA47" s="536">
        <v>8</v>
      </c>
      <c r="BB47" s="534">
        <v>8</v>
      </c>
      <c r="BC47" s="535">
        <v>8</v>
      </c>
      <c r="BD47" s="535">
        <v>8</v>
      </c>
      <c r="BE47" s="535">
        <v>8</v>
      </c>
      <c r="BF47" s="535">
        <v>8</v>
      </c>
      <c r="BG47" s="536">
        <v>8</v>
      </c>
      <c r="BH47" s="443">
        <v>1</v>
      </c>
    </row>
    <row r="48" spans="2:60" ht="17.25" customHeight="1" x14ac:dyDescent="0.25">
      <c r="B48" s="835"/>
      <c r="C48" s="837"/>
      <c r="D48" s="548">
        <v>43</v>
      </c>
      <c r="E48" s="505" t="str">
        <f t="array" ref="E48">IF($D48&gt;Calc1!$B$14,"",ROW(43:43)-SUM((($L$6:$L47="")+($N$6:$N47="")&gt;0)*1))</f>
        <v/>
      </c>
      <c r="F48" s="171" t="str">
        <f>IF(OR($V$15,$D48&gt;Calc1!$B$14),"",$S$5+QUOTIENT(($E48-1),$V$11)*($S$7+$S$9)/1440+SUM($P$6:$P47)/1440)</f>
        <v/>
      </c>
      <c r="G48" s="173" t="str">
        <f>IF(OR($V$15,$D48&gt;Calc1!$B$14),"",MOD($E48-1,$V$11)+1)</f>
        <v/>
      </c>
      <c r="H48" s="288" t="str">
        <f t="shared" ca="1" si="0"/>
        <v/>
      </c>
      <c r="I48" s="309" t="str">
        <f ca="1"/>
        <v/>
      </c>
      <c r="J48" s="310" t="s">
        <v>4</v>
      </c>
      <c r="K48" s="311" t="str">
        <f ca="1"/>
        <v/>
      </c>
      <c r="L48" s="176" t="str">
        <f t="shared" ca="1" si="1"/>
        <v/>
      </c>
      <c r="M48" s="177" t="s">
        <v>4</v>
      </c>
      <c r="N48" s="178" t="str">
        <f t="shared" ca="1" si="2"/>
        <v/>
      </c>
      <c r="O48" s="328"/>
      <c r="P48" s="684"/>
      <c r="Q48" s="167"/>
      <c r="R48" s="423"/>
      <c r="S48" s="168"/>
      <c r="T48" s="168"/>
      <c r="U48" s="168"/>
      <c r="W48" s="384">
        <v>2</v>
      </c>
      <c r="X48" s="537">
        <v>8</v>
      </c>
      <c r="Y48" s="538">
        <v>8</v>
      </c>
      <c r="Z48" s="538">
        <v>8</v>
      </c>
      <c r="AA48" s="538">
        <v>8</v>
      </c>
      <c r="AB48" s="538">
        <v>8</v>
      </c>
      <c r="AC48" s="539">
        <v>8</v>
      </c>
      <c r="AD48" s="537">
        <v>8</v>
      </c>
      <c r="AE48" s="538">
        <v>8</v>
      </c>
      <c r="AF48" s="538">
        <v>8</v>
      </c>
      <c r="AG48" s="538">
        <v>8</v>
      </c>
      <c r="AH48" s="538">
        <v>8</v>
      </c>
      <c r="AI48" s="539">
        <v>8</v>
      </c>
      <c r="AJ48" s="537">
        <v>8</v>
      </c>
      <c r="AK48" s="538">
        <v>8</v>
      </c>
      <c r="AL48" s="538">
        <v>8</v>
      </c>
      <c r="AM48" s="538">
        <v>8</v>
      </c>
      <c r="AN48" s="538">
        <v>8</v>
      </c>
      <c r="AO48" s="539">
        <v>8</v>
      </c>
      <c r="AP48" s="537">
        <v>8</v>
      </c>
      <c r="AQ48" s="538">
        <v>8</v>
      </c>
      <c r="AR48" s="538">
        <v>8</v>
      </c>
      <c r="AS48" s="538">
        <v>8</v>
      </c>
      <c r="AT48" s="538">
        <v>8</v>
      </c>
      <c r="AU48" s="539">
        <v>8</v>
      </c>
      <c r="AV48" s="537">
        <v>8</v>
      </c>
      <c r="AW48" s="538">
        <v>8</v>
      </c>
      <c r="AX48" s="538">
        <v>8</v>
      </c>
      <c r="AY48" s="538">
        <v>8</v>
      </c>
      <c r="AZ48" s="538">
        <v>8</v>
      </c>
      <c r="BA48" s="539">
        <v>8</v>
      </c>
      <c r="BB48" s="537">
        <v>8</v>
      </c>
      <c r="BC48" s="538">
        <v>8</v>
      </c>
      <c r="BD48" s="538">
        <v>8</v>
      </c>
      <c r="BE48" s="538">
        <v>8</v>
      </c>
      <c r="BF48" s="538">
        <v>8</v>
      </c>
      <c r="BG48" s="539">
        <v>8</v>
      </c>
      <c r="BH48" s="444"/>
    </row>
    <row r="49" spans="2:60" ht="17.25" customHeight="1" x14ac:dyDescent="0.25">
      <c r="B49" s="834" t="s">
        <v>262</v>
      </c>
      <c r="C49" s="836" t="s">
        <v>257</v>
      </c>
      <c r="D49" s="548">
        <v>44</v>
      </c>
      <c r="E49" s="505" t="str">
        <f t="array" ref="E49">IF($D49&gt;Calc1!$B$14,"",ROW(44:44)-SUM((($L$6:$L48="")+($N$6:$N48="")&gt;0)*1))</f>
        <v/>
      </c>
      <c r="F49" s="171" t="str">
        <f>IF(OR($V$15,$D49&gt;Calc1!$B$14),"",$S$5+QUOTIENT(($E49-1),$V$11)*($S$7+$S$9)/1440+SUM($P$6:$P48)/1440)</f>
        <v/>
      </c>
      <c r="G49" s="173" t="str">
        <f>IF(OR($V$15,$D49&gt;Calc1!$B$14),"",MOD($E49-1,$V$11)+1)</f>
        <v/>
      </c>
      <c r="H49" s="288" t="str">
        <f t="shared" ca="1" si="0"/>
        <v/>
      </c>
      <c r="I49" s="309" t="str">
        <f ca="1"/>
        <v/>
      </c>
      <c r="J49" s="310" t="s">
        <v>4</v>
      </c>
      <c r="K49" s="311" t="str">
        <f ca="1"/>
        <v/>
      </c>
      <c r="L49" s="176" t="str">
        <f t="shared" ca="1" si="1"/>
        <v/>
      </c>
      <c r="M49" s="177" t="s">
        <v>4</v>
      </c>
      <c r="N49" s="178" t="str">
        <f t="shared" ca="1" si="2"/>
        <v/>
      </c>
      <c r="O49" s="328"/>
      <c r="P49" s="684"/>
      <c r="Q49" s="167"/>
      <c r="R49" s="423"/>
      <c r="S49" s="168"/>
      <c r="T49" s="168"/>
      <c r="U49" s="168"/>
      <c r="W49" s="384">
        <v>3</v>
      </c>
      <c r="X49" s="537">
        <v>8</v>
      </c>
      <c r="Y49" s="538">
        <v>8</v>
      </c>
      <c r="Z49" s="538">
        <v>8</v>
      </c>
      <c r="AA49" s="538">
        <v>8</v>
      </c>
      <c r="AB49" s="538">
        <v>8</v>
      </c>
      <c r="AC49" s="539">
        <v>8</v>
      </c>
      <c r="AD49" s="537">
        <v>8</v>
      </c>
      <c r="AE49" s="538">
        <v>8</v>
      </c>
      <c r="AF49" s="538">
        <v>8</v>
      </c>
      <c r="AG49" s="538">
        <v>8</v>
      </c>
      <c r="AH49" s="538">
        <v>8</v>
      </c>
      <c r="AI49" s="539">
        <v>8</v>
      </c>
      <c r="AJ49" s="537">
        <v>8</v>
      </c>
      <c r="AK49" s="538">
        <v>8</v>
      </c>
      <c r="AL49" s="538">
        <v>8</v>
      </c>
      <c r="AM49" s="538">
        <v>8</v>
      </c>
      <c r="AN49" s="538">
        <v>8</v>
      </c>
      <c r="AO49" s="539">
        <v>8</v>
      </c>
      <c r="AP49" s="537">
        <v>8</v>
      </c>
      <c r="AQ49" s="538">
        <v>8</v>
      </c>
      <c r="AR49" s="538">
        <v>8</v>
      </c>
      <c r="AS49" s="538">
        <v>8</v>
      </c>
      <c r="AT49" s="538">
        <v>8</v>
      </c>
      <c r="AU49" s="539">
        <v>8</v>
      </c>
      <c r="AV49" s="537">
        <v>8</v>
      </c>
      <c r="AW49" s="538">
        <v>8</v>
      </c>
      <c r="AX49" s="538">
        <v>8</v>
      </c>
      <c r="AY49" s="538">
        <v>8</v>
      </c>
      <c r="AZ49" s="538">
        <v>8</v>
      </c>
      <c r="BA49" s="539">
        <v>8</v>
      </c>
      <c r="BB49" s="537">
        <v>8</v>
      </c>
      <c r="BC49" s="538">
        <v>8</v>
      </c>
      <c r="BD49" s="538">
        <v>8</v>
      </c>
      <c r="BE49" s="538">
        <v>8</v>
      </c>
      <c r="BF49" s="538">
        <v>8</v>
      </c>
      <c r="BG49" s="539">
        <v>8</v>
      </c>
      <c r="BH49" s="444"/>
    </row>
    <row r="50" spans="2:60" ht="18" customHeight="1" x14ac:dyDescent="0.25">
      <c r="B50" s="835"/>
      <c r="C50" s="837"/>
      <c r="D50" s="548">
        <v>45</v>
      </c>
      <c r="E50" s="505" t="str">
        <f t="array" ref="E50">IF($D50&gt;Calc1!$B$14,"",ROW(45:45)-SUM((($L$6:$L49="")+($N$6:$N49="")&gt;0)*1))</f>
        <v/>
      </c>
      <c r="F50" s="171" t="str">
        <f>IF(OR($V$15,$D50&gt;Calc1!$B$14),"",$S$5+QUOTIENT(($E50-1),$V$11)*($S$7+$S$9)/1440+SUM($P$6:$P49)/1440)</f>
        <v/>
      </c>
      <c r="G50" s="173" t="str">
        <f>IF(OR($V$15,$D50&gt;Calc1!$B$14),"",MOD($E50-1,$V$11)+1)</f>
        <v/>
      </c>
      <c r="H50" s="288" t="str">
        <f t="shared" ca="1" si="0"/>
        <v/>
      </c>
      <c r="I50" s="309" t="str">
        <f ca="1"/>
        <v/>
      </c>
      <c r="J50" s="310" t="s">
        <v>4</v>
      </c>
      <c r="K50" s="311" t="str">
        <f ca="1"/>
        <v/>
      </c>
      <c r="L50" s="176" t="str">
        <f t="shared" ca="1" si="1"/>
        <v/>
      </c>
      <c r="M50" s="177" t="s">
        <v>4</v>
      </c>
      <c r="N50" s="178" t="str">
        <f t="shared" ca="1" si="2"/>
        <v/>
      </c>
      <c r="O50" s="328"/>
      <c r="P50" s="684"/>
      <c r="Q50" s="167"/>
      <c r="R50" s="423"/>
      <c r="S50" s="168"/>
      <c r="T50" s="168"/>
      <c r="U50" s="168"/>
      <c r="W50" s="384">
        <v>4</v>
      </c>
      <c r="X50" s="537">
        <v>8</v>
      </c>
      <c r="Y50" s="538">
        <v>8</v>
      </c>
      <c r="Z50" s="538">
        <v>8</v>
      </c>
      <c r="AA50" s="538">
        <v>8</v>
      </c>
      <c r="AB50" s="538">
        <v>8</v>
      </c>
      <c r="AC50" s="539">
        <v>8</v>
      </c>
      <c r="AD50" s="537">
        <v>8</v>
      </c>
      <c r="AE50" s="538">
        <v>8</v>
      </c>
      <c r="AF50" s="538">
        <v>8</v>
      </c>
      <c r="AG50" s="538">
        <v>8</v>
      </c>
      <c r="AH50" s="538">
        <v>8</v>
      </c>
      <c r="AI50" s="539">
        <v>8</v>
      </c>
      <c r="AJ50" s="537">
        <v>8</v>
      </c>
      <c r="AK50" s="538">
        <v>8</v>
      </c>
      <c r="AL50" s="538">
        <v>8</v>
      </c>
      <c r="AM50" s="538">
        <v>8</v>
      </c>
      <c r="AN50" s="538">
        <v>8</v>
      </c>
      <c r="AO50" s="539">
        <v>8</v>
      </c>
      <c r="AP50" s="537">
        <v>8</v>
      </c>
      <c r="AQ50" s="538">
        <v>8</v>
      </c>
      <c r="AR50" s="538">
        <v>8</v>
      </c>
      <c r="AS50" s="538">
        <v>8</v>
      </c>
      <c r="AT50" s="538">
        <v>8</v>
      </c>
      <c r="AU50" s="539">
        <v>8</v>
      </c>
      <c r="AV50" s="537">
        <v>8</v>
      </c>
      <c r="AW50" s="538">
        <v>8</v>
      </c>
      <c r="AX50" s="538">
        <v>8</v>
      </c>
      <c r="AY50" s="538">
        <v>8</v>
      </c>
      <c r="AZ50" s="538">
        <v>8</v>
      </c>
      <c r="BA50" s="539">
        <v>8</v>
      </c>
      <c r="BB50" s="537">
        <v>8</v>
      </c>
      <c r="BC50" s="538">
        <v>8</v>
      </c>
      <c r="BD50" s="538">
        <v>8</v>
      </c>
      <c r="BE50" s="538">
        <v>8</v>
      </c>
      <c r="BF50" s="538">
        <v>8</v>
      </c>
      <c r="BG50" s="539">
        <v>8</v>
      </c>
      <c r="BH50" s="444"/>
    </row>
    <row r="51" spans="2:60" ht="16.5" customHeight="1" x14ac:dyDescent="0.25">
      <c r="B51" s="834" t="s">
        <v>263</v>
      </c>
      <c r="C51" s="836"/>
      <c r="D51" s="548">
        <v>46</v>
      </c>
      <c r="E51" s="505" t="str">
        <f t="array" ref="E51">IF($D51&gt;Calc1!$B$14,"",ROW(46:46)-SUM((($L$6:$L50="")+($N$6:$N50="")&gt;0)*1))</f>
        <v/>
      </c>
      <c r="F51" s="171" t="str">
        <f>IF(OR($V$15,$D51&gt;Calc1!$B$14),"",$S$5+QUOTIENT(($E51-1),$V$11)*($S$7+$S$9)/1440+SUM($P$6:$P50)/1440)</f>
        <v/>
      </c>
      <c r="G51" s="173" t="str">
        <f>IF(OR($V$15,$D51&gt;Calc1!$B$14),"",MOD($E51-1,$V$11)+1)</f>
        <v/>
      </c>
      <c r="H51" s="288" t="str">
        <f t="shared" ca="1" si="0"/>
        <v/>
      </c>
      <c r="I51" s="309" t="str">
        <f ca="1"/>
        <v/>
      </c>
      <c r="J51" s="310" t="s">
        <v>4</v>
      </c>
      <c r="K51" s="311" t="str">
        <f ca="1"/>
        <v/>
      </c>
      <c r="L51" s="176" t="str">
        <f t="shared" ca="1" si="1"/>
        <v/>
      </c>
      <c r="M51" s="177" t="s">
        <v>4</v>
      </c>
      <c r="N51" s="178" t="str">
        <f t="shared" ca="1" si="2"/>
        <v/>
      </c>
      <c r="O51" s="328"/>
      <c r="P51" s="684"/>
      <c r="Q51" s="167"/>
      <c r="R51" s="423"/>
      <c r="S51" s="168"/>
      <c r="T51" s="168"/>
      <c r="U51" s="168"/>
      <c r="W51" s="384">
        <v>5</v>
      </c>
      <c r="X51" s="537">
        <v>8</v>
      </c>
      <c r="Y51" s="538">
        <v>8</v>
      </c>
      <c r="Z51" s="538">
        <v>8</v>
      </c>
      <c r="AA51" s="538">
        <v>8</v>
      </c>
      <c r="AB51" s="538">
        <v>8</v>
      </c>
      <c r="AC51" s="539">
        <v>8</v>
      </c>
      <c r="AD51" s="537">
        <v>8</v>
      </c>
      <c r="AE51" s="538">
        <v>8</v>
      </c>
      <c r="AF51" s="538">
        <v>8</v>
      </c>
      <c r="AG51" s="538">
        <v>8</v>
      </c>
      <c r="AH51" s="538">
        <v>8</v>
      </c>
      <c r="AI51" s="539">
        <v>8</v>
      </c>
      <c r="AJ51" s="537">
        <v>8</v>
      </c>
      <c r="AK51" s="538">
        <v>8</v>
      </c>
      <c r="AL51" s="538">
        <v>8</v>
      </c>
      <c r="AM51" s="538">
        <v>8</v>
      </c>
      <c r="AN51" s="538">
        <v>8</v>
      </c>
      <c r="AO51" s="539">
        <v>8</v>
      </c>
      <c r="AP51" s="537">
        <v>8</v>
      </c>
      <c r="AQ51" s="538">
        <v>8</v>
      </c>
      <c r="AR51" s="538">
        <v>8</v>
      </c>
      <c r="AS51" s="538">
        <v>8</v>
      </c>
      <c r="AT51" s="538">
        <v>8</v>
      </c>
      <c r="AU51" s="539">
        <v>8</v>
      </c>
      <c r="AV51" s="537">
        <v>8</v>
      </c>
      <c r="AW51" s="538">
        <v>8</v>
      </c>
      <c r="AX51" s="538">
        <v>8</v>
      </c>
      <c r="AY51" s="538">
        <v>8</v>
      </c>
      <c r="AZ51" s="538">
        <v>8</v>
      </c>
      <c r="BA51" s="539">
        <v>8</v>
      </c>
      <c r="BB51" s="537">
        <v>8</v>
      </c>
      <c r="BC51" s="538">
        <v>8</v>
      </c>
      <c r="BD51" s="538">
        <v>8</v>
      </c>
      <c r="BE51" s="538">
        <v>8</v>
      </c>
      <c r="BF51" s="538">
        <v>8</v>
      </c>
      <c r="BG51" s="539">
        <v>8</v>
      </c>
      <c r="BH51" s="444"/>
    </row>
    <row r="52" spans="2:60" ht="16.5" customHeight="1" thickBot="1" x14ac:dyDescent="0.3">
      <c r="B52" s="838"/>
      <c r="C52" s="839"/>
      <c r="D52" s="548">
        <v>47</v>
      </c>
      <c r="E52" s="505" t="str">
        <f t="array" ref="E52">IF($D52&gt;Calc1!$B$14,"",ROW(47:47)-SUM((($L$6:$L51="")+($N$6:$N51="")&gt;0)*1))</f>
        <v/>
      </c>
      <c r="F52" s="171" t="str">
        <f>IF(OR($V$15,$D52&gt;Calc1!$B$14),"",$S$5+QUOTIENT(($E52-1),$V$11)*($S$7+$S$9)/1440+SUM($P$6:$P51)/1440)</f>
        <v/>
      </c>
      <c r="G52" s="173" t="str">
        <f>IF(OR($V$15,$D52&gt;Calc1!$B$14),"",MOD($E52-1,$V$11)+1)</f>
        <v/>
      </c>
      <c r="H52" s="288" t="str">
        <f t="shared" ca="1" si="0"/>
        <v/>
      </c>
      <c r="I52" s="309" t="str">
        <f ca="1"/>
        <v/>
      </c>
      <c r="J52" s="310" t="s">
        <v>4</v>
      </c>
      <c r="K52" s="311" t="str">
        <f ca="1"/>
        <v/>
      </c>
      <c r="L52" s="176" t="str">
        <f t="shared" ca="1" si="1"/>
        <v/>
      </c>
      <c r="M52" s="177" t="s">
        <v>4</v>
      </c>
      <c r="N52" s="178" t="str">
        <f t="shared" ca="1" si="2"/>
        <v/>
      </c>
      <c r="O52" s="328"/>
      <c r="P52" s="684"/>
      <c r="Q52" s="167"/>
      <c r="R52" s="423"/>
      <c r="S52" s="168"/>
      <c r="T52" s="168"/>
      <c r="U52" s="168"/>
      <c r="W52" s="385">
        <v>6</v>
      </c>
      <c r="X52" s="540">
        <v>8</v>
      </c>
      <c r="Y52" s="541">
        <v>8</v>
      </c>
      <c r="Z52" s="541">
        <v>8</v>
      </c>
      <c r="AA52" s="541">
        <v>8</v>
      </c>
      <c r="AB52" s="541">
        <v>8</v>
      </c>
      <c r="AC52" s="542">
        <v>8</v>
      </c>
      <c r="AD52" s="540">
        <v>8</v>
      </c>
      <c r="AE52" s="541">
        <v>8</v>
      </c>
      <c r="AF52" s="541">
        <v>8</v>
      </c>
      <c r="AG52" s="541">
        <v>8</v>
      </c>
      <c r="AH52" s="541">
        <v>8</v>
      </c>
      <c r="AI52" s="542">
        <v>8</v>
      </c>
      <c r="AJ52" s="540">
        <v>8</v>
      </c>
      <c r="AK52" s="541">
        <v>8</v>
      </c>
      <c r="AL52" s="541">
        <v>8</v>
      </c>
      <c r="AM52" s="541">
        <v>8</v>
      </c>
      <c r="AN52" s="541">
        <v>8</v>
      </c>
      <c r="AO52" s="542">
        <v>8</v>
      </c>
      <c r="AP52" s="540">
        <v>8</v>
      </c>
      <c r="AQ52" s="541">
        <v>8</v>
      </c>
      <c r="AR52" s="541">
        <v>8</v>
      </c>
      <c r="AS52" s="541">
        <v>8</v>
      </c>
      <c r="AT52" s="541">
        <v>8</v>
      </c>
      <c r="AU52" s="542">
        <v>8</v>
      </c>
      <c r="AV52" s="540">
        <v>8</v>
      </c>
      <c r="AW52" s="541">
        <v>8</v>
      </c>
      <c r="AX52" s="541">
        <v>8</v>
      </c>
      <c r="AY52" s="541">
        <v>8</v>
      </c>
      <c r="AZ52" s="541">
        <v>8</v>
      </c>
      <c r="BA52" s="542">
        <v>8</v>
      </c>
      <c r="BB52" s="540">
        <v>8</v>
      </c>
      <c r="BC52" s="541">
        <v>8</v>
      </c>
      <c r="BD52" s="541">
        <v>8</v>
      </c>
      <c r="BE52" s="541">
        <v>8</v>
      </c>
      <c r="BF52" s="541">
        <v>8</v>
      </c>
      <c r="BG52" s="542">
        <v>8</v>
      </c>
      <c r="BH52" s="444"/>
    </row>
    <row r="53" spans="2:60" ht="16.5" customHeight="1" thickTop="1" x14ac:dyDescent="0.25">
      <c r="D53" s="548">
        <v>48</v>
      </c>
      <c r="E53" s="505" t="str">
        <f t="array" ref="E53">IF($D53&gt;Calc1!$B$14,"",ROW(48:48)-SUM((($L$6:$L52="")+($N$6:$N52="")&gt;0)*1))</f>
        <v/>
      </c>
      <c r="F53" s="171" t="str">
        <f>IF(OR($V$15,$D53&gt;Calc1!$B$14),"",$S$5+QUOTIENT(($E53-1),$V$11)*($S$7+$S$9)/1440+SUM($P$6:$P52)/1440)</f>
        <v/>
      </c>
      <c r="G53" s="173" t="str">
        <f>IF(OR($V$15,$D53&gt;Calc1!$B$14),"",MOD($E53-1,$V$11)+1)</f>
        <v/>
      </c>
      <c r="H53" s="288" t="str">
        <f t="shared" ca="1" si="0"/>
        <v/>
      </c>
      <c r="I53" s="309" t="str">
        <f ca="1"/>
        <v/>
      </c>
      <c r="J53" s="310" t="s">
        <v>4</v>
      </c>
      <c r="K53" s="311" t="str">
        <f ca="1"/>
        <v/>
      </c>
      <c r="L53" s="176" t="str">
        <f t="shared" ca="1" si="1"/>
        <v/>
      </c>
      <c r="M53" s="177" t="s">
        <v>4</v>
      </c>
      <c r="N53" s="178" t="str">
        <f t="shared" ca="1" si="2"/>
        <v/>
      </c>
      <c r="O53" s="328"/>
      <c r="P53" s="684"/>
      <c r="Q53" s="167"/>
      <c r="R53" s="423"/>
      <c r="S53" s="168"/>
      <c r="T53" s="168"/>
      <c r="U53" s="168"/>
      <c r="W53" s="384">
        <v>1</v>
      </c>
      <c r="X53" s="534">
        <v>8</v>
      </c>
      <c r="Y53" s="535">
        <v>8</v>
      </c>
      <c r="Z53" s="535">
        <v>8</v>
      </c>
      <c r="AA53" s="535">
        <v>8</v>
      </c>
      <c r="AB53" s="535">
        <v>8</v>
      </c>
      <c r="AC53" s="536">
        <v>8</v>
      </c>
      <c r="AD53" s="534">
        <v>8</v>
      </c>
      <c r="AE53" s="535">
        <v>8</v>
      </c>
      <c r="AF53" s="535">
        <v>8</v>
      </c>
      <c r="AG53" s="535">
        <v>8</v>
      </c>
      <c r="AH53" s="535">
        <v>8</v>
      </c>
      <c r="AI53" s="536">
        <v>8</v>
      </c>
      <c r="AJ53" s="534">
        <v>8</v>
      </c>
      <c r="AK53" s="535">
        <v>8</v>
      </c>
      <c r="AL53" s="535">
        <v>8</v>
      </c>
      <c r="AM53" s="535">
        <v>8</v>
      </c>
      <c r="AN53" s="535">
        <v>8</v>
      </c>
      <c r="AO53" s="536">
        <v>8</v>
      </c>
      <c r="AP53" s="534">
        <v>8</v>
      </c>
      <c r="AQ53" s="535">
        <v>8</v>
      </c>
      <c r="AR53" s="535">
        <v>8</v>
      </c>
      <c r="AS53" s="535">
        <v>8</v>
      </c>
      <c r="AT53" s="535">
        <v>8</v>
      </c>
      <c r="AU53" s="536">
        <v>8</v>
      </c>
      <c r="AV53" s="534">
        <v>8</v>
      </c>
      <c r="AW53" s="535">
        <v>8</v>
      </c>
      <c r="AX53" s="535">
        <v>8</v>
      </c>
      <c r="AY53" s="535">
        <v>8</v>
      </c>
      <c r="AZ53" s="535">
        <v>8</v>
      </c>
      <c r="BA53" s="536">
        <v>8</v>
      </c>
      <c r="BB53" s="534">
        <v>8</v>
      </c>
      <c r="BC53" s="535">
        <v>8</v>
      </c>
      <c r="BD53" s="535">
        <v>8</v>
      </c>
      <c r="BE53" s="535">
        <v>8</v>
      </c>
      <c r="BF53" s="535">
        <v>8</v>
      </c>
      <c r="BG53" s="536">
        <v>8</v>
      </c>
      <c r="BH53" s="443">
        <v>2</v>
      </c>
    </row>
    <row r="54" spans="2:60" ht="17.25" x14ac:dyDescent="0.25">
      <c r="B54" s="840"/>
      <c r="C54" s="842" t="str">
        <f>Sprache!$E$16&amp;" D"</f>
        <v>Gruppe D</v>
      </c>
      <c r="D54" s="548">
        <v>49</v>
      </c>
      <c r="E54" s="505" t="str">
        <f t="array" ref="E54">IF($D54&gt;Calc1!$B$14,"",ROW(49:49)-SUM((($L$6:$L53="")+($N$6:$N53="")&gt;0)*1))</f>
        <v/>
      </c>
      <c r="F54" s="171" t="str">
        <f>IF(OR($V$15,$D54&gt;Calc1!$B$14),"",$S$5+QUOTIENT(($E54-1),$V$11)*($S$7+$S$9)/1440+SUM($P$6:$P53)/1440)</f>
        <v/>
      </c>
      <c r="G54" s="173" t="str">
        <f>IF(OR($V$15,$D54&gt;Calc1!$B$14),"",MOD($E54-1,$V$11)+1)</f>
        <v/>
      </c>
      <c r="H54" s="288" t="str">
        <f t="shared" ca="1" si="0"/>
        <v/>
      </c>
      <c r="I54" s="309" t="str">
        <f ca="1"/>
        <v/>
      </c>
      <c r="J54" s="310" t="s">
        <v>4</v>
      </c>
      <c r="K54" s="311" t="str">
        <f ca="1"/>
        <v/>
      </c>
      <c r="L54" s="176" t="str">
        <f t="shared" ca="1" si="1"/>
        <v/>
      </c>
      <c r="M54" s="177" t="s">
        <v>4</v>
      </c>
      <c r="N54" s="178" t="str">
        <f t="shared" ca="1" si="2"/>
        <v/>
      </c>
      <c r="O54" s="328"/>
      <c r="P54" s="684"/>
      <c r="Q54" s="167"/>
      <c r="R54" s="168"/>
      <c r="S54" s="168"/>
      <c r="T54" s="168"/>
      <c r="U54" s="168"/>
      <c r="W54" s="384">
        <v>2</v>
      </c>
      <c r="X54" s="537">
        <v>8</v>
      </c>
      <c r="Y54" s="538">
        <v>8</v>
      </c>
      <c r="Z54" s="538">
        <v>8</v>
      </c>
      <c r="AA54" s="538">
        <v>8</v>
      </c>
      <c r="AB54" s="538">
        <v>8</v>
      </c>
      <c r="AC54" s="539">
        <v>8</v>
      </c>
      <c r="AD54" s="537">
        <v>8</v>
      </c>
      <c r="AE54" s="538">
        <v>8</v>
      </c>
      <c r="AF54" s="538">
        <v>8</v>
      </c>
      <c r="AG54" s="538">
        <v>8</v>
      </c>
      <c r="AH54" s="538">
        <v>8</v>
      </c>
      <c r="AI54" s="539">
        <v>8</v>
      </c>
      <c r="AJ54" s="537">
        <v>8</v>
      </c>
      <c r="AK54" s="538">
        <v>8</v>
      </c>
      <c r="AL54" s="538">
        <v>8</v>
      </c>
      <c r="AM54" s="538">
        <v>8</v>
      </c>
      <c r="AN54" s="538">
        <v>8</v>
      </c>
      <c r="AO54" s="539">
        <v>8</v>
      </c>
      <c r="AP54" s="537">
        <v>8</v>
      </c>
      <c r="AQ54" s="538">
        <v>8</v>
      </c>
      <c r="AR54" s="538">
        <v>8</v>
      </c>
      <c r="AS54" s="538">
        <v>8</v>
      </c>
      <c r="AT54" s="538">
        <v>8</v>
      </c>
      <c r="AU54" s="539">
        <v>8</v>
      </c>
      <c r="AV54" s="537">
        <v>8</v>
      </c>
      <c r="AW54" s="538">
        <v>8</v>
      </c>
      <c r="AX54" s="538">
        <v>8</v>
      </c>
      <c r="AY54" s="538">
        <v>8</v>
      </c>
      <c r="AZ54" s="538">
        <v>8</v>
      </c>
      <c r="BA54" s="539">
        <v>8</v>
      </c>
      <c r="BB54" s="537">
        <v>8</v>
      </c>
      <c r="BC54" s="538">
        <v>8</v>
      </c>
      <c r="BD54" s="538">
        <v>8</v>
      </c>
      <c r="BE54" s="538">
        <v>8</v>
      </c>
      <c r="BF54" s="538">
        <v>8</v>
      </c>
      <c r="BG54" s="539">
        <v>8</v>
      </c>
      <c r="BH54" s="444"/>
    </row>
    <row r="55" spans="2:60" ht="18" thickBot="1" x14ac:dyDescent="0.3">
      <c r="B55" s="841"/>
      <c r="C55" s="843"/>
      <c r="D55" s="548">
        <v>50</v>
      </c>
      <c r="E55" s="505" t="str">
        <f t="array" ref="E55">IF($D55&gt;Calc1!$B$14,"",ROW(50:50)-SUM((($L$6:$L54="")+($N$6:$N54="")&gt;0)*1))</f>
        <v/>
      </c>
      <c r="F55" s="171" t="str">
        <f>IF(OR($V$15,$D55&gt;Calc1!$B$14),"",$S$5+QUOTIENT(($E55-1),$V$11)*($S$7+$S$9)/1440+SUM($P$6:$P54)/1440)</f>
        <v/>
      </c>
      <c r="G55" s="173" t="str">
        <f>IF(OR($V$15,$D55&gt;Calc1!$B$14),"",MOD($E55-1,$V$11)+1)</f>
        <v/>
      </c>
      <c r="H55" s="288" t="str">
        <f t="shared" ca="1" si="0"/>
        <v/>
      </c>
      <c r="I55" s="309" t="str">
        <f ca="1"/>
        <v/>
      </c>
      <c r="J55" s="310" t="s">
        <v>4</v>
      </c>
      <c r="K55" s="311" t="str">
        <f ca="1"/>
        <v/>
      </c>
      <c r="L55" s="176" t="str">
        <f t="shared" ca="1" si="1"/>
        <v/>
      </c>
      <c r="M55" s="177" t="s">
        <v>4</v>
      </c>
      <c r="N55" s="178" t="str">
        <f t="shared" ca="1" si="2"/>
        <v/>
      </c>
      <c r="O55" s="328"/>
      <c r="P55" s="684"/>
      <c r="Q55" s="167"/>
      <c r="R55" s="168"/>
      <c r="S55" s="168"/>
      <c r="T55" s="168"/>
      <c r="U55" s="168"/>
      <c r="W55" s="384">
        <v>3</v>
      </c>
      <c r="X55" s="537">
        <v>8</v>
      </c>
      <c r="Y55" s="538">
        <v>8</v>
      </c>
      <c r="Z55" s="538">
        <v>8</v>
      </c>
      <c r="AA55" s="538">
        <v>8</v>
      </c>
      <c r="AB55" s="538">
        <v>8</v>
      </c>
      <c r="AC55" s="539">
        <v>8</v>
      </c>
      <c r="AD55" s="537">
        <v>8</v>
      </c>
      <c r="AE55" s="538">
        <v>8</v>
      </c>
      <c r="AF55" s="538">
        <v>8</v>
      </c>
      <c r="AG55" s="538">
        <v>8</v>
      </c>
      <c r="AH55" s="538">
        <v>8</v>
      </c>
      <c r="AI55" s="539">
        <v>8</v>
      </c>
      <c r="AJ55" s="537">
        <v>8</v>
      </c>
      <c r="AK55" s="538">
        <v>8</v>
      </c>
      <c r="AL55" s="538">
        <v>8</v>
      </c>
      <c r="AM55" s="538">
        <v>8</v>
      </c>
      <c r="AN55" s="538">
        <v>8</v>
      </c>
      <c r="AO55" s="539">
        <v>8</v>
      </c>
      <c r="AP55" s="537">
        <v>8</v>
      </c>
      <c r="AQ55" s="538">
        <v>8</v>
      </c>
      <c r="AR55" s="538">
        <v>8</v>
      </c>
      <c r="AS55" s="538">
        <v>8</v>
      </c>
      <c r="AT55" s="538">
        <v>8</v>
      </c>
      <c r="AU55" s="539">
        <v>8</v>
      </c>
      <c r="AV55" s="537">
        <v>8</v>
      </c>
      <c r="AW55" s="538">
        <v>8</v>
      </c>
      <c r="AX55" s="538">
        <v>8</v>
      </c>
      <c r="AY55" s="538">
        <v>8</v>
      </c>
      <c r="AZ55" s="538">
        <v>8</v>
      </c>
      <c r="BA55" s="539">
        <v>8</v>
      </c>
      <c r="BB55" s="537">
        <v>8</v>
      </c>
      <c r="BC55" s="538">
        <v>8</v>
      </c>
      <c r="BD55" s="538">
        <v>8</v>
      </c>
      <c r="BE55" s="538">
        <v>8</v>
      </c>
      <c r="BF55" s="538">
        <v>8</v>
      </c>
      <c r="BG55" s="539">
        <v>8</v>
      </c>
      <c r="BH55" s="444"/>
    </row>
    <row r="56" spans="2:60" ht="18" thickTop="1" x14ac:dyDescent="0.25">
      <c r="B56" s="844"/>
      <c r="C56" s="846" t="str">
        <f>Sprache!$E$10</f>
        <v>Teilnehmer bzw. Mannschaft</v>
      </c>
      <c r="D56" s="548">
        <v>51</v>
      </c>
      <c r="E56" s="505" t="str">
        <f t="array" ref="E56">IF($D56&gt;Calc1!$B$14,"",ROW(51:51)-SUM((($L$6:$L55="")+($N$6:$N55="")&gt;0)*1))</f>
        <v/>
      </c>
      <c r="F56" s="171" t="str">
        <f>IF(OR($V$15,$D56&gt;Calc1!$B$14),"",$S$5+QUOTIENT(($E56-1),$V$11)*($S$7+$S$9)/1440+SUM($P$6:$P55)/1440)</f>
        <v/>
      </c>
      <c r="G56" s="173" t="str">
        <f>IF(OR($V$15,$D56&gt;Calc1!$B$14),"",MOD($E56-1,$V$11)+1)</f>
        <v/>
      </c>
      <c r="H56" s="288" t="str">
        <f t="shared" ca="1" si="0"/>
        <v/>
      </c>
      <c r="I56" s="309" t="str">
        <f ca="1"/>
        <v/>
      </c>
      <c r="J56" s="310" t="s">
        <v>4</v>
      </c>
      <c r="K56" s="311" t="str">
        <f ca="1"/>
        <v/>
      </c>
      <c r="L56" s="176" t="str">
        <f t="shared" ca="1" si="1"/>
        <v/>
      </c>
      <c r="M56" s="177" t="s">
        <v>4</v>
      </c>
      <c r="N56" s="178" t="str">
        <f t="shared" ca="1" si="2"/>
        <v/>
      </c>
      <c r="O56" s="328"/>
      <c r="P56" s="684"/>
      <c r="Q56" s="167"/>
      <c r="R56" s="168"/>
      <c r="S56" s="168"/>
      <c r="T56" s="168"/>
      <c r="U56" s="168"/>
      <c r="W56" s="384">
        <v>4</v>
      </c>
      <c r="X56" s="537">
        <v>8</v>
      </c>
      <c r="Y56" s="538">
        <v>8</v>
      </c>
      <c r="Z56" s="538">
        <v>8</v>
      </c>
      <c r="AA56" s="538">
        <v>8</v>
      </c>
      <c r="AB56" s="538">
        <v>8</v>
      </c>
      <c r="AC56" s="539">
        <v>8</v>
      </c>
      <c r="AD56" s="537">
        <v>8</v>
      </c>
      <c r="AE56" s="538">
        <v>8</v>
      </c>
      <c r="AF56" s="538">
        <v>8</v>
      </c>
      <c r="AG56" s="538">
        <v>8</v>
      </c>
      <c r="AH56" s="538">
        <v>8</v>
      </c>
      <c r="AI56" s="539">
        <v>8</v>
      </c>
      <c r="AJ56" s="537">
        <v>8</v>
      </c>
      <c r="AK56" s="538">
        <v>8</v>
      </c>
      <c r="AL56" s="538">
        <v>8</v>
      </c>
      <c r="AM56" s="538">
        <v>8</v>
      </c>
      <c r="AN56" s="538">
        <v>8</v>
      </c>
      <c r="AO56" s="539">
        <v>8</v>
      </c>
      <c r="AP56" s="537">
        <v>8</v>
      </c>
      <c r="AQ56" s="538">
        <v>8</v>
      </c>
      <c r="AR56" s="538">
        <v>8</v>
      </c>
      <c r="AS56" s="538">
        <v>8</v>
      </c>
      <c r="AT56" s="538">
        <v>8</v>
      </c>
      <c r="AU56" s="539">
        <v>8</v>
      </c>
      <c r="AV56" s="537">
        <v>8</v>
      </c>
      <c r="AW56" s="538">
        <v>8</v>
      </c>
      <c r="AX56" s="538">
        <v>8</v>
      </c>
      <c r="AY56" s="538">
        <v>8</v>
      </c>
      <c r="AZ56" s="538">
        <v>8</v>
      </c>
      <c r="BA56" s="539">
        <v>8</v>
      </c>
      <c r="BB56" s="537">
        <v>8</v>
      </c>
      <c r="BC56" s="538">
        <v>8</v>
      </c>
      <c r="BD56" s="538">
        <v>8</v>
      </c>
      <c r="BE56" s="538">
        <v>8</v>
      </c>
      <c r="BF56" s="538">
        <v>8</v>
      </c>
      <c r="BG56" s="539">
        <v>8</v>
      </c>
      <c r="BH56" s="444"/>
    </row>
    <row r="57" spans="2:60" ht="17.25" x14ac:dyDescent="0.25">
      <c r="B57" s="845"/>
      <c r="C57" s="847"/>
      <c r="D57" s="548">
        <v>52</v>
      </c>
      <c r="E57" s="505" t="str">
        <f t="array" ref="E57">IF($D57&gt;Calc1!$B$14,"",ROW(52:52)-SUM((($L$6:$L56="")+($N$6:$N56="")&gt;0)*1))</f>
        <v/>
      </c>
      <c r="F57" s="171" t="str">
        <f>IF(OR($V$15,$D57&gt;Calc1!$B$14),"",$S$5+QUOTIENT(($E57-1),$V$11)*($S$7+$S$9)/1440+SUM($P$6:$P56)/1440)</f>
        <v/>
      </c>
      <c r="G57" s="173" t="str">
        <f>IF(OR($V$15,$D57&gt;Calc1!$B$14),"",MOD($E57-1,$V$11)+1)</f>
        <v/>
      </c>
      <c r="H57" s="288" t="str">
        <f t="shared" ca="1" si="0"/>
        <v/>
      </c>
      <c r="I57" s="309" t="str">
        <f ca="1"/>
        <v/>
      </c>
      <c r="J57" s="310" t="s">
        <v>4</v>
      </c>
      <c r="K57" s="311" t="str">
        <f ca="1"/>
        <v/>
      </c>
      <c r="L57" s="176" t="str">
        <f t="shared" ca="1" si="1"/>
        <v/>
      </c>
      <c r="M57" s="177" t="s">
        <v>4</v>
      </c>
      <c r="N57" s="178" t="str">
        <f t="shared" ca="1" si="2"/>
        <v/>
      </c>
      <c r="O57" s="328"/>
      <c r="P57" s="684"/>
      <c r="Q57" s="167"/>
      <c r="R57" s="168"/>
      <c r="S57" s="168"/>
      <c r="T57" s="168"/>
      <c r="U57" s="168"/>
      <c r="W57" s="384">
        <v>5</v>
      </c>
      <c r="X57" s="537">
        <v>8</v>
      </c>
      <c r="Y57" s="538">
        <v>8</v>
      </c>
      <c r="Z57" s="538">
        <v>8</v>
      </c>
      <c r="AA57" s="538">
        <v>8</v>
      </c>
      <c r="AB57" s="538">
        <v>8</v>
      </c>
      <c r="AC57" s="539">
        <v>8</v>
      </c>
      <c r="AD57" s="537">
        <v>8</v>
      </c>
      <c r="AE57" s="538">
        <v>8</v>
      </c>
      <c r="AF57" s="538">
        <v>8</v>
      </c>
      <c r="AG57" s="538">
        <v>8</v>
      </c>
      <c r="AH57" s="538">
        <v>8</v>
      </c>
      <c r="AI57" s="539">
        <v>8</v>
      </c>
      <c r="AJ57" s="537">
        <v>8</v>
      </c>
      <c r="AK57" s="538">
        <v>8</v>
      </c>
      <c r="AL57" s="538">
        <v>8</v>
      </c>
      <c r="AM57" s="538">
        <v>8</v>
      </c>
      <c r="AN57" s="538">
        <v>8</v>
      </c>
      <c r="AO57" s="539">
        <v>8</v>
      </c>
      <c r="AP57" s="537">
        <v>8</v>
      </c>
      <c r="AQ57" s="538">
        <v>8</v>
      </c>
      <c r="AR57" s="538">
        <v>8</v>
      </c>
      <c r="AS57" s="538">
        <v>8</v>
      </c>
      <c r="AT57" s="538">
        <v>8</v>
      </c>
      <c r="AU57" s="539">
        <v>8</v>
      </c>
      <c r="AV57" s="537">
        <v>8</v>
      </c>
      <c r="AW57" s="538">
        <v>8</v>
      </c>
      <c r="AX57" s="538">
        <v>8</v>
      </c>
      <c r="AY57" s="538">
        <v>8</v>
      </c>
      <c r="AZ57" s="538">
        <v>8</v>
      </c>
      <c r="BA57" s="539">
        <v>8</v>
      </c>
      <c r="BB57" s="537">
        <v>8</v>
      </c>
      <c r="BC57" s="538">
        <v>8</v>
      </c>
      <c r="BD57" s="538">
        <v>8</v>
      </c>
      <c r="BE57" s="538">
        <v>8</v>
      </c>
      <c r="BF57" s="538">
        <v>8</v>
      </c>
      <c r="BG57" s="539">
        <v>8</v>
      </c>
      <c r="BH57" s="444"/>
    </row>
    <row r="58" spans="2:60" ht="18" customHeight="1" thickBot="1" x14ac:dyDescent="0.3">
      <c r="B58" s="848" t="s">
        <v>297</v>
      </c>
      <c r="C58" s="836" t="s">
        <v>303</v>
      </c>
      <c r="D58" s="548">
        <v>53</v>
      </c>
      <c r="E58" s="505" t="str">
        <f t="array" ref="E58">IF($D58&gt;Calc1!$B$14,"",ROW(53:53)-SUM((($L$6:$L57="")+($N$6:$N57="")&gt;0)*1))</f>
        <v/>
      </c>
      <c r="F58" s="171" t="str">
        <f>IF(OR($V$15,$D58&gt;Calc1!$B$14),"",$S$5+QUOTIENT(($E58-1),$V$11)*($S$7+$S$9)/1440+SUM($P$6:$P57)/1440)</f>
        <v/>
      </c>
      <c r="G58" s="173" t="str">
        <f>IF(OR($V$15,$D58&gt;Calc1!$B$14),"",MOD($E58-1,$V$11)+1)</f>
        <v/>
      </c>
      <c r="H58" s="288" t="str">
        <f t="shared" ca="1" si="0"/>
        <v/>
      </c>
      <c r="I58" s="309" t="str">
        <f ca="1"/>
        <v/>
      </c>
      <c r="J58" s="310" t="s">
        <v>4</v>
      </c>
      <c r="K58" s="311" t="str">
        <f ca="1"/>
        <v/>
      </c>
      <c r="L58" s="176" t="str">
        <f t="shared" ca="1" si="1"/>
        <v/>
      </c>
      <c r="M58" s="177" t="s">
        <v>4</v>
      </c>
      <c r="N58" s="178" t="str">
        <f t="shared" ca="1" si="2"/>
        <v/>
      </c>
      <c r="O58" s="328"/>
      <c r="P58" s="684"/>
      <c r="Q58" s="167"/>
      <c r="R58" s="168"/>
      <c r="S58" s="168"/>
      <c r="T58" s="168"/>
      <c r="U58" s="168"/>
      <c r="W58" s="385">
        <v>6</v>
      </c>
      <c r="X58" s="540">
        <v>8</v>
      </c>
      <c r="Y58" s="541">
        <v>8</v>
      </c>
      <c r="Z58" s="541">
        <v>8</v>
      </c>
      <c r="AA58" s="541">
        <v>8</v>
      </c>
      <c r="AB58" s="541">
        <v>8</v>
      </c>
      <c r="AC58" s="542">
        <v>8</v>
      </c>
      <c r="AD58" s="540">
        <v>8</v>
      </c>
      <c r="AE58" s="541">
        <v>8</v>
      </c>
      <c r="AF58" s="541">
        <v>8</v>
      </c>
      <c r="AG58" s="541">
        <v>8</v>
      </c>
      <c r="AH58" s="541">
        <v>8</v>
      </c>
      <c r="AI58" s="542">
        <v>8</v>
      </c>
      <c r="AJ58" s="540">
        <v>8</v>
      </c>
      <c r="AK58" s="541">
        <v>8</v>
      </c>
      <c r="AL58" s="541">
        <v>8</v>
      </c>
      <c r="AM58" s="541">
        <v>8</v>
      </c>
      <c r="AN58" s="541">
        <v>8</v>
      </c>
      <c r="AO58" s="542">
        <v>8</v>
      </c>
      <c r="AP58" s="540">
        <v>8</v>
      </c>
      <c r="AQ58" s="541">
        <v>8</v>
      </c>
      <c r="AR58" s="541">
        <v>8</v>
      </c>
      <c r="AS58" s="541">
        <v>8</v>
      </c>
      <c r="AT58" s="541">
        <v>8</v>
      </c>
      <c r="AU58" s="542">
        <v>8</v>
      </c>
      <c r="AV58" s="540">
        <v>8</v>
      </c>
      <c r="AW58" s="541">
        <v>8</v>
      </c>
      <c r="AX58" s="541">
        <v>8</v>
      </c>
      <c r="AY58" s="541">
        <v>8</v>
      </c>
      <c r="AZ58" s="541">
        <v>8</v>
      </c>
      <c r="BA58" s="542">
        <v>8</v>
      </c>
      <c r="BB58" s="540">
        <v>8</v>
      </c>
      <c r="BC58" s="541">
        <v>8</v>
      </c>
      <c r="BD58" s="541">
        <v>8</v>
      </c>
      <c r="BE58" s="541">
        <v>8</v>
      </c>
      <c r="BF58" s="541">
        <v>8</v>
      </c>
      <c r="BG58" s="542">
        <v>8</v>
      </c>
      <c r="BH58" s="444"/>
    </row>
    <row r="59" spans="2:60" ht="18" customHeight="1" thickTop="1" x14ac:dyDescent="0.25">
      <c r="B59" s="835"/>
      <c r="C59" s="837"/>
      <c r="D59" s="548">
        <v>54</v>
      </c>
      <c r="E59" s="505" t="str">
        <f t="array" ref="E59">IF($D59&gt;Calc1!$B$14,"",ROW(54:54)-SUM((($L$6:$L58="")+($N$6:$N58="")&gt;0)*1))</f>
        <v/>
      </c>
      <c r="F59" s="171" t="str">
        <f>IF(OR($V$15,$D59&gt;Calc1!$B$14),"",$S$5+QUOTIENT(($E59-1),$V$11)*($S$7+$S$9)/1440+SUM($P$6:$P58)/1440)</f>
        <v/>
      </c>
      <c r="G59" s="173" t="str">
        <f>IF(OR($V$15,$D59&gt;Calc1!$B$14),"",MOD($E59-1,$V$11)+1)</f>
        <v/>
      </c>
      <c r="H59" s="288" t="str">
        <f t="shared" ca="1" si="0"/>
        <v/>
      </c>
      <c r="I59" s="309" t="str">
        <f ca="1"/>
        <v/>
      </c>
      <c r="J59" s="310" t="s">
        <v>4</v>
      </c>
      <c r="K59" s="311" t="str">
        <f ca="1"/>
        <v/>
      </c>
      <c r="L59" s="50" t="str">
        <f t="shared" ca="1" si="1"/>
        <v/>
      </c>
      <c r="M59" s="48" t="s">
        <v>4</v>
      </c>
      <c r="N59" s="49" t="str">
        <f t="shared" ca="1" si="2"/>
        <v/>
      </c>
      <c r="O59" s="328"/>
      <c r="P59" s="684"/>
      <c r="Q59" s="167"/>
      <c r="R59" s="168"/>
      <c r="S59" s="168"/>
      <c r="T59" s="168"/>
      <c r="U59" s="168"/>
      <c r="W59" s="384">
        <v>1</v>
      </c>
      <c r="X59" s="534">
        <v>8</v>
      </c>
      <c r="Y59" s="535">
        <v>8</v>
      </c>
      <c r="Z59" s="535">
        <v>8</v>
      </c>
      <c r="AA59" s="535">
        <v>8</v>
      </c>
      <c r="AB59" s="535">
        <v>8</v>
      </c>
      <c r="AC59" s="536">
        <v>8</v>
      </c>
      <c r="AD59" s="534">
        <v>8</v>
      </c>
      <c r="AE59" s="535">
        <v>8</v>
      </c>
      <c r="AF59" s="535">
        <v>8</v>
      </c>
      <c r="AG59" s="535">
        <v>8</v>
      </c>
      <c r="AH59" s="535">
        <v>8</v>
      </c>
      <c r="AI59" s="536">
        <v>8</v>
      </c>
      <c r="AJ59" s="534">
        <v>8</v>
      </c>
      <c r="AK59" s="535">
        <v>8</v>
      </c>
      <c r="AL59" s="535">
        <v>8</v>
      </c>
      <c r="AM59" s="535">
        <v>8</v>
      </c>
      <c r="AN59" s="535">
        <v>8</v>
      </c>
      <c r="AO59" s="536">
        <v>8</v>
      </c>
      <c r="AP59" s="534">
        <v>8</v>
      </c>
      <c r="AQ59" s="535">
        <v>8</v>
      </c>
      <c r="AR59" s="535">
        <v>8</v>
      </c>
      <c r="AS59" s="535">
        <v>8</v>
      </c>
      <c r="AT59" s="535">
        <v>8</v>
      </c>
      <c r="AU59" s="536">
        <v>8</v>
      </c>
      <c r="AV59" s="534">
        <v>8</v>
      </c>
      <c r="AW59" s="535">
        <v>8</v>
      </c>
      <c r="AX59" s="535">
        <v>8</v>
      </c>
      <c r="AY59" s="535">
        <v>8</v>
      </c>
      <c r="AZ59" s="535">
        <v>8</v>
      </c>
      <c r="BA59" s="536">
        <v>8</v>
      </c>
      <c r="BB59" s="534">
        <v>8</v>
      </c>
      <c r="BC59" s="535">
        <v>8</v>
      </c>
      <c r="BD59" s="535">
        <v>8</v>
      </c>
      <c r="BE59" s="535">
        <v>8</v>
      </c>
      <c r="BF59" s="535">
        <v>8</v>
      </c>
      <c r="BG59" s="536">
        <v>8</v>
      </c>
      <c r="BH59" s="443">
        <v>3</v>
      </c>
    </row>
    <row r="60" spans="2:60" ht="17.25" x14ac:dyDescent="0.25">
      <c r="B60" s="834" t="s">
        <v>298</v>
      </c>
      <c r="C60" s="836" t="s">
        <v>304</v>
      </c>
      <c r="D60" s="548">
        <v>55</v>
      </c>
      <c r="E60" s="505" t="str">
        <f t="array" ref="E60">IF($D60&gt;Calc1!$B$14,"",ROW(55:55)-SUM((($L$6:$L59="")+($N$6:$N59="")&gt;0)*1))</f>
        <v/>
      </c>
      <c r="F60" s="171" t="str">
        <f>IF(OR($V$15,$D60&gt;Calc1!$B$14),"",$S$5+QUOTIENT(($E60-1),$V$11)*($S$7+$S$9)/1440+SUM($P$6:$P59)/1440)</f>
        <v/>
      </c>
      <c r="G60" s="173" t="str">
        <f>IF(OR($V$15,$D60&gt;Calc1!$B$14),"",MOD($E60-1,$V$11)+1)</f>
        <v/>
      </c>
      <c r="H60" s="288" t="str">
        <f t="shared" ca="1" si="0"/>
        <v/>
      </c>
      <c r="I60" s="309" t="str">
        <f ca="1"/>
        <v/>
      </c>
      <c r="J60" s="310" t="s">
        <v>4</v>
      </c>
      <c r="K60" s="311" t="str">
        <f ca="1"/>
        <v/>
      </c>
      <c r="L60" s="176" t="str">
        <f t="shared" ca="1" si="1"/>
        <v/>
      </c>
      <c r="M60" s="177" t="s">
        <v>4</v>
      </c>
      <c r="N60" s="178" t="str">
        <f t="shared" ca="1" si="2"/>
        <v/>
      </c>
      <c r="O60" s="328"/>
      <c r="P60" s="684"/>
      <c r="Q60" s="167"/>
      <c r="R60" s="168"/>
      <c r="S60" s="168"/>
      <c r="T60" s="168"/>
      <c r="U60" s="168"/>
      <c r="W60" s="384">
        <v>2</v>
      </c>
      <c r="X60" s="537">
        <v>8</v>
      </c>
      <c r="Y60" s="538">
        <v>8</v>
      </c>
      <c r="Z60" s="538">
        <v>8</v>
      </c>
      <c r="AA60" s="538">
        <v>8</v>
      </c>
      <c r="AB60" s="538">
        <v>8</v>
      </c>
      <c r="AC60" s="539">
        <v>8</v>
      </c>
      <c r="AD60" s="537">
        <v>8</v>
      </c>
      <c r="AE60" s="538">
        <v>8</v>
      </c>
      <c r="AF60" s="538">
        <v>8</v>
      </c>
      <c r="AG60" s="538">
        <v>8</v>
      </c>
      <c r="AH60" s="538">
        <v>8</v>
      </c>
      <c r="AI60" s="539">
        <v>8</v>
      </c>
      <c r="AJ60" s="537">
        <v>8</v>
      </c>
      <c r="AK60" s="538">
        <v>8</v>
      </c>
      <c r="AL60" s="538">
        <v>8</v>
      </c>
      <c r="AM60" s="538">
        <v>8</v>
      </c>
      <c r="AN60" s="538">
        <v>8</v>
      </c>
      <c r="AO60" s="539">
        <v>8</v>
      </c>
      <c r="AP60" s="537">
        <v>8</v>
      </c>
      <c r="AQ60" s="538">
        <v>8</v>
      </c>
      <c r="AR60" s="538">
        <v>8</v>
      </c>
      <c r="AS60" s="538">
        <v>8</v>
      </c>
      <c r="AT60" s="538">
        <v>8</v>
      </c>
      <c r="AU60" s="539">
        <v>8</v>
      </c>
      <c r="AV60" s="537">
        <v>8</v>
      </c>
      <c r="AW60" s="538">
        <v>8</v>
      </c>
      <c r="AX60" s="538">
        <v>8</v>
      </c>
      <c r="AY60" s="538">
        <v>8</v>
      </c>
      <c r="AZ60" s="538">
        <v>8</v>
      </c>
      <c r="BA60" s="539">
        <v>8</v>
      </c>
      <c r="BB60" s="537">
        <v>8</v>
      </c>
      <c r="BC60" s="538">
        <v>8</v>
      </c>
      <c r="BD60" s="538">
        <v>8</v>
      </c>
      <c r="BE60" s="538">
        <v>8</v>
      </c>
      <c r="BF60" s="538">
        <v>8</v>
      </c>
      <c r="BG60" s="539">
        <v>8</v>
      </c>
      <c r="BH60" s="444"/>
    </row>
    <row r="61" spans="2:60" ht="17.25" x14ac:dyDescent="0.25">
      <c r="B61" s="835"/>
      <c r="C61" s="837"/>
      <c r="D61" s="548">
        <v>56</v>
      </c>
      <c r="E61" s="505" t="str">
        <f t="array" ref="E61">IF($D61&gt;Calc1!$B$14,"",ROW(56:56)-SUM((($L$6:$L60="")+($N$6:$N60="")&gt;0)*1))</f>
        <v/>
      </c>
      <c r="F61" s="171" t="str">
        <f>IF(OR($V$15,$D61&gt;Calc1!$B$14),"",$S$5+QUOTIENT(($E61-1),$V$11)*($S$7+$S$9)/1440+SUM($P$6:$P60)/1440)</f>
        <v/>
      </c>
      <c r="G61" s="173" t="str">
        <f>IF(OR($V$15,$D61&gt;Calc1!$B$14),"",MOD($E61-1,$V$11)+1)</f>
        <v/>
      </c>
      <c r="H61" s="288" t="str">
        <f t="shared" ca="1" si="0"/>
        <v/>
      </c>
      <c r="I61" s="309" t="str">
        <f ca="1"/>
        <v/>
      </c>
      <c r="J61" s="310" t="s">
        <v>4</v>
      </c>
      <c r="K61" s="311" t="str">
        <f ca="1"/>
        <v/>
      </c>
      <c r="L61" s="176" t="str">
        <f t="shared" ca="1" si="1"/>
        <v/>
      </c>
      <c r="M61" s="177" t="s">
        <v>4</v>
      </c>
      <c r="N61" s="178" t="str">
        <f t="shared" ca="1" si="2"/>
        <v/>
      </c>
      <c r="O61" s="328"/>
      <c r="P61" s="684"/>
      <c r="Q61" s="167"/>
      <c r="R61" s="168"/>
      <c r="S61" s="168"/>
      <c r="T61" s="168"/>
      <c r="U61" s="168"/>
      <c r="W61" s="384">
        <v>3</v>
      </c>
      <c r="X61" s="537">
        <v>8</v>
      </c>
      <c r="Y61" s="538">
        <v>8</v>
      </c>
      <c r="Z61" s="538">
        <v>8</v>
      </c>
      <c r="AA61" s="538">
        <v>8</v>
      </c>
      <c r="AB61" s="538">
        <v>8</v>
      </c>
      <c r="AC61" s="539">
        <v>8</v>
      </c>
      <c r="AD61" s="537">
        <v>8</v>
      </c>
      <c r="AE61" s="538">
        <v>8</v>
      </c>
      <c r="AF61" s="538">
        <v>8</v>
      </c>
      <c r="AG61" s="538">
        <v>8</v>
      </c>
      <c r="AH61" s="538">
        <v>8</v>
      </c>
      <c r="AI61" s="539">
        <v>8</v>
      </c>
      <c r="AJ61" s="537">
        <v>8</v>
      </c>
      <c r="AK61" s="538">
        <v>8</v>
      </c>
      <c r="AL61" s="538">
        <v>4</v>
      </c>
      <c r="AM61" s="538">
        <v>5</v>
      </c>
      <c r="AN61" s="538">
        <v>8</v>
      </c>
      <c r="AO61" s="539">
        <v>8</v>
      </c>
      <c r="AP61" s="537">
        <v>8</v>
      </c>
      <c r="AQ61" s="538">
        <v>8</v>
      </c>
      <c r="AR61" s="538">
        <v>5</v>
      </c>
      <c r="AS61" s="538">
        <v>4</v>
      </c>
      <c r="AT61" s="538">
        <v>8</v>
      </c>
      <c r="AU61" s="539">
        <v>8</v>
      </c>
      <c r="AV61" s="537">
        <v>8</v>
      </c>
      <c r="AW61" s="538">
        <v>8</v>
      </c>
      <c r="AX61" s="538">
        <v>8</v>
      </c>
      <c r="AY61" s="538">
        <v>8</v>
      </c>
      <c r="AZ61" s="538">
        <v>8</v>
      </c>
      <c r="BA61" s="539">
        <v>8</v>
      </c>
      <c r="BB61" s="537">
        <v>8</v>
      </c>
      <c r="BC61" s="538">
        <v>8</v>
      </c>
      <c r="BD61" s="538">
        <v>8</v>
      </c>
      <c r="BE61" s="538">
        <v>8</v>
      </c>
      <c r="BF61" s="538">
        <v>8</v>
      </c>
      <c r="BG61" s="539">
        <v>8</v>
      </c>
      <c r="BH61" s="444"/>
    </row>
    <row r="62" spans="2:60" ht="17.25" x14ac:dyDescent="0.25">
      <c r="B62" s="834" t="s">
        <v>299</v>
      </c>
      <c r="C62" s="836" t="s">
        <v>305</v>
      </c>
      <c r="D62" s="548">
        <v>57</v>
      </c>
      <c r="E62" s="505" t="str">
        <f t="array" ref="E62">IF($D62&gt;Calc1!$B$14,"",ROW(57:57)-SUM((($L$6:$L61="")+($N$6:$N61="")&gt;0)*1))</f>
        <v/>
      </c>
      <c r="F62" s="171" t="str">
        <f>IF(OR($V$15,$D62&gt;Calc1!$B$14),"",$S$5+QUOTIENT(($E62-1),$V$11)*($S$7+$S$9)/1440+SUM($P$6:$P61)/1440)</f>
        <v/>
      </c>
      <c r="G62" s="173" t="str">
        <f>IF(OR($V$15,$D62&gt;Calc1!$B$14),"",MOD($E62-1,$V$11)+1)</f>
        <v/>
      </c>
      <c r="H62" s="288" t="str">
        <f t="shared" ca="1" si="0"/>
        <v/>
      </c>
      <c r="I62" s="309" t="str">
        <f ca="1"/>
        <v/>
      </c>
      <c r="J62" s="310" t="s">
        <v>4</v>
      </c>
      <c r="K62" s="311" t="str">
        <f ca="1"/>
        <v/>
      </c>
      <c r="L62" s="50" t="str">
        <f t="shared" ca="1" si="1"/>
        <v/>
      </c>
      <c r="M62" s="48" t="s">
        <v>4</v>
      </c>
      <c r="N62" s="49" t="str">
        <f t="shared" ca="1" si="2"/>
        <v/>
      </c>
      <c r="O62" s="328"/>
      <c r="P62" s="684"/>
      <c r="Q62" s="167"/>
      <c r="R62" s="168"/>
      <c r="S62" s="168"/>
      <c r="T62" s="168"/>
      <c r="U62" s="168"/>
      <c r="W62" s="384">
        <v>4</v>
      </c>
      <c r="X62" s="537">
        <v>8</v>
      </c>
      <c r="Y62" s="538">
        <v>8</v>
      </c>
      <c r="Z62" s="538">
        <v>8</v>
      </c>
      <c r="AA62" s="538">
        <v>8</v>
      </c>
      <c r="AB62" s="538">
        <v>8</v>
      </c>
      <c r="AC62" s="539">
        <v>8</v>
      </c>
      <c r="AD62" s="537">
        <v>8</v>
      </c>
      <c r="AE62" s="538">
        <v>8</v>
      </c>
      <c r="AF62" s="538">
        <v>8</v>
      </c>
      <c r="AG62" s="538">
        <v>8</v>
      </c>
      <c r="AH62" s="538">
        <v>8</v>
      </c>
      <c r="AI62" s="539">
        <v>8</v>
      </c>
      <c r="AJ62" s="537">
        <v>8</v>
      </c>
      <c r="AK62" s="538">
        <v>8</v>
      </c>
      <c r="AL62" s="538">
        <v>5</v>
      </c>
      <c r="AM62" s="538">
        <v>4</v>
      </c>
      <c r="AN62" s="538">
        <v>8</v>
      </c>
      <c r="AO62" s="539">
        <v>8</v>
      </c>
      <c r="AP62" s="537">
        <v>8</v>
      </c>
      <c r="AQ62" s="538">
        <v>8</v>
      </c>
      <c r="AR62" s="538">
        <v>4</v>
      </c>
      <c r="AS62" s="538">
        <v>3</v>
      </c>
      <c r="AT62" s="538">
        <v>4</v>
      </c>
      <c r="AU62" s="539">
        <v>8</v>
      </c>
      <c r="AV62" s="537">
        <v>8</v>
      </c>
      <c r="AW62" s="538">
        <v>8</v>
      </c>
      <c r="AX62" s="538">
        <v>8</v>
      </c>
      <c r="AY62" s="538">
        <v>8</v>
      </c>
      <c r="AZ62" s="538">
        <v>8</v>
      </c>
      <c r="BA62" s="539">
        <v>8</v>
      </c>
      <c r="BB62" s="537">
        <v>8</v>
      </c>
      <c r="BC62" s="538">
        <v>8</v>
      </c>
      <c r="BD62" s="538">
        <v>8</v>
      </c>
      <c r="BE62" s="538">
        <v>8</v>
      </c>
      <c r="BF62" s="538">
        <v>8</v>
      </c>
      <c r="BG62" s="539">
        <v>8</v>
      </c>
      <c r="BH62" s="444"/>
    </row>
    <row r="63" spans="2:60" ht="17.25" x14ac:dyDescent="0.25">
      <c r="B63" s="835"/>
      <c r="C63" s="837"/>
      <c r="D63" s="548">
        <v>58</v>
      </c>
      <c r="E63" s="505" t="str">
        <f t="array" ref="E63">IF($D63&gt;Calc1!$B$14,"",ROW(58:58)-SUM((($L$6:$L62="")+($N$6:$N62="")&gt;0)*1))</f>
        <v/>
      </c>
      <c r="F63" s="171" t="str">
        <f>IF(OR($V$15,$D63&gt;Calc1!$B$14),"",$S$5+QUOTIENT(($E63-1),$V$11)*($S$7+$S$9)/1440+SUM($P$6:$P62)/1440)</f>
        <v/>
      </c>
      <c r="G63" s="173" t="str">
        <f>IF(OR($V$15,$D63&gt;Calc1!$B$14),"",MOD($E63-1,$V$11)+1)</f>
        <v/>
      </c>
      <c r="H63" s="547" t="str">
        <f t="shared" ca="1" si="0"/>
        <v/>
      </c>
      <c r="I63" s="309" t="str">
        <f ca="1"/>
        <v/>
      </c>
      <c r="J63" s="310" t="s">
        <v>4</v>
      </c>
      <c r="K63" s="311" t="str">
        <f ca="1"/>
        <v/>
      </c>
      <c r="L63" s="50" t="str">
        <f t="shared" ca="1" si="1"/>
        <v/>
      </c>
      <c r="M63" s="48" t="s">
        <v>4</v>
      </c>
      <c r="N63" s="49" t="str">
        <f t="shared" ca="1" si="2"/>
        <v/>
      </c>
      <c r="O63" s="328"/>
      <c r="P63" s="684"/>
      <c r="Q63" s="167"/>
      <c r="R63" s="168"/>
      <c r="S63" s="168"/>
      <c r="T63" s="168"/>
      <c r="U63" s="168"/>
      <c r="W63" s="384">
        <v>5</v>
      </c>
      <c r="X63" s="537">
        <v>8</v>
      </c>
      <c r="Y63" s="538">
        <v>8</v>
      </c>
      <c r="Z63" s="538">
        <v>8</v>
      </c>
      <c r="AA63" s="538">
        <v>8</v>
      </c>
      <c r="AB63" s="538">
        <v>8</v>
      </c>
      <c r="AC63" s="539">
        <v>8</v>
      </c>
      <c r="AD63" s="537">
        <v>8</v>
      </c>
      <c r="AE63" s="538">
        <v>8</v>
      </c>
      <c r="AF63" s="538">
        <v>8</v>
      </c>
      <c r="AG63" s="538">
        <v>8</v>
      </c>
      <c r="AH63" s="538">
        <v>8</v>
      </c>
      <c r="AI63" s="539">
        <v>8</v>
      </c>
      <c r="AJ63" s="537">
        <v>8</v>
      </c>
      <c r="AK63" s="538">
        <v>8</v>
      </c>
      <c r="AL63" s="538">
        <v>8</v>
      </c>
      <c r="AM63" s="538">
        <v>8</v>
      </c>
      <c r="AN63" s="538">
        <v>8</v>
      </c>
      <c r="AO63" s="539">
        <v>8</v>
      </c>
      <c r="AP63" s="537">
        <v>8</v>
      </c>
      <c r="AQ63" s="538">
        <v>8</v>
      </c>
      <c r="AR63" s="538">
        <v>8</v>
      </c>
      <c r="AS63" s="538">
        <v>4</v>
      </c>
      <c r="AT63" s="538">
        <v>5</v>
      </c>
      <c r="AU63" s="539">
        <v>8</v>
      </c>
      <c r="AV63" s="537">
        <v>8</v>
      </c>
      <c r="AW63" s="538">
        <v>8</v>
      </c>
      <c r="AX63" s="538">
        <v>8</v>
      </c>
      <c r="AY63" s="538">
        <v>8</v>
      </c>
      <c r="AZ63" s="538">
        <v>8</v>
      </c>
      <c r="BA63" s="539">
        <v>8</v>
      </c>
      <c r="BB63" s="537">
        <v>8</v>
      </c>
      <c r="BC63" s="538">
        <v>8</v>
      </c>
      <c r="BD63" s="538">
        <v>8</v>
      </c>
      <c r="BE63" s="538">
        <v>8</v>
      </c>
      <c r="BF63" s="538">
        <v>8</v>
      </c>
      <c r="BG63" s="539">
        <v>8</v>
      </c>
      <c r="BH63" s="444"/>
    </row>
    <row r="64" spans="2:60" ht="18" thickBot="1" x14ac:dyDescent="0.3">
      <c r="B64" s="834" t="s">
        <v>300</v>
      </c>
      <c r="C64" s="836" t="s">
        <v>306</v>
      </c>
      <c r="D64" s="548">
        <v>59</v>
      </c>
      <c r="E64" s="505" t="str">
        <f t="array" ref="E64">IF($D64&gt;Calc1!$B$14,"",ROW(59:59)-SUM((($L$6:$L63="")+($N$6:$N63="")&gt;0)*1))</f>
        <v/>
      </c>
      <c r="F64" s="171" t="str">
        <f>IF(OR($V$15,$D64&gt;Calc1!$B$14),"",$S$5+QUOTIENT(($E64-1),$V$11)*($S$7+$S$9)/1440+SUM($P$6:$P63)/1440)</f>
        <v/>
      </c>
      <c r="G64" s="173" t="str">
        <f>IF(OR($V$15,$D64&gt;Calc1!$B$14),"",MOD($E64-1,$V$11)+1)</f>
        <v/>
      </c>
      <c r="H64" s="288" t="str">
        <f t="shared" ca="1" si="0"/>
        <v/>
      </c>
      <c r="I64" s="309" t="str">
        <f ca="1"/>
        <v/>
      </c>
      <c r="J64" s="310" t="s">
        <v>4</v>
      </c>
      <c r="K64" s="311" t="str">
        <f ca="1"/>
        <v/>
      </c>
      <c r="L64" s="50" t="str">
        <f t="shared" ca="1" si="1"/>
        <v/>
      </c>
      <c r="M64" s="48" t="s">
        <v>4</v>
      </c>
      <c r="N64" s="49" t="str">
        <f t="shared" ca="1" si="2"/>
        <v/>
      </c>
      <c r="O64" s="328"/>
      <c r="P64" s="684"/>
      <c r="Q64" s="167"/>
      <c r="R64" s="168"/>
      <c r="S64" s="168"/>
      <c r="T64" s="168"/>
      <c r="U64" s="168"/>
      <c r="W64" s="385">
        <v>6</v>
      </c>
      <c r="X64" s="540">
        <v>8</v>
      </c>
      <c r="Y64" s="541">
        <v>8</v>
      </c>
      <c r="Z64" s="541">
        <v>8</v>
      </c>
      <c r="AA64" s="541">
        <v>8</v>
      </c>
      <c r="AB64" s="541">
        <v>8</v>
      </c>
      <c r="AC64" s="542">
        <v>8</v>
      </c>
      <c r="AD64" s="540">
        <v>8</v>
      </c>
      <c r="AE64" s="541">
        <v>8</v>
      </c>
      <c r="AF64" s="541">
        <v>8</v>
      </c>
      <c r="AG64" s="541">
        <v>8</v>
      </c>
      <c r="AH64" s="541">
        <v>8</v>
      </c>
      <c r="AI64" s="542">
        <v>8</v>
      </c>
      <c r="AJ64" s="540">
        <v>8</v>
      </c>
      <c r="AK64" s="541">
        <v>8</v>
      </c>
      <c r="AL64" s="541">
        <v>8</v>
      </c>
      <c r="AM64" s="541">
        <v>8</v>
      </c>
      <c r="AN64" s="541">
        <v>8</v>
      </c>
      <c r="AO64" s="542">
        <v>8</v>
      </c>
      <c r="AP64" s="540">
        <v>8</v>
      </c>
      <c r="AQ64" s="541">
        <v>8</v>
      </c>
      <c r="AR64" s="541">
        <v>8</v>
      </c>
      <c r="AS64" s="541">
        <v>8</v>
      </c>
      <c r="AT64" s="541">
        <v>8</v>
      </c>
      <c r="AU64" s="542">
        <v>8</v>
      </c>
      <c r="AV64" s="540">
        <v>8</v>
      </c>
      <c r="AW64" s="541">
        <v>8</v>
      </c>
      <c r="AX64" s="541">
        <v>8</v>
      </c>
      <c r="AY64" s="541">
        <v>8</v>
      </c>
      <c r="AZ64" s="541">
        <v>8</v>
      </c>
      <c r="BA64" s="542">
        <v>8</v>
      </c>
      <c r="BB64" s="540">
        <v>8</v>
      </c>
      <c r="BC64" s="541">
        <v>8</v>
      </c>
      <c r="BD64" s="541">
        <v>8</v>
      </c>
      <c r="BE64" s="541">
        <v>8</v>
      </c>
      <c r="BF64" s="541">
        <v>8</v>
      </c>
      <c r="BG64" s="542">
        <v>8</v>
      </c>
      <c r="BH64" s="444"/>
    </row>
    <row r="65" spans="2:60" ht="18.75" thickTop="1" thickBot="1" x14ac:dyDescent="0.3">
      <c r="B65" s="835"/>
      <c r="C65" s="837"/>
      <c r="D65" s="548">
        <v>60</v>
      </c>
      <c r="E65" s="506" t="str">
        <f t="array" ref="E65">IF($D65&gt;Calc1!$B$14,"",ROW(60:60)-SUM((($L$6:$L64="")+($N$6:$N64="")&gt;0)*1))</f>
        <v/>
      </c>
      <c r="F65" s="174" t="str">
        <f>IF(OR($V$15,$D65&gt;Calc1!$B$14),"",$S$5+QUOTIENT(($E65-1),$V$11)*($S$7+$S$9)/1440+SUM($P$6:$P64)/1440)</f>
        <v/>
      </c>
      <c r="G65" s="175" t="str">
        <f>IF(OR($V$15,$D65&gt;Calc1!$B$14),"",MOD($E65-1,$V$11)+1)</f>
        <v/>
      </c>
      <c r="H65" s="293" t="str">
        <f ca="1">IF($I65="","",IF(LEFT($I65,1)&lt;&gt;LEFT($K65,1),"??",LEFT($I65,1)))</f>
        <v/>
      </c>
      <c r="I65" s="312" t="str">
        <f ca="1"/>
        <v/>
      </c>
      <c r="J65" s="313" t="s">
        <v>4</v>
      </c>
      <c r="K65" s="314" t="str">
        <f ca="1"/>
        <v/>
      </c>
      <c r="L65" s="239" t="str">
        <f t="shared" ca="1" si="1"/>
        <v/>
      </c>
      <c r="M65" s="441" t="s">
        <v>4</v>
      </c>
      <c r="N65" s="240" t="str">
        <f t="shared" ca="1" si="2"/>
        <v/>
      </c>
      <c r="O65" s="353"/>
      <c r="P65" s="686"/>
      <c r="Q65" s="600">
        <f ca="1">OFFSET($P$6,Calc1!$B$14-1,0)</f>
        <v>0</v>
      </c>
      <c r="R65" s="168"/>
      <c r="S65" s="168"/>
      <c r="T65" s="168"/>
      <c r="U65" s="168"/>
      <c r="W65" s="384">
        <v>1</v>
      </c>
      <c r="X65" s="534">
        <v>8</v>
      </c>
      <c r="Y65" s="535">
        <v>8</v>
      </c>
      <c r="Z65" s="535">
        <v>8</v>
      </c>
      <c r="AA65" s="535">
        <v>8</v>
      </c>
      <c r="AB65" s="535">
        <v>8</v>
      </c>
      <c r="AC65" s="536">
        <v>8</v>
      </c>
      <c r="AD65" s="534">
        <v>8</v>
      </c>
      <c r="AE65" s="535">
        <v>8</v>
      </c>
      <c r="AF65" s="535">
        <v>8</v>
      </c>
      <c r="AG65" s="535">
        <v>8</v>
      </c>
      <c r="AH65" s="535">
        <v>8</v>
      </c>
      <c r="AI65" s="536">
        <v>8</v>
      </c>
      <c r="AJ65" s="534">
        <v>8</v>
      </c>
      <c r="AK65" s="535">
        <v>8</v>
      </c>
      <c r="AL65" s="535">
        <v>8</v>
      </c>
      <c r="AM65" s="535">
        <v>8</v>
      </c>
      <c r="AN65" s="535">
        <v>8</v>
      </c>
      <c r="AO65" s="536">
        <v>8</v>
      </c>
      <c r="AP65" s="534">
        <v>8</v>
      </c>
      <c r="AQ65" s="535">
        <v>8</v>
      </c>
      <c r="AR65" s="535">
        <v>8</v>
      </c>
      <c r="AS65" s="535">
        <v>8</v>
      </c>
      <c r="AT65" s="535">
        <v>8</v>
      </c>
      <c r="AU65" s="536">
        <v>8</v>
      </c>
      <c r="AV65" s="534">
        <v>8</v>
      </c>
      <c r="AW65" s="535">
        <v>8</v>
      </c>
      <c r="AX65" s="535">
        <v>8</v>
      </c>
      <c r="AY65" s="535">
        <v>8</v>
      </c>
      <c r="AZ65" s="535">
        <v>8</v>
      </c>
      <c r="BA65" s="536">
        <v>8</v>
      </c>
      <c r="BB65" s="534">
        <v>8</v>
      </c>
      <c r="BC65" s="535">
        <v>8</v>
      </c>
      <c r="BD65" s="535">
        <v>8</v>
      </c>
      <c r="BE65" s="535">
        <v>8</v>
      </c>
      <c r="BF65" s="535">
        <v>8</v>
      </c>
      <c r="BG65" s="536">
        <v>8</v>
      </c>
      <c r="BH65" s="443">
        <v>4</v>
      </c>
    </row>
    <row r="66" spans="2:60" ht="16.5" thickTop="1" x14ac:dyDescent="0.25">
      <c r="B66" s="834" t="s">
        <v>301</v>
      </c>
      <c r="C66" s="836" t="s">
        <v>307</v>
      </c>
      <c r="Q66" s="167"/>
      <c r="R66" s="168"/>
      <c r="S66" s="168"/>
      <c r="T66" s="168"/>
      <c r="U66" s="168"/>
      <c r="W66" s="384">
        <v>2</v>
      </c>
      <c r="X66" s="537">
        <v>8</v>
      </c>
      <c r="Y66" s="538">
        <v>8</v>
      </c>
      <c r="Z66" s="538">
        <v>8</v>
      </c>
      <c r="AA66" s="538">
        <v>8</v>
      </c>
      <c r="AB66" s="538">
        <v>8</v>
      </c>
      <c r="AC66" s="539">
        <v>8</v>
      </c>
      <c r="AD66" s="537">
        <v>8</v>
      </c>
      <c r="AE66" s="538">
        <v>8</v>
      </c>
      <c r="AF66" s="538">
        <v>8</v>
      </c>
      <c r="AG66" s="538">
        <v>8</v>
      </c>
      <c r="AH66" s="538">
        <v>8</v>
      </c>
      <c r="AI66" s="539">
        <v>8</v>
      </c>
      <c r="AJ66" s="537">
        <v>8</v>
      </c>
      <c r="AK66" s="538">
        <v>8</v>
      </c>
      <c r="AL66" s="538">
        <v>8</v>
      </c>
      <c r="AM66" s="538">
        <v>8</v>
      </c>
      <c r="AN66" s="538">
        <v>8</v>
      </c>
      <c r="AO66" s="539">
        <v>8</v>
      </c>
      <c r="AP66" s="537">
        <v>8</v>
      </c>
      <c r="AQ66" s="538">
        <v>8</v>
      </c>
      <c r="AR66" s="538">
        <v>8</v>
      </c>
      <c r="AS66" s="538">
        <v>8</v>
      </c>
      <c r="AT66" s="538">
        <v>8</v>
      </c>
      <c r="AU66" s="539">
        <v>8</v>
      </c>
      <c r="AV66" s="537">
        <v>8</v>
      </c>
      <c r="AW66" s="538">
        <v>8</v>
      </c>
      <c r="AX66" s="538">
        <v>8</v>
      </c>
      <c r="AY66" s="538">
        <v>8</v>
      </c>
      <c r="AZ66" s="538">
        <v>8</v>
      </c>
      <c r="BA66" s="539">
        <v>8</v>
      </c>
      <c r="BB66" s="537">
        <v>8</v>
      </c>
      <c r="BC66" s="538">
        <v>8</v>
      </c>
      <c r="BD66" s="538">
        <v>8</v>
      </c>
      <c r="BE66" s="538">
        <v>8</v>
      </c>
      <c r="BF66" s="538">
        <v>8</v>
      </c>
      <c r="BG66" s="539">
        <v>8</v>
      </c>
      <c r="BH66" s="444"/>
    </row>
    <row r="67" spans="2:60" x14ac:dyDescent="0.25">
      <c r="B67" s="835"/>
      <c r="C67" s="837"/>
      <c r="Q67" s="167"/>
      <c r="R67" s="168"/>
      <c r="S67" s="168"/>
      <c r="T67" s="168"/>
      <c r="U67" s="168"/>
      <c r="W67" s="384">
        <v>3</v>
      </c>
      <c r="X67" s="537">
        <v>8</v>
      </c>
      <c r="Y67" s="538">
        <v>8</v>
      </c>
      <c r="Z67" s="538">
        <v>8</v>
      </c>
      <c r="AA67" s="538">
        <v>8</v>
      </c>
      <c r="AB67" s="538">
        <v>8</v>
      </c>
      <c r="AC67" s="539">
        <v>8</v>
      </c>
      <c r="AD67" s="537">
        <v>8</v>
      </c>
      <c r="AE67" s="538">
        <v>8</v>
      </c>
      <c r="AF67" s="538">
        <v>8</v>
      </c>
      <c r="AG67" s="538">
        <v>8</v>
      </c>
      <c r="AH67" s="538">
        <v>8</v>
      </c>
      <c r="AI67" s="539">
        <v>8</v>
      </c>
      <c r="AJ67" s="537">
        <v>8</v>
      </c>
      <c r="AK67" s="538">
        <v>8</v>
      </c>
      <c r="AL67" s="538">
        <v>5</v>
      </c>
      <c r="AM67" s="538">
        <v>4</v>
      </c>
      <c r="AN67" s="538">
        <v>8</v>
      </c>
      <c r="AO67" s="539">
        <v>8</v>
      </c>
      <c r="AP67" s="537">
        <v>8</v>
      </c>
      <c r="AQ67" s="538">
        <v>8</v>
      </c>
      <c r="AR67" s="538">
        <v>8</v>
      </c>
      <c r="AS67" s="538">
        <v>8</v>
      </c>
      <c r="AT67" s="538">
        <v>8</v>
      </c>
      <c r="AU67" s="539">
        <v>8</v>
      </c>
      <c r="AV67" s="537">
        <v>8</v>
      </c>
      <c r="AW67" s="538">
        <v>8</v>
      </c>
      <c r="AX67" s="538">
        <v>8</v>
      </c>
      <c r="AY67" s="538">
        <v>8</v>
      </c>
      <c r="AZ67" s="538">
        <v>8</v>
      </c>
      <c r="BA67" s="539">
        <v>8</v>
      </c>
      <c r="BB67" s="537">
        <v>8</v>
      </c>
      <c r="BC67" s="538">
        <v>8</v>
      </c>
      <c r="BD67" s="538">
        <v>8</v>
      </c>
      <c r="BE67" s="538">
        <v>8</v>
      </c>
      <c r="BF67" s="538">
        <v>8</v>
      </c>
      <c r="BG67" s="539">
        <v>8</v>
      </c>
      <c r="BH67" s="444"/>
    </row>
    <row r="68" spans="2:60" x14ac:dyDescent="0.25">
      <c r="B68" s="834" t="s">
        <v>302</v>
      </c>
      <c r="C68" s="836"/>
      <c r="W68" s="384">
        <v>4</v>
      </c>
      <c r="X68" s="537">
        <v>8</v>
      </c>
      <c r="Y68" s="538">
        <v>8</v>
      </c>
      <c r="Z68" s="538">
        <v>8</v>
      </c>
      <c r="AA68" s="538">
        <v>8</v>
      </c>
      <c r="AB68" s="538">
        <v>8</v>
      </c>
      <c r="AC68" s="539">
        <v>8</v>
      </c>
      <c r="AD68" s="537">
        <v>8</v>
      </c>
      <c r="AE68" s="538">
        <v>8</v>
      </c>
      <c r="AF68" s="538">
        <v>8</v>
      </c>
      <c r="AG68" s="538">
        <v>8</v>
      </c>
      <c r="AH68" s="538">
        <v>8</v>
      </c>
      <c r="AI68" s="539">
        <v>8</v>
      </c>
      <c r="AJ68" s="537">
        <v>8</v>
      </c>
      <c r="AK68" s="538">
        <v>8</v>
      </c>
      <c r="AL68" s="538">
        <v>6</v>
      </c>
      <c r="AM68" s="538">
        <v>3</v>
      </c>
      <c r="AN68" s="538">
        <v>8</v>
      </c>
      <c r="AO68" s="539">
        <v>8</v>
      </c>
      <c r="AP68" s="537">
        <v>8</v>
      </c>
      <c r="AQ68" s="538">
        <v>8</v>
      </c>
      <c r="AR68" s="538">
        <v>8</v>
      </c>
      <c r="AS68" s="538">
        <v>4</v>
      </c>
      <c r="AT68" s="538">
        <v>5</v>
      </c>
      <c r="AU68" s="539">
        <v>8</v>
      </c>
      <c r="AV68" s="537">
        <v>8</v>
      </c>
      <c r="AW68" s="538">
        <v>8</v>
      </c>
      <c r="AX68" s="538">
        <v>8</v>
      </c>
      <c r="AY68" s="538">
        <v>8</v>
      </c>
      <c r="AZ68" s="538">
        <v>8</v>
      </c>
      <c r="BA68" s="539">
        <v>8</v>
      </c>
      <c r="BB68" s="537">
        <v>8</v>
      </c>
      <c r="BC68" s="538">
        <v>8</v>
      </c>
      <c r="BD68" s="538">
        <v>8</v>
      </c>
      <c r="BE68" s="538">
        <v>8</v>
      </c>
      <c r="BF68" s="538">
        <v>8</v>
      </c>
      <c r="BG68" s="539">
        <v>8</v>
      </c>
      <c r="BH68" s="444"/>
    </row>
    <row r="69" spans="2:60" ht="16.5" thickBot="1" x14ac:dyDescent="0.3">
      <c r="B69" s="838"/>
      <c r="C69" s="839"/>
      <c r="W69" s="384">
        <v>5</v>
      </c>
      <c r="X69" s="537">
        <v>8</v>
      </c>
      <c r="Y69" s="538">
        <v>8</v>
      </c>
      <c r="Z69" s="538">
        <v>8</v>
      </c>
      <c r="AA69" s="538">
        <v>8</v>
      </c>
      <c r="AB69" s="538">
        <v>8</v>
      </c>
      <c r="AC69" s="539">
        <v>8</v>
      </c>
      <c r="AD69" s="537">
        <v>8</v>
      </c>
      <c r="AE69" s="538">
        <v>8</v>
      </c>
      <c r="AF69" s="538">
        <v>8</v>
      </c>
      <c r="AG69" s="538">
        <v>8</v>
      </c>
      <c r="AH69" s="538">
        <v>8</v>
      </c>
      <c r="AI69" s="539">
        <v>8</v>
      </c>
      <c r="AJ69" s="537">
        <v>8</v>
      </c>
      <c r="AK69" s="538">
        <v>8</v>
      </c>
      <c r="AL69" s="538">
        <v>8</v>
      </c>
      <c r="AM69" s="538">
        <v>8</v>
      </c>
      <c r="AN69" s="538">
        <v>8</v>
      </c>
      <c r="AO69" s="539">
        <v>8</v>
      </c>
      <c r="AP69" s="537">
        <v>8</v>
      </c>
      <c r="AQ69" s="538">
        <v>8</v>
      </c>
      <c r="AR69" s="538">
        <v>8</v>
      </c>
      <c r="AS69" s="538">
        <v>5</v>
      </c>
      <c r="AT69" s="538">
        <v>6</v>
      </c>
      <c r="AU69" s="539">
        <v>8</v>
      </c>
      <c r="AV69" s="537">
        <v>8</v>
      </c>
      <c r="AW69" s="538">
        <v>8</v>
      </c>
      <c r="AX69" s="538">
        <v>8</v>
      </c>
      <c r="AY69" s="538">
        <v>8</v>
      </c>
      <c r="AZ69" s="538">
        <v>8</v>
      </c>
      <c r="BA69" s="539">
        <v>8</v>
      </c>
      <c r="BB69" s="537">
        <v>8</v>
      </c>
      <c r="BC69" s="538">
        <v>8</v>
      </c>
      <c r="BD69" s="538">
        <v>8</v>
      </c>
      <c r="BE69" s="538">
        <v>8</v>
      </c>
      <c r="BF69" s="538">
        <v>8</v>
      </c>
      <c r="BG69" s="539">
        <v>8</v>
      </c>
      <c r="BH69" s="444"/>
    </row>
    <row r="70" spans="2:60" ht="17.25" thickTop="1" thickBot="1" x14ac:dyDescent="0.3">
      <c r="W70" s="385">
        <v>6</v>
      </c>
      <c r="X70" s="540">
        <v>8</v>
      </c>
      <c r="Y70" s="541">
        <v>8</v>
      </c>
      <c r="Z70" s="541">
        <v>8</v>
      </c>
      <c r="AA70" s="541">
        <v>8</v>
      </c>
      <c r="AB70" s="541">
        <v>8</v>
      </c>
      <c r="AC70" s="542">
        <v>8</v>
      </c>
      <c r="AD70" s="540">
        <v>8</v>
      </c>
      <c r="AE70" s="541">
        <v>8</v>
      </c>
      <c r="AF70" s="541">
        <v>8</v>
      </c>
      <c r="AG70" s="541">
        <v>8</v>
      </c>
      <c r="AH70" s="541">
        <v>8</v>
      </c>
      <c r="AI70" s="542">
        <v>8</v>
      </c>
      <c r="AJ70" s="540">
        <v>8</v>
      </c>
      <c r="AK70" s="541">
        <v>8</v>
      </c>
      <c r="AL70" s="541">
        <v>8</v>
      </c>
      <c r="AM70" s="541">
        <v>8</v>
      </c>
      <c r="AN70" s="541">
        <v>8</v>
      </c>
      <c r="AO70" s="542">
        <v>8</v>
      </c>
      <c r="AP70" s="540">
        <v>8</v>
      </c>
      <c r="AQ70" s="541">
        <v>8</v>
      </c>
      <c r="AR70" s="541">
        <v>8</v>
      </c>
      <c r="AS70" s="541">
        <v>8</v>
      </c>
      <c r="AT70" s="541">
        <v>8</v>
      </c>
      <c r="AU70" s="542">
        <v>8</v>
      </c>
      <c r="AV70" s="540">
        <v>8</v>
      </c>
      <c r="AW70" s="541">
        <v>8</v>
      </c>
      <c r="AX70" s="541">
        <v>8</v>
      </c>
      <c r="AY70" s="541">
        <v>8</v>
      </c>
      <c r="AZ70" s="541">
        <v>8</v>
      </c>
      <c r="BA70" s="542">
        <v>8</v>
      </c>
      <c r="BB70" s="540">
        <v>8</v>
      </c>
      <c r="BC70" s="541">
        <v>8</v>
      </c>
      <c r="BD70" s="541">
        <v>8</v>
      </c>
      <c r="BE70" s="541">
        <v>8</v>
      </c>
      <c r="BF70" s="541">
        <v>8</v>
      </c>
      <c r="BG70" s="542">
        <v>8</v>
      </c>
      <c r="BH70" s="444"/>
    </row>
    <row r="71" spans="2:60" ht="16.5" thickTop="1" x14ac:dyDescent="0.25">
      <c r="W71" s="384">
        <v>1</v>
      </c>
      <c r="X71" s="534">
        <v>8</v>
      </c>
      <c r="Y71" s="535">
        <v>8</v>
      </c>
      <c r="Z71" s="535">
        <v>8</v>
      </c>
      <c r="AA71" s="535">
        <v>8</v>
      </c>
      <c r="AB71" s="535">
        <v>8</v>
      </c>
      <c r="AC71" s="536">
        <v>8</v>
      </c>
      <c r="AD71" s="534">
        <v>8</v>
      </c>
      <c r="AE71" s="535">
        <v>8</v>
      </c>
      <c r="AF71" s="535">
        <v>8</v>
      </c>
      <c r="AG71" s="535">
        <v>8</v>
      </c>
      <c r="AH71" s="535">
        <v>8</v>
      </c>
      <c r="AI71" s="536">
        <v>8</v>
      </c>
      <c r="AJ71" s="534">
        <v>8</v>
      </c>
      <c r="AK71" s="535">
        <v>8</v>
      </c>
      <c r="AL71" s="535">
        <v>8</v>
      </c>
      <c r="AM71" s="535">
        <v>8</v>
      </c>
      <c r="AN71" s="535">
        <v>8</v>
      </c>
      <c r="AO71" s="536">
        <v>8</v>
      </c>
      <c r="AP71" s="534">
        <v>8</v>
      </c>
      <c r="AQ71" s="535">
        <v>8</v>
      </c>
      <c r="AR71" s="535">
        <v>8</v>
      </c>
      <c r="AS71" s="535">
        <v>8</v>
      </c>
      <c r="AT71" s="535">
        <v>8</v>
      </c>
      <c r="AU71" s="536">
        <v>8</v>
      </c>
      <c r="AV71" s="534">
        <v>8</v>
      </c>
      <c r="AW71" s="535">
        <v>8</v>
      </c>
      <c r="AX71" s="535">
        <v>8</v>
      </c>
      <c r="AY71" s="535">
        <v>8</v>
      </c>
      <c r="AZ71" s="535">
        <v>8</v>
      </c>
      <c r="BA71" s="536">
        <v>8</v>
      </c>
      <c r="BB71" s="534">
        <v>8</v>
      </c>
      <c r="BC71" s="535">
        <v>8</v>
      </c>
      <c r="BD71" s="535">
        <v>8</v>
      </c>
      <c r="BE71" s="535">
        <v>8</v>
      </c>
      <c r="BF71" s="535">
        <v>8</v>
      </c>
      <c r="BG71" s="536">
        <v>8</v>
      </c>
      <c r="BH71" s="443">
        <v>5</v>
      </c>
    </row>
    <row r="72" spans="2:60" x14ac:dyDescent="0.25">
      <c r="W72" s="384">
        <v>2</v>
      </c>
      <c r="X72" s="537">
        <v>8</v>
      </c>
      <c r="Y72" s="538">
        <v>8</v>
      </c>
      <c r="Z72" s="538">
        <v>8</v>
      </c>
      <c r="AA72" s="538">
        <v>8</v>
      </c>
      <c r="AB72" s="538">
        <v>8</v>
      </c>
      <c r="AC72" s="539">
        <v>8</v>
      </c>
      <c r="AD72" s="537">
        <v>8</v>
      </c>
      <c r="AE72" s="538">
        <v>8</v>
      </c>
      <c r="AF72" s="538">
        <v>8</v>
      </c>
      <c r="AG72" s="538">
        <v>8</v>
      </c>
      <c r="AH72" s="538">
        <v>8</v>
      </c>
      <c r="AI72" s="539">
        <v>8</v>
      </c>
      <c r="AJ72" s="537">
        <v>8</v>
      </c>
      <c r="AK72" s="538">
        <v>8</v>
      </c>
      <c r="AL72" s="538">
        <v>8</v>
      </c>
      <c r="AM72" s="538">
        <v>8</v>
      </c>
      <c r="AN72" s="538">
        <v>8</v>
      </c>
      <c r="AO72" s="539">
        <v>8</v>
      </c>
      <c r="AP72" s="537">
        <v>8</v>
      </c>
      <c r="AQ72" s="538">
        <v>8</v>
      </c>
      <c r="AR72" s="538">
        <v>8</v>
      </c>
      <c r="AS72" s="538">
        <v>8</v>
      </c>
      <c r="AT72" s="538">
        <v>8</v>
      </c>
      <c r="AU72" s="539">
        <v>8</v>
      </c>
      <c r="AV72" s="537">
        <v>8</v>
      </c>
      <c r="AW72" s="538">
        <v>8</v>
      </c>
      <c r="AX72" s="538">
        <v>8</v>
      </c>
      <c r="AY72" s="538">
        <v>8</v>
      </c>
      <c r="AZ72" s="538">
        <v>8</v>
      </c>
      <c r="BA72" s="539">
        <v>8</v>
      </c>
      <c r="BB72" s="537">
        <v>8</v>
      </c>
      <c r="BC72" s="538">
        <v>8</v>
      </c>
      <c r="BD72" s="538">
        <v>8</v>
      </c>
      <c r="BE72" s="538">
        <v>8</v>
      </c>
      <c r="BF72" s="538">
        <v>8</v>
      </c>
      <c r="BG72" s="539">
        <v>8</v>
      </c>
      <c r="BH72" s="444"/>
    </row>
    <row r="73" spans="2:60" hidden="1" x14ac:dyDescent="0.25">
      <c r="W73" s="384">
        <v>3</v>
      </c>
      <c r="X73" s="537">
        <v>8</v>
      </c>
      <c r="Y73" s="538">
        <v>8</v>
      </c>
      <c r="Z73" s="538">
        <v>8</v>
      </c>
      <c r="AA73" s="538">
        <v>8</v>
      </c>
      <c r="AB73" s="538">
        <v>8</v>
      </c>
      <c r="AC73" s="539">
        <v>8</v>
      </c>
      <c r="AD73" s="537">
        <v>8</v>
      </c>
      <c r="AE73" s="538">
        <v>8</v>
      </c>
      <c r="AF73" s="538">
        <v>8</v>
      </c>
      <c r="AG73" s="538">
        <v>8</v>
      </c>
      <c r="AH73" s="538">
        <v>8</v>
      </c>
      <c r="AI73" s="539">
        <v>8</v>
      </c>
      <c r="AJ73" s="537">
        <v>8</v>
      </c>
      <c r="AK73" s="538">
        <v>8</v>
      </c>
      <c r="AL73" s="538">
        <v>8</v>
      </c>
      <c r="AM73" s="538">
        <v>8</v>
      </c>
      <c r="AN73" s="538">
        <v>8</v>
      </c>
      <c r="AO73" s="539">
        <v>8</v>
      </c>
      <c r="AP73" s="537">
        <v>8</v>
      </c>
      <c r="AQ73" s="538">
        <v>8</v>
      </c>
      <c r="AR73" s="538">
        <v>8</v>
      </c>
      <c r="AS73" s="538">
        <v>8</v>
      </c>
      <c r="AT73" s="538">
        <v>8</v>
      </c>
      <c r="AU73" s="539">
        <v>8</v>
      </c>
      <c r="AV73" s="537">
        <v>8</v>
      </c>
      <c r="AW73" s="538">
        <v>8</v>
      </c>
      <c r="AX73" s="538">
        <v>8</v>
      </c>
      <c r="AY73" s="538">
        <v>8</v>
      </c>
      <c r="AZ73" s="538">
        <v>8</v>
      </c>
      <c r="BA73" s="539">
        <v>8</v>
      </c>
      <c r="BB73" s="537">
        <v>8</v>
      </c>
      <c r="BC73" s="538">
        <v>8</v>
      </c>
      <c r="BD73" s="538">
        <v>8</v>
      </c>
      <c r="BE73" s="538">
        <v>8</v>
      </c>
      <c r="BF73" s="538">
        <v>8</v>
      </c>
      <c r="BG73" s="539">
        <v>8</v>
      </c>
      <c r="BH73" s="444"/>
    </row>
    <row r="74" spans="2:60" hidden="1" x14ac:dyDescent="0.25">
      <c r="W74" s="384">
        <v>4</v>
      </c>
      <c r="X74" s="537">
        <v>8</v>
      </c>
      <c r="Y74" s="538">
        <v>8</v>
      </c>
      <c r="Z74" s="538">
        <v>8</v>
      </c>
      <c r="AA74" s="538">
        <v>8</v>
      </c>
      <c r="AB74" s="538">
        <v>8</v>
      </c>
      <c r="AC74" s="539">
        <v>8</v>
      </c>
      <c r="AD74" s="537">
        <v>8</v>
      </c>
      <c r="AE74" s="538">
        <v>8</v>
      </c>
      <c r="AF74" s="538">
        <v>8</v>
      </c>
      <c r="AG74" s="538">
        <v>8</v>
      </c>
      <c r="AH74" s="538">
        <v>8</v>
      </c>
      <c r="AI74" s="539">
        <v>8</v>
      </c>
      <c r="AJ74" s="537">
        <v>8</v>
      </c>
      <c r="AK74" s="538">
        <v>8</v>
      </c>
      <c r="AL74" s="538">
        <v>8</v>
      </c>
      <c r="AM74" s="538">
        <v>8</v>
      </c>
      <c r="AN74" s="538">
        <v>8</v>
      </c>
      <c r="AO74" s="539">
        <v>8</v>
      </c>
      <c r="AP74" s="537">
        <v>8</v>
      </c>
      <c r="AQ74" s="538">
        <v>8</v>
      </c>
      <c r="AR74" s="538">
        <v>8</v>
      </c>
      <c r="AS74" s="538">
        <v>8</v>
      </c>
      <c r="AT74" s="538">
        <v>8</v>
      </c>
      <c r="AU74" s="539">
        <v>8</v>
      </c>
      <c r="AV74" s="537">
        <v>8</v>
      </c>
      <c r="AW74" s="538">
        <v>8</v>
      </c>
      <c r="AX74" s="538">
        <v>8</v>
      </c>
      <c r="AY74" s="538">
        <v>8</v>
      </c>
      <c r="AZ74" s="538">
        <v>8</v>
      </c>
      <c r="BA74" s="539">
        <v>8</v>
      </c>
      <c r="BB74" s="537">
        <v>8</v>
      </c>
      <c r="BC74" s="538">
        <v>8</v>
      </c>
      <c r="BD74" s="538">
        <v>8</v>
      </c>
      <c r="BE74" s="538">
        <v>8</v>
      </c>
      <c r="BF74" s="538">
        <v>8</v>
      </c>
      <c r="BG74" s="539">
        <v>8</v>
      </c>
      <c r="BH74" s="444"/>
    </row>
    <row r="75" spans="2:60" hidden="1" x14ac:dyDescent="0.25">
      <c r="W75" s="384">
        <v>5</v>
      </c>
      <c r="X75" s="537">
        <v>8</v>
      </c>
      <c r="Y75" s="538">
        <v>8</v>
      </c>
      <c r="Z75" s="538">
        <v>8</v>
      </c>
      <c r="AA75" s="538">
        <v>8</v>
      </c>
      <c r="AB75" s="538">
        <v>8</v>
      </c>
      <c r="AC75" s="539">
        <v>8</v>
      </c>
      <c r="AD75" s="537">
        <v>8</v>
      </c>
      <c r="AE75" s="538">
        <v>8</v>
      </c>
      <c r="AF75" s="538">
        <v>8</v>
      </c>
      <c r="AG75" s="538">
        <v>8</v>
      </c>
      <c r="AH75" s="538">
        <v>8</v>
      </c>
      <c r="AI75" s="539">
        <v>8</v>
      </c>
      <c r="AJ75" s="537">
        <v>8</v>
      </c>
      <c r="AK75" s="538">
        <v>8</v>
      </c>
      <c r="AL75" s="538">
        <v>8</v>
      </c>
      <c r="AM75" s="538">
        <v>8</v>
      </c>
      <c r="AN75" s="538">
        <v>8</v>
      </c>
      <c r="AO75" s="539">
        <v>8</v>
      </c>
      <c r="AP75" s="537">
        <v>8</v>
      </c>
      <c r="AQ75" s="538">
        <v>8</v>
      </c>
      <c r="AR75" s="538">
        <v>8</v>
      </c>
      <c r="AS75" s="538">
        <v>8</v>
      </c>
      <c r="AT75" s="538">
        <v>8</v>
      </c>
      <c r="AU75" s="539">
        <v>8</v>
      </c>
      <c r="AV75" s="537">
        <v>8</v>
      </c>
      <c r="AW75" s="538">
        <v>8</v>
      </c>
      <c r="AX75" s="538">
        <v>8</v>
      </c>
      <c r="AY75" s="538">
        <v>8</v>
      </c>
      <c r="AZ75" s="538">
        <v>6</v>
      </c>
      <c r="BA75" s="539">
        <v>5</v>
      </c>
      <c r="BB75" s="537">
        <v>8</v>
      </c>
      <c r="BC75" s="538">
        <v>8</v>
      </c>
      <c r="BD75" s="538">
        <v>8</v>
      </c>
      <c r="BE75" s="538">
        <v>8</v>
      </c>
      <c r="BF75" s="538">
        <v>5</v>
      </c>
      <c r="BG75" s="539">
        <v>6</v>
      </c>
      <c r="BH75" s="444"/>
    </row>
    <row r="76" spans="2:60" ht="16.5" hidden="1" thickBot="1" x14ac:dyDescent="0.3">
      <c r="W76" s="385">
        <v>6</v>
      </c>
      <c r="X76" s="540">
        <v>8</v>
      </c>
      <c r="Y76" s="541">
        <v>8</v>
      </c>
      <c r="Z76" s="541">
        <v>8</v>
      </c>
      <c r="AA76" s="541">
        <v>8</v>
      </c>
      <c r="AB76" s="541">
        <v>8</v>
      </c>
      <c r="AC76" s="542">
        <v>8</v>
      </c>
      <c r="AD76" s="540">
        <v>8</v>
      </c>
      <c r="AE76" s="541">
        <v>8</v>
      </c>
      <c r="AF76" s="541">
        <v>8</v>
      </c>
      <c r="AG76" s="541">
        <v>8</v>
      </c>
      <c r="AH76" s="541">
        <v>8</v>
      </c>
      <c r="AI76" s="542">
        <v>8</v>
      </c>
      <c r="AJ76" s="540">
        <v>8</v>
      </c>
      <c r="AK76" s="541">
        <v>8</v>
      </c>
      <c r="AL76" s="541">
        <v>8</v>
      </c>
      <c r="AM76" s="541">
        <v>8</v>
      </c>
      <c r="AN76" s="541">
        <v>8</v>
      </c>
      <c r="AO76" s="542">
        <v>8</v>
      </c>
      <c r="AP76" s="540">
        <v>8</v>
      </c>
      <c r="AQ76" s="541">
        <v>8</v>
      </c>
      <c r="AR76" s="541">
        <v>8</v>
      </c>
      <c r="AS76" s="541">
        <v>8</v>
      </c>
      <c r="AT76" s="541">
        <v>8</v>
      </c>
      <c r="AU76" s="542">
        <v>8</v>
      </c>
      <c r="AV76" s="540">
        <v>8</v>
      </c>
      <c r="AW76" s="541">
        <v>8</v>
      </c>
      <c r="AX76" s="541">
        <v>8</v>
      </c>
      <c r="AY76" s="541">
        <v>8</v>
      </c>
      <c r="AZ76" s="541">
        <v>5</v>
      </c>
      <c r="BA76" s="542">
        <v>6</v>
      </c>
      <c r="BB76" s="540">
        <v>8</v>
      </c>
      <c r="BC76" s="541">
        <v>8</v>
      </c>
      <c r="BD76" s="541">
        <v>8</v>
      </c>
      <c r="BE76" s="541">
        <v>8</v>
      </c>
      <c r="BF76" s="541">
        <v>6</v>
      </c>
      <c r="BG76" s="542">
        <v>6</v>
      </c>
      <c r="BH76" s="444"/>
    </row>
    <row r="77" spans="2:60" ht="16.5" hidden="1" thickTop="1" x14ac:dyDescent="0.25">
      <c r="W77" s="384">
        <v>1</v>
      </c>
      <c r="X77" s="534">
        <v>8</v>
      </c>
      <c r="Y77" s="535">
        <v>8</v>
      </c>
      <c r="Z77" s="535">
        <v>8</v>
      </c>
      <c r="AA77" s="535">
        <v>8</v>
      </c>
      <c r="AB77" s="535">
        <v>8</v>
      </c>
      <c r="AC77" s="536">
        <v>8</v>
      </c>
      <c r="AD77" s="534">
        <v>8</v>
      </c>
      <c r="AE77" s="535">
        <v>8</v>
      </c>
      <c r="AF77" s="535">
        <v>8</v>
      </c>
      <c r="AG77" s="535">
        <v>8</v>
      </c>
      <c r="AH77" s="535">
        <v>8</v>
      </c>
      <c r="AI77" s="536">
        <v>8</v>
      </c>
      <c r="AJ77" s="534">
        <v>8</v>
      </c>
      <c r="AK77" s="535">
        <v>8</v>
      </c>
      <c r="AL77" s="535">
        <v>8</v>
      </c>
      <c r="AM77" s="535">
        <v>8</v>
      </c>
      <c r="AN77" s="535">
        <v>8</v>
      </c>
      <c r="AO77" s="536">
        <v>8</v>
      </c>
      <c r="AP77" s="534">
        <v>8</v>
      </c>
      <c r="AQ77" s="535">
        <v>8</v>
      </c>
      <c r="AR77" s="535">
        <v>8</v>
      </c>
      <c r="AS77" s="535">
        <v>8</v>
      </c>
      <c r="AT77" s="535">
        <v>8</v>
      </c>
      <c r="AU77" s="536">
        <v>8</v>
      </c>
      <c r="AV77" s="534">
        <v>8</v>
      </c>
      <c r="AW77" s="535">
        <v>8</v>
      </c>
      <c r="AX77" s="535">
        <v>8</v>
      </c>
      <c r="AY77" s="535">
        <v>8</v>
      </c>
      <c r="AZ77" s="535">
        <v>8</v>
      </c>
      <c r="BA77" s="536">
        <v>8</v>
      </c>
      <c r="BB77" s="534">
        <v>8</v>
      </c>
      <c r="BC77" s="535">
        <v>8</v>
      </c>
      <c r="BD77" s="535">
        <v>8</v>
      </c>
      <c r="BE77" s="535">
        <v>8</v>
      </c>
      <c r="BF77" s="535">
        <v>8</v>
      </c>
      <c r="BG77" s="536">
        <v>8</v>
      </c>
      <c r="BH77" s="443">
        <v>6</v>
      </c>
    </row>
    <row r="78" spans="2:60" hidden="1" x14ac:dyDescent="0.25">
      <c r="W78" s="384">
        <v>2</v>
      </c>
      <c r="X78" s="537">
        <v>8</v>
      </c>
      <c r="Y78" s="538">
        <v>8</v>
      </c>
      <c r="Z78" s="538">
        <v>8</v>
      </c>
      <c r="AA78" s="538">
        <v>8</v>
      </c>
      <c r="AB78" s="538">
        <v>8</v>
      </c>
      <c r="AC78" s="539">
        <v>8</v>
      </c>
      <c r="AD78" s="537">
        <v>8</v>
      </c>
      <c r="AE78" s="538">
        <v>8</v>
      </c>
      <c r="AF78" s="538">
        <v>8</v>
      </c>
      <c r="AG78" s="538">
        <v>8</v>
      </c>
      <c r="AH78" s="538">
        <v>8</v>
      </c>
      <c r="AI78" s="539">
        <v>8</v>
      </c>
      <c r="AJ78" s="537">
        <v>8</v>
      </c>
      <c r="AK78" s="538">
        <v>8</v>
      </c>
      <c r="AL78" s="538">
        <v>8</v>
      </c>
      <c r="AM78" s="538">
        <v>8</v>
      </c>
      <c r="AN78" s="538">
        <v>8</v>
      </c>
      <c r="AO78" s="539">
        <v>8</v>
      </c>
      <c r="AP78" s="537">
        <v>8</v>
      </c>
      <c r="AQ78" s="538">
        <v>8</v>
      </c>
      <c r="AR78" s="538">
        <v>8</v>
      </c>
      <c r="AS78" s="538">
        <v>8</v>
      </c>
      <c r="AT78" s="538">
        <v>8</v>
      </c>
      <c r="AU78" s="539">
        <v>8</v>
      </c>
      <c r="AV78" s="537">
        <v>8</v>
      </c>
      <c r="AW78" s="538">
        <v>8</v>
      </c>
      <c r="AX78" s="538">
        <v>8</v>
      </c>
      <c r="AY78" s="538">
        <v>8</v>
      </c>
      <c r="AZ78" s="538">
        <v>8</v>
      </c>
      <c r="BA78" s="539">
        <v>8</v>
      </c>
      <c r="BB78" s="537">
        <v>8</v>
      </c>
      <c r="BC78" s="538">
        <v>8</v>
      </c>
      <c r="BD78" s="538">
        <v>8</v>
      </c>
      <c r="BE78" s="538">
        <v>8</v>
      </c>
      <c r="BF78" s="538">
        <v>8</v>
      </c>
      <c r="BG78" s="539">
        <v>8</v>
      </c>
    </row>
    <row r="79" spans="2:60" hidden="1" x14ac:dyDescent="0.25">
      <c r="W79" s="384">
        <v>3</v>
      </c>
      <c r="X79" s="537">
        <v>8</v>
      </c>
      <c r="Y79" s="538">
        <v>8</v>
      </c>
      <c r="Z79" s="538">
        <v>8</v>
      </c>
      <c r="AA79" s="538">
        <v>8</v>
      </c>
      <c r="AB79" s="538">
        <v>8</v>
      </c>
      <c r="AC79" s="539">
        <v>8</v>
      </c>
      <c r="AD79" s="537">
        <v>8</v>
      </c>
      <c r="AE79" s="538">
        <v>8</v>
      </c>
      <c r="AF79" s="538">
        <v>8</v>
      </c>
      <c r="AG79" s="538">
        <v>8</v>
      </c>
      <c r="AH79" s="538">
        <v>8</v>
      </c>
      <c r="AI79" s="539">
        <v>8</v>
      </c>
      <c r="AJ79" s="537">
        <v>8</v>
      </c>
      <c r="AK79" s="538">
        <v>8</v>
      </c>
      <c r="AL79" s="538">
        <v>8</v>
      </c>
      <c r="AM79" s="538">
        <v>8</v>
      </c>
      <c r="AN79" s="538">
        <v>8</v>
      </c>
      <c r="AO79" s="539">
        <v>8</v>
      </c>
      <c r="AP79" s="537">
        <v>8</v>
      </c>
      <c r="AQ79" s="538">
        <v>8</v>
      </c>
      <c r="AR79" s="538">
        <v>8</v>
      </c>
      <c r="AS79" s="538">
        <v>8</v>
      </c>
      <c r="AT79" s="538">
        <v>8</v>
      </c>
      <c r="AU79" s="539">
        <v>8</v>
      </c>
      <c r="AV79" s="537">
        <v>8</v>
      </c>
      <c r="AW79" s="538">
        <v>8</v>
      </c>
      <c r="AX79" s="538">
        <v>8</v>
      </c>
      <c r="AY79" s="538">
        <v>8</v>
      </c>
      <c r="AZ79" s="538">
        <v>8</v>
      </c>
      <c r="BA79" s="539">
        <v>8</v>
      </c>
      <c r="BB79" s="537">
        <v>8</v>
      </c>
      <c r="BC79" s="538">
        <v>8</v>
      </c>
      <c r="BD79" s="538">
        <v>8</v>
      </c>
      <c r="BE79" s="538">
        <v>8</v>
      </c>
      <c r="BF79" s="538">
        <v>8</v>
      </c>
      <c r="BG79" s="539">
        <v>8</v>
      </c>
    </row>
    <row r="80" spans="2:60" hidden="1" x14ac:dyDescent="0.25">
      <c r="W80" s="384">
        <v>4</v>
      </c>
      <c r="X80" s="537">
        <v>8</v>
      </c>
      <c r="Y80" s="538">
        <v>8</v>
      </c>
      <c r="Z80" s="538">
        <v>8</v>
      </c>
      <c r="AA80" s="538">
        <v>8</v>
      </c>
      <c r="AB80" s="538">
        <v>8</v>
      </c>
      <c r="AC80" s="539">
        <v>8</v>
      </c>
      <c r="AD80" s="537">
        <v>8</v>
      </c>
      <c r="AE80" s="538">
        <v>8</v>
      </c>
      <c r="AF80" s="538">
        <v>8</v>
      </c>
      <c r="AG80" s="538">
        <v>8</v>
      </c>
      <c r="AH80" s="538">
        <v>8</v>
      </c>
      <c r="AI80" s="539">
        <v>8</v>
      </c>
      <c r="AJ80" s="537">
        <v>8</v>
      </c>
      <c r="AK80" s="538">
        <v>8</v>
      </c>
      <c r="AL80" s="538">
        <v>8</v>
      </c>
      <c r="AM80" s="538">
        <v>8</v>
      </c>
      <c r="AN80" s="538">
        <v>8</v>
      </c>
      <c r="AO80" s="539">
        <v>8</v>
      </c>
      <c r="AP80" s="537">
        <v>8</v>
      </c>
      <c r="AQ80" s="538">
        <v>8</v>
      </c>
      <c r="AR80" s="538">
        <v>8</v>
      </c>
      <c r="AS80" s="538">
        <v>8</v>
      </c>
      <c r="AT80" s="538">
        <v>8</v>
      </c>
      <c r="AU80" s="539">
        <v>8</v>
      </c>
      <c r="AV80" s="537">
        <v>8</v>
      </c>
      <c r="AW80" s="538">
        <v>8</v>
      </c>
      <c r="AX80" s="538">
        <v>8</v>
      </c>
      <c r="AY80" s="538">
        <v>8</v>
      </c>
      <c r="AZ80" s="538">
        <v>8</v>
      </c>
      <c r="BA80" s="539">
        <v>8</v>
      </c>
      <c r="BB80" s="537">
        <v>8</v>
      </c>
      <c r="BC80" s="538">
        <v>8</v>
      </c>
      <c r="BD80" s="538">
        <v>8</v>
      </c>
      <c r="BE80" s="538">
        <v>8</v>
      </c>
      <c r="BF80" s="538">
        <v>8</v>
      </c>
      <c r="BG80" s="539">
        <v>8</v>
      </c>
    </row>
    <row r="81" spans="23:59" hidden="1" x14ac:dyDescent="0.25">
      <c r="W81" s="384">
        <v>5</v>
      </c>
      <c r="X81" s="537">
        <v>8</v>
      </c>
      <c r="Y81" s="538">
        <v>8</v>
      </c>
      <c r="Z81" s="538">
        <v>8</v>
      </c>
      <c r="AA81" s="538">
        <v>8</v>
      </c>
      <c r="AB81" s="538">
        <v>8</v>
      </c>
      <c r="AC81" s="539">
        <v>8</v>
      </c>
      <c r="AD81" s="537">
        <v>8</v>
      </c>
      <c r="AE81" s="538">
        <v>8</v>
      </c>
      <c r="AF81" s="538">
        <v>8</v>
      </c>
      <c r="AG81" s="538">
        <v>8</v>
      </c>
      <c r="AH81" s="538">
        <v>8</v>
      </c>
      <c r="AI81" s="539">
        <v>8</v>
      </c>
      <c r="AJ81" s="537">
        <v>8</v>
      </c>
      <c r="AK81" s="538">
        <v>8</v>
      </c>
      <c r="AL81" s="538">
        <v>8</v>
      </c>
      <c r="AM81" s="538">
        <v>8</v>
      </c>
      <c r="AN81" s="538">
        <v>8</v>
      </c>
      <c r="AO81" s="539">
        <v>8</v>
      </c>
      <c r="AP81" s="537">
        <v>8</v>
      </c>
      <c r="AQ81" s="538">
        <v>8</v>
      </c>
      <c r="AR81" s="538">
        <v>8</v>
      </c>
      <c r="AS81" s="538">
        <v>8</v>
      </c>
      <c r="AT81" s="538">
        <v>8</v>
      </c>
      <c r="AU81" s="539">
        <v>8</v>
      </c>
      <c r="AV81" s="537">
        <v>8</v>
      </c>
      <c r="AW81" s="538">
        <v>8</v>
      </c>
      <c r="AX81" s="538">
        <v>8</v>
      </c>
      <c r="AY81" s="538">
        <v>8</v>
      </c>
      <c r="AZ81" s="538">
        <v>5</v>
      </c>
      <c r="BA81" s="539">
        <v>6</v>
      </c>
      <c r="BB81" s="537">
        <v>8</v>
      </c>
      <c r="BC81" s="538">
        <v>8</v>
      </c>
      <c r="BD81" s="538">
        <v>8</v>
      </c>
      <c r="BE81" s="538">
        <v>8</v>
      </c>
      <c r="BF81" s="538">
        <v>6</v>
      </c>
      <c r="BG81" s="539">
        <v>6</v>
      </c>
    </row>
    <row r="82" spans="23:59" ht="16.5" hidden="1" thickBot="1" x14ac:dyDescent="0.3">
      <c r="W82" s="385">
        <v>6</v>
      </c>
      <c r="X82" s="540">
        <v>8</v>
      </c>
      <c r="Y82" s="541">
        <v>8</v>
      </c>
      <c r="Z82" s="541">
        <v>8</v>
      </c>
      <c r="AA82" s="541">
        <v>8</v>
      </c>
      <c r="AB82" s="541">
        <v>8</v>
      </c>
      <c r="AC82" s="542">
        <v>8</v>
      </c>
      <c r="AD82" s="540">
        <v>8</v>
      </c>
      <c r="AE82" s="541">
        <v>8</v>
      </c>
      <c r="AF82" s="541">
        <v>8</v>
      </c>
      <c r="AG82" s="541">
        <v>8</v>
      </c>
      <c r="AH82" s="541">
        <v>8</v>
      </c>
      <c r="AI82" s="542">
        <v>8</v>
      </c>
      <c r="AJ82" s="540">
        <v>8</v>
      </c>
      <c r="AK82" s="541">
        <v>8</v>
      </c>
      <c r="AL82" s="541">
        <v>8</v>
      </c>
      <c r="AM82" s="541">
        <v>8</v>
      </c>
      <c r="AN82" s="541">
        <v>8</v>
      </c>
      <c r="AO82" s="542">
        <v>8</v>
      </c>
      <c r="AP82" s="540">
        <v>8</v>
      </c>
      <c r="AQ82" s="541">
        <v>8</v>
      </c>
      <c r="AR82" s="541">
        <v>8</v>
      </c>
      <c r="AS82" s="541">
        <v>8</v>
      </c>
      <c r="AT82" s="541">
        <v>8</v>
      </c>
      <c r="AU82" s="542">
        <v>8</v>
      </c>
      <c r="AV82" s="540">
        <v>8</v>
      </c>
      <c r="AW82" s="541">
        <v>8</v>
      </c>
      <c r="AX82" s="541">
        <v>8</v>
      </c>
      <c r="AY82" s="541">
        <v>8</v>
      </c>
      <c r="AZ82" s="541">
        <v>6</v>
      </c>
      <c r="BA82" s="542">
        <v>6</v>
      </c>
      <c r="BB82" s="540">
        <v>8</v>
      </c>
      <c r="BC82" s="541">
        <v>8</v>
      </c>
      <c r="BD82" s="541">
        <v>8</v>
      </c>
      <c r="BE82" s="541">
        <v>8</v>
      </c>
      <c r="BF82" s="541">
        <v>6</v>
      </c>
      <c r="BG82" s="542">
        <v>6</v>
      </c>
    </row>
    <row r="83" spans="23:59" ht="16.5" hidden="1" thickTop="1" x14ac:dyDescent="0.25"/>
  </sheetData>
  <sheetProtection sheet="1" selectLockedCells="1"/>
  <mergeCells count="85">
    <mergeCell ref="R22:T23"/>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 ref="R25:T25"/>
    <mergeCell ref="C17:C18"/>
    <mergeCell ref="B20:B21"/>
    <mergeCell ref="C20:C21"/>
    <mergeCell ref="B15:B16"/>
    <mergeCell ref="C15:C16"/>
    <mergeCell ref="B17:B18"/>
    <mergeCell ref="B13:B14"/>
    <mergeCell ref="C13:C14"/>
    <mergeCell ref="R13:R14"/>
    <mergeCell ref="S13:S14"/>
    <mergeCell ref="T13:T14"/>
    <mergeCell ref="S9:S10"/>
    <mergeCell ref="T9:T10"/>
    <mergeCell ref="B11:B12"/>
    <mergeCell ref="C11:C12"/>
    <mergeCell ref="R11:R12"/>
    <mergeCell ref="S11:S12"/>
    <mergeCell ref="T11:T12"/>
    <mergeCell ref="B9:B10"/>
    <mergeCell ref="C9:C10"/>
    <mergeCell ref="R9:R10"/>
    <mergeCell ref="R5:R6"/>
    <mergeCell ref="S5:S6"/>
    <mergeCell ref="T5:T6"/>
    <mergeCell ref="B7:B8"/>
    <mergeCell ref="C7:C8"/>
    <mergeCell ref="R7:R8"/>
    <mergeCell ref="S7:S8"/>
    <mergeCell ref="T7:T8"/>
    <mergeCell ref="E2:N2"/>
    <mergeCell ref="E4:F4"/>
    <mergeCell ref="P4:P5"/>
    <mergeCell ref="B5:B6"/>
    <mergeCell ref="C5:C6"/>
    <mergeCell ref="I5:K5"/>
    <mergeCell ref="L5:N5"/>
    <mergeCell ref="B37:B38"/>
    <mergeCell ref="C37:C38"/>
    <mergeCell ref="B39:B40"/>
    <mergeCell ref="C39:C40"/>
    <mergeCell ref="B41:B42"/>
    <mergeCell ref="C41:C42"/>
    <mergeCell ref="B43:B44"/>
    <mergeCell ref="C43:C44"/>
    <mergeCell ref="B45:B46"/>
    <mergeCell ref="C45:C46"/>
    <mergeCell ref="B47:B48"/>
    <mergeCell ref="C47:C48"/>
    <mergeCell ref="C58:C59"/>
    <mergeCell ref="B49:B50"/>
    <mergeCell ref="C49:C50"/>
    <mergeCell ref="B51:B52"/>
    <mergeCell ref="C51:C52"/>
    <mergeCell ref="R26:T26"/>
    <mergeCell ref="B66:B67"/>
    <mergeCell ref="C66:C67"/>
    <mergeCell ref="B68:B69"/>
    <mergeCell ref="C68:C69"/>
    <mergeCell ref="B60:B61"/>
    <mergeCell ref="C60:C61"/>
    <mergeCell ref="B62:B63"/>
    <mergeCell ref="C62:C63"/>
    <mergeCell ref="B64:B65"/>
    <mergeCell ref="C64:C65"/>
    <mergeCell ref="B54:B55"/>
    <mergeCell ref="C54:C55"/>
    <mergeCell ref="B56:B57"/>
    <mergeCell ref="C56:C57"/>
    <mergeCell ref="B58:B59"/>
  </mergeCells>
  <conditionalFormatting sqref="R22:T23">
    <cfRule type="expression" dxfId="49" priority="55">
      <formula>$S$11&gt;$V$11</formula>
    </cfRule>
  </conditionalFormatting>
  <conditionalFormatting sqref="C7:C18 C24:C35 C41:C52 C58:C69">
    <cfRule type="duplicateValues" dxfId="48" priority="12"/>
  </conditionalFormatting>
  <conditionalFormatting sqref="X6:BG41">
    <cfRule type="expression" dxfId="47" priority="7">
      <formula>X6&lt;7</formula>
    </cfRule>
  </conditionalFormatting>
  <conditionalFormatting sqref="X47:BG82">
    <cfRule type="expression" dxfId="46" priority="4">
      <formula>X47&lt;7</formula>
    </cfRule>
  </conditionalFormatting>
  <conditionalFormatting sqref="H6:H65">
    <cfRule type="expression" dxfId="45" priority="3">
      <formula>$H6="??"</formula>
    </cfRule>
  </conditionalFormatting>
  <conditionalFormatting sqref="E6:N65">
    <cfRule type="expression" dxfId="44" priority="436">
      <formula>AND($L6&lt;&gt;"",$N6&lt;&gt;"",OR($E6=$S$24,$E6=$T$24),NOT($V$15))</formula>
    </cfRule>
    <cfRule type="expression" dxfId="43" priority="437">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C309-B477-46ED-925E-2278F071BB0E}">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00" t="str">
        <f>Sprache!$E$7</f>
        <v>Direkte Vergleiche</v>
      </c>
      <c r="C2" s="1000"/>
      <c r="D2" s="1000"/>
      <c r="E2" s="1000"/>
      <c r="F2" s="1000"/>
      <c r="G2" s="1000"/>
      <c r="H2" s="1000"/>
      <c r="I2" s="1000"/>
      <c r="J2" s="1000"/>
      <c r="K2" s="1000"/>
      <c r="L2" s="1000"/>
      <c r="M2" s="1000"/>
    </row>
    <row r="3" spans="2:14" ht="42.75" customHeight="1" x14ac:dyDescent="0.2">
      <c r="B3" s="1001" t="str">
        <f>Sprache!$E$56&amp;" A"</f>
        <v>Vorrunde Gruppe A</v>
      </c>
      <c r="C3" s="1001"/>
      <c r="D3" s="1001"/>
      <c r="E3" s="1001"/>
      <c r="F3" s="1001"/>
      <c r="G3" s="1001"/>
      <c r="H3" s="1001"/>
      <c r="I3" s="1001"/>
      <c r="J3" s="1001"/>
      <c r="K3" s="1001"/>
      <c r="L3" s="1001"/>
      <c r="M3" s="1001"/>
    </row>
    <row r="4" spans="2:14" ht="17.25" customHeight="1" x14ac:dyDescent="0.2">
      <c r="B4" s="1002" t="str">
        <f>Sprache!$E$107</f>
        <v>Rote Schrift bedeutet, dass die Rangfolge auch mit dem direkten Vergleich nicht geklärt ist. Ein Entscheidungsspiel oder Los muss hier entscheiden.</v>
      </c>
      <c r="C4" s="1002"/>
      <c r="D4" s="1002"/>
      <c r="E4" s="1002"/>
      <c r="F4" s="1002"/>
      <c r="G4" s="1002"/>
      <c r="H4" s="1002"/>
      <c r="I4" s="1002"/>
      <c r="J4" s="1002"/>
      <c r="K4" s="1002"/>
      <c r="L4" s="1002"/>
      <c r="M4" s="1002"/>
      <c r="N4" s="1002"/>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IF(LEN(H7)&gt;Einstellungen!$C$33,LEFT(H7,Einstellungen!$C$33)&amp;".",H7)</f>
        <v/>
      </c>
      <c r="I6" s="148" t="str">
        <f ca="1">IF(LEN(I7)&gt;Einstellungen!$C$33,LEFT(I7,Einstellungen!$C$33)&amp;".",I7)</f>
        <v/>
      </c>
      <c r="J6" s="148" t="str">
        <f ca="1">IF(LEN(J7)&gt;Einstellungen!$C$33,LEFT(J7,Einstellungen!$C$33)&amp;".",J7)</f>
        <v/>
      </c>
      <c r="K6" s="148" t="str">
        <f ca="1">IF(LEN(K7)&gt;Einstellungen!$C$33,LEFT(K7,Einstellungen!$C$33)&amp;".",K7)</f>
        <v/>
      </c>
      <c r="L6" s="148" t="str">
        <f ca="1">IF(LEN(L7)&gt;Einstellungen!$C$33,LEFT(L7,Einstellungen!$C$33)&amp;".",L7)</f>
        <v/>
      </c>
      <c r="M6" s="149" t="str">
        <f ca="1">IF(LEN(M7)&gt;Einstellungen!$C$33,LEFT(M7,Einstellungen!$C$33)&amp;".",M7)</f>
        <v/>
      </c>
    </row>
    <row r="7" spans="2:14" ht="21.95" customHeight="1" thickTop="1" thickBot="1" x14ac:dyDescent="0.25">
      <c r="B7" s="117"/>
      <c r="C7" s="122" t="str">
        <f>Sprache!$E$10</f>
        <v>Teilnehmer bzw. Mannschaft</v>
      </c>
      <c r="D7" s="126" t="str">
        <f>Sprache!$E$91</f>
        <v>Satzpkt.</v>
      </c>
      <c r="E7" s="126" t="str">
        <f>Sprache!$E$74</f>
        <v>Bälle</v>
      </c>
      <c r="F7" s="114" t="str">
        <f>Sprache!$E$26</f>
        <v>Diff.</v>
      </c>
      <c r="G7" s="150" t="str">
        <f>Sprache!$E$49</f>
        <v>Tie-Break</v>
      </c>
      <c r="H7" s="130" t="str">
        <f ca="1">C8</f>
        <v/>
      </c>
      <c r="I7" s="131" t="str">
        <f ca="1">C9</f>
        <v/>
      </c>
      <c r="J7" s="131" t="str">
        <f ca="1">C10</f>
        <v/>
      </c>
      <c r="K7" s="131" t="str">
        <f ca="1">C11</f>
        <v/>
      </c>
      <c r="L7" s="131" t="str">
        <f ca="1">C12</f>
        <v/>
      </c>
      <c r="M7" s="154" t="str">
        <f ca="1">C13</f>
        <v/>
      </c>
    </row>
    <row r="8" spans="2:14" ht="21.95" customHeight="1" x14ac:dyDescent="0.2">
      <c r="B8" s="115" t="str">
        <f ca="1">IF($C8="","",INDEX(Vorrunde!$W$12:$W$47,MATCH($C8,Vorrunde!$X$12:$X$47,0)))</f>
        <v/>
      </c>
      <c r="C8" s="123" t="str">
        <f ca="1">IF(Calc1!$K$13=0,"",Calc1!$X4)</f>
        <v/>
      </c>
      <c r="D8" s="127" t="str">
        <f ca="1">IF($C8="","",VLOOKUP($C8,Calc1!$C$17:$AC$25,25,0))</f>
        <v/>
      </c>
      <c r="E8" s="787" t="str">
        <f ca="1">IF($C8="","",VLOOKUP($C8,Calc1!$C$17:$AF$25,27,0)&amp;Sprache!$E$109&amp;(VLOOKUP($C8,Calc1!$C$17:$AF$25,27,0)-$F8))</f>
        <v/>
      </c>
      <c r="F8" s="111" t="str">
        <f ca="1">IF($C8="","",VLOOKUP($C8,Calc1!$C$17:$AC$25,26,0))</f>
        <v/>
      </c>
      <c r="G8" s="151" t="str">
        <f ca="1">IF(C8="","",VLOOKUP(C8,Calc1!$C$17:$AB$25,23,0))</f>
        <v/>
      </c>
      <c r="H8" s="135"/>
      <c r="I8" s="111" t="str">
        <f ca="1">IFERROR(VLOOKUP($C8&amp;I$7,Calc1!$Z$64:$AB$207,3,0),"")</f>
        <v/>
      </c>
      <c r="J8" s="111" t="str">
        <f ca="1">IFERROR(VLOOKUP($C8&amp;J$7,Calc1!$Z$64:$AB$207,3,0),"")</f>
        <v/>
      </c>
      <c r="K8" s="111" t="str">
        <f ca="1">IFERROR(VLOOKUP($C8&amp;K$7,Calc1!$Z$64:$AB$207,3,0),"")</f>
        <v/>
      </c>
      <c r="L8" s="111" t="str">
        <f ca="1">IFERROR(VLOOKUP($C8&amp;L$7,Calc1!$Z$64:$AB$207,3,0),"")</f>
        <v/>
      </c>
      <c r="M8" s="155" t="str">
        <f ca="1">IFERROR(VLOOKUP($C8&amp;M$7,Calc1!$Z$64:$AB$207,3,0),"")</f>
        <v/>
      </c>
      <c r="N8" s="183" t="str">
        <f t="shared" ref="N8:N13" ca="1" si="0">C8</f>
        <v/>
      </c>
    </row>
    <row r="9" spans="2:14" ht="21.95" customHeight="1" x14ac:dyDescent="0.2">
      <c r="B9" s="115" t="str">
        <f ca="1">IF($C9="","",INDEX(Vorrunde!$W$12:$W$47,MATCH($C9,Vorrunde!$X$12:$X$47,0)))</f>
        <v/>
      </c>
      <c r="C9" s="124" t="str">
        <f ca="1">IF(Calc1!$K$13=0,"",Calc1!$X5)</f>
        <v/>
      </c>
      <c r="D9" s="128" t="str">
        <f ca="1">IF($C9="","",VLOOKUP($C9,Calc1!$C$17:$AC$25,25,0))</f>
        <v/>
      </c>
      <c r="E9" s="788" t="str">
        <f ca="1">IF($C9="","",VLOOKUP($C9,Calc1!$C$17:$AF$25,27,0)&amp;Sprache!$E$109&amp;(VLOOKUP($C9,Calc1!$C$17:$AF$25,27,0)-$F9))</f>
        <v/>
      </c>
      <c r="F9" s="112" t="str">
        <f ca="1">IF($C9="","",VLOOKUP($C9,Calc1!$C$17:$AC$25,26,0))</f>
        <v/>
      </c>
      <c r="G9" s="152" t="str">
        <f ca="1">IF(C9="","",VLOOKUP(C9,Calc1!$C$17:$AB$25,23,0))</f>
        <v/>
      </c>
      <c r="H9" s="136" t="str">
        <f ca="1">IFERROR(VLOOKUP($C9&amp;H$7,Calc1!$Z$64:$AB$207,3,0),"")</f>
        <v/>
      </c>
      <c r="I9" s="121"/>
      <c r="J9" s="112" t="str">
        <f ca="1">IFERROR(VLOOKUP($C9&amp;J$7,Calc1!$Z$64:$AB$207,3,0),"")</f>
        <v/>
      </c>
      <c r="K9" s="112" t="str">
        <f ca="1">IFERROR(VLOOKUP($C9&amp;K$7,Calc1!$Z$64:$AB$207,3,0),"")</f>
        <v/>
      </c>
      <c r="L9" s="112" t="str">
        <f ca="1">IFERROR(VLOOKUP($C9&amp;L$7,Calc1!$Z$64:$AB$207,3,0),"")</f>
        <v/>
      </c>
      <c r="M9" s="156" t="str">
        <f ca="1">IFERROR(VLOOKUP($C9&amp;M$7,Calc1!$Z$64:$AB$207,3,0),"")</f>
        <v/>
      </c>
      <c r="N9" s="184" t="str">
        <f t="shared" ca="1" si="0"/>
        <v/>
      </c>
    </row>
    <row r="10" spans="2:14" ht="21.95" customHeight="1" x14ac:dyDescent="0.2">
      <c r="B10" s="115" t="str">
        <f ca="1">IF($C10="","",INDEX(Vorrunde!$W$12:$W$47,MATCH($C10,Vorrunde!$X$12:$X$47,0)))</f>
        <v/>
      </c>
      <c r="C10" s="124" t="str">
        <f ca="1">IF(Calc1!$K$13=0,"",Calc1!$X6)</f>
        <v/>
      </c>
      <c r="D10" s="128" t="str">
        <f ca="1">IF($C10="","",VLOOKUP($C10,Calc1!$C$17:$AC$25,25,0))</f>
        <v/>
      </c>
      <c r="E10" s="788" t="str">
        <f ca="1">IF($C10="","",VLOOKUP($C10,Calc1!$C$17:$AF$25,27,0)&amp;Sprache!$E$109&amp;(VLOOKUP($C10,Calc1!$C$17:$AF$25,27,0)-$F10))</f>
        <v/>
      </c>
      <c r="F10" s="112" t="str">
        <f ca="1">IF($C10="","",VLOOKUP($C10,Calc1!$C$17:$AC$25,26,0))</f>
        <v/>
      </c>
      <c r="G10" s="152" t="str">
        <f ca="1">IF(C10="","",VLOOKUP(C10,Calc1!$C$17:$AB$25,23,0))</f>
        <v/>
      </c>
      <c r="H10" s="136" t="str">
        <f ca="1">IFERROR(VLOOKUP($C10&amp;H$7,Calc1!$Z$64:$AB$207,3,0),"")</f>
        <v/>
      </c>
      <c r="I10" s="112" t="str">
        <f ca="1">IFERROR(VLOOKUP($C10&amp;I$7,Calc1!$Z$64:$AB$207,3,0),"")</f>
        <v/>
      </c>
      <c r="J10" s="121"/>
      <c r="K10" s="112" t="str">
        <f ca="1">IFERROR(VLOOKUP($C10&amp;K$7,Calc1!$Z$64:$AB$207,3,0),"")</f>
        <v/>
      </c>
      <c r="L10" s="112" t="str">
        <f ca="1">IFERROR(VLOOKUP($C10&amp;L$7,Calc1!$Z$64:$AB$207,3,0),"")</f>
        <v/>
      </c>
      <c r="M10" s="156" t="str">
        <f ca="1">IFERROR(VLOOKUP($C10&amp;M$7,Calc1!$Z$64:$AB$207,3,0),"")</f>
        <v/>
      </c>
      <c r="N10" s="184" t="str">
        <f t="shared" ca="1" si="0"/>
        <v/>
      </c>
    </row>
    <row r="11" spans="2:14" ht="21.95" customHeight="1" x14ac:dyDescent="0.2">
      <c r="B11" s="115" t="str">
        <f ca="1">IF($C11="","",INDEX(Vorrunde!$W$12:$W$47,MATCH($C11,Vorrunde!$X$12:$X$47,0)))</f>
        <v/>
      </c>
      <c r="C11" s="124" t="str">
        <f ca="1">IF(Calc1!$K$13=0,"",Calc1!$X7)</f>
        <v/>
      </c>
      <c r="D11" s="128" t="str">
        <f ca="1">IF($C11="","",VLOOKUP($C11,Calc1!$C$17:$AC$25,25,0))</f>
        <v/>
      </c>
      <c r="E11" s="788" t="str">
        <f ca="1">IF($C11="","",VLOOKUP($C11,Calc1!$C$17:$AF$25,27,0)&amp;Sprache!$E$109&amp;(VLOOKUP($C11,Calc1!$C$17:$AF$25,27,0)-$F11))</f>
        <v/>
      </c>
      <c r="F11" s="112" t="str">
        <f ca="1">IF($C11="","",VLOOKUP($C11,Calc1!$C$17:$AC$25,26,0))</f>
        <v/>
      </c>
      <c r="G11" s="152" t="str">
        <f ca="1">IF(C11="","",VLOOKUP(C11,Calc1!$C$17:$AB$25,23,0))</f>
        <v/>
      </c>
      <c r="H11" s="136" t="str">
        <f ca="1">IFERROR(VLOOKUP($C11&amp;H$7,Calc1!$Z$64:$AB$207,3,0),"")</f>
        <v/>
      </c>
      <c r="I11" s="112" t="str">
        <f ca="1">IFERROR(VLOOKUP($C11&amp;I$7,Calc1!$Z$64:$AB$207,3,0),"")</f>
        <v/>
      </c>
      <c r="J11" s="112" t="str">
        <f ca="1">IFERROR(VLOOKUP($C11&amp;J$7,Calc1!$Z$64:$AB$207,3,0),"")</f>
        <v/>
      </c>
      <c r="K11" s="121"/>
      <c r="L11" s="112" t="str">
        <f ca="1">IFERROR(VLOOKUP($C11&amp;L$7,Calc1!$Z$64:$AB$207,3,0),"")</f>
        <v/>
      </c>
      <c r="M11" s="156" t="str">
        <f ca="1">IFERROR(VLOOKUP($C11&amp;M$7,Calc1!$Z$64:$AB$207,3,0),"")</f>
        <v/>
      </c>
      <c r="N11" s="184" t="str">
        <f t="shared" ca="1" si="0"/>
        <v/>
      </c>
    </row>
    <row r="12" spans="2:14" ht="21.95" customHeight="1" x14ac:dyDescent="0.2">
      <c r="B12" s="115" t="str">
        <f ca="1">IF($C12="","",INDEX(Vorrunde!$W$12:$W$47,MATCH($C12,Vorrunde!$X$12:$X$47,0)))</f>
        <v/>
      </c>
      <c r="C12" s="124" t="str">
        <f ca="1">IF(Calc1!$K$13=0,"",Calc1!$X8)</f>
        <v/>
      </c>
      <c r="D12" s="128" t="str">
        <f ca="1">IF($C12="","",VLOOKUP($C12,Calc1!$C$17:$AC$25,25,0))</f>
        <v/>
      </c>
      <c r="E12" s="788" t="str">
        <f ca="1">IF($C12="","",VLOOKUP($C12,Calc1!$C$17:$AF$25,27,0)&amp;Sprache!$E$109&amp;(VLOOKUP($C12,Calc1!$C$17:$AF$25,27,0)-$F12))</f>
        <v/>
      </c>
      <c r="F12" s="112" t="str">
        <f ca="1">IF($C12="","",VLOOKUP($C12,Calc1!$C$17:$AC$25,26,0))</f>
        <v/>
      </c>
      <c r="G12" s="152" t="str">
        <f ca="1">IF(C12="","",VLOOKUP(C12,Calc1!$C$17:$AB$25,23,0))</f>
        <v/>
      </c>
      <c r="H12" s="136" t="str">
        <f ca="1">IFERROR(VLOOKUP($C12&amp;H$7,Calc1!$Z$64:$AB$207,3,0),"")</f>
        <v/>
      </c>
      <c r="I12" s="112" t="str">
        <f ca="1">IFERROR(VLOOKUP($C12&amp;I$7,Calc1!$Z$64:$AB$207,3,0),"")</f>
        <v/>
      </c>
      <c r="J12" s="112" t="str">
        <f ca="1">IFERROR(VLOOKUP($C12&amp;J$7,Calc1!$Z$64:$AB$207,3,0),"")</f>
        <v/>
      </c>
      <c r="K12" s="112" t="str">
        <f ca="1">IFERROR(VLOOKUP($C12&amp;K$7,Calc1!$Z$64:$AB$207,3,0),"")</f>
        <v/>
      </c>
      <c r="L12" s="121"/>
      <c r="M12" s="156" t="str">
        <f ca="1">IFERROR(VLOOKUP($C12&amp;M$7,Calc1!$Z$64:$AB$207,3,0),"")</f>
        <v/>
      </c>
      <c r="N12" s="184" t="str">
        <f t="shared" ca="1" si="0"/>
        <v/>
      </c>
    </row>
    <row r="13" spans="2:14" ht="21.95" customHeight="1" thickBot="1" x14ac:dyDescent="0.25">
      <c r="B13" s="116" t="str">
        <f ca="1">IF($C13="","",INDEX(Vorrunde!$W$12:$W$47,MATCH($C13,Vorrunde!$X$12:$X$47,0)))</f>
        <v/>
      </c>
      <c r="C13" s="125" t="str">
        <f ca="1">IF(Calc1!$K$13=0,"",Calc1!$X9)</f>
        <v/>
      </c>
      <c r="D13" s="129" t="str">
        <f ca="1">IF($C13="","",VLOOKUP($C13,Calc1!$C$17:$AC$25,25,0))</f>
        <v/>
      </c>
      <c r="E13" s="789" t="str">
        <f ca="1">IF($C13="","",VLOOKUP($C13,Calc1!$C$17:$AF$25,27,0)&amp;Sprache!$E$109&amp;(VLOOKUP($C13,Calc1!$C$17:$AF$25,27,0)-$F13))</f>
        <v/>
      </c>
      <c r="F13" s="113" t="str">
        <f ca="1">IF($C13="","",VLOOKUP($C13,Calc1!$C$17:$AC$25,26,0))</f>
        <v/>
      </c>
      <c r="G13" s="153" t="str">
        <f ca="1">IF(C13="","",VLOOKUP(C13,Calc1!$C$17:$AB$25,23,0))</f>
        <v/>
      </c>
      <c r="H13" s="137" t="str">
        <f ca="1">IFERROR(VLOOKUP($C13&amp;H$7,Calc1!$Z$64:$AB$207,3,0),"")</f>
        <v/>
      </c>
      <c r="I13" s="113" t="str">
        <f ca="1">IFERROR(VLOOKUP($C13&amp;I$7,Calc1!$Z$64:$AB$207,3,0),"")</f>
        <v/>
      </c>
      <c r="J13" s="113" t="str">
        <f ca="1">IFERROR(VLOOKUP($C13&amp;J$7,Calc1!$Z$64:$AB$207,3,0),"")</f>
        <v/>
      </c>
      <c r="K13" s="113" t="str">
        <f ca="1">IFERROR(VLOOKUP($C13&amp;K$7,Calc1!$Z$64:$AB$207,3,0),"")</f>
        <v/>
      </c>
      <c r="L13" s="113" t="str">
        <f ca="1">IFERROR(VLOOKUP($C13&amp;L$7,Calc1!$Z$64:$AB$207,3,0),"")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IF(LEN(H16)&gt;Einstellungen!$C$33,LEFT(H16,Einstellungen!$C$33)&amp;".",H16)</f>
        <v/>
      </c>
      <c r="I15" s="148" t="str">
        <f ca="1">IF(LEN(I16)&gt;Einstellungen!$C$33,LEFT(I16,Einstellungen!$C$33)&amp;".",I16)</f>
        <v/>
      </c>
      <c r="J15" s="148" t="str">
        <f ca="1">IF(LEN(J16)&gt;Einstellungen!$C$33,LEFT(J16,Einstellungen!$C$33)&amp;".",J16)</f>
        <v/>
      </c>
      <c r="K15" s="148" t="str">
        <f ca="1">IF(LEN(K16)&gt;Einstellungen!$C$33,LEFT(K16,Einstellungen!$C$33)&amp;".",K16)</f>
        <v/>
      </c>
      <c r="L15" s="148" t="str">
        <f ca="1">IF(LEN(L16)&gt;Einstellungen!$C$33,LEFT(L16,Einstellungen!$C$33)&amp;".",L16)</f>
        <v/>
      </c>
      <c r="M15" s="149" t="str">
        <f ca="1">IF(LEN(M16)&gt;Einstellungen!$C$33,LEFT(M16,Einstellungen!$C$33)&amp;".",M16)</f>
        <v/>
      </c>
    </row>
    <row r="16" spans="2:14" ht="21.95" customHeight="1" thickTop="1" thickBot="1" x14ac:dyDescent="0.25">
      <c r="B16" s="117"/>
      <c r="C16" s="122" t="str">
        <f>Sprache!$E$10</f>
        <v>Teilnehmer bzw. Mannschaft</v>
      </c>
      <c r="D16" s="126" t="str">
        <f>Sprache!$E$91</f>
        <v>Satzpkt.</v>
      </c>
      <c r="E16" s="126" t="str">
        <f>Sprache!$E$74</f>
        <v>Bälle</v>
      </c>
      <c r="F16" s="114" t="str">
        <f>Sprache!$E$26</f>
        <v>Diff.</v>
      </c>
      <c r="G16" s="150" t="str">
        <f>Sprache!$E$49</f>
        <v>Tie-Break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IF($C17="","",INDEX(Vorrunde!$W$12:$W$47,MATCH($C17,Vorrunde!$X$12:$X$47,0)))</f>
        <v/>
      </c>
      <c r="C17" s="123" t="str">
        <f ca="1">IF(Calc1!$K$13=0,"",Calc1!$AC4)</f>
        <v/>
      </c>
      <c r="D17" s="127" t="str">
        <f ca="1">IF($C17="","",VLOOKUP($C17,Calc1!$C$17:$AC$25,25,0))</f>
        <v/>
      </c>
      <c r="E17" s="787" t="str">
        <f ca="1">IF($C17="","",VLOOKUP($C17,Calc1!$C$17:$AF$25,27,0)&amp;Sprache!$E$109&amp;(VLOOKUP($C17,Calc1!$C$17:$AF$25,27,0)-$F17))</f>
        <v/>
      </c>
      <c r="F17" s="111" t="str">
        <f ca="1">IF($C17="","",VLOOKUP($C17,Calc1!$C$17:$AC$25,26,0))</f>
        <v/>
      </c>
      <c r="G17" s="151" t="str">
        <f ca="1">IF(C17="","",VLOOKUP(C17,Calc1!$C$17:$AB$25,23,0))</f>
        <v/>
      </c>
      <c r="H17" s="135"/>
      <c r="I17" s="111" t="str">
        <f ca="1">IFERROR(VLOOKUP($C17&amp;I$16,Calc1!$Z$64:$AB$207,3,0),"")</f>
        <v/>
      </c>
      <c r="J17" s="111" t="str">
        <f ca="1">IFERROR(VLOOKUP($C17&amp;J$16,Calc1!$Z$64:$AB$207,3,0),"")</f>
        <v/>
      </c>
      <c r="K17" s="111" t="str">
        <f ca="1">IFERROR(VLOOKUP($C17&amp;K$16,Calc1!$Z$64:$AB$207,3,0),"")</f>
        <v/>
      </c>
      <c r="L17" s="111" t="str">
        <f ca="1">IFERROR(VLOOKUP($C17&amp;L$16,Calc1!$Z$64:$AB$207,3,0),"")</f>
        <v/>
      </c>
      <c r="M17" s="155" t="str">
        <f ca="1">IFERROR(VLOOKUP($C17&amp;M$16,Calc1!$Z$64:$AB$207,3,0),"")</f>
        <v/>
      </c>
      <c r="N17" s="183" t="str">
        <f t="shared" ref="N17:N22" ca="1" si="1">C17</f>
        <v/>
      </c>
    </row>
    <row r="18" spans="2:14" ht="21.95" customHeight="1" x14ac:dyDescent="0.2">
      <c r="B18" s="115" t="str">
        <f ca="1">IF($C18="","",INDEX(Vorrunde!$W$12:$W$47,MATCH($C18,Vorrunde!$X$12:$X$47,0)))</f>
        <v/>
      </c>
      <c r="C18" s="124" t="str">
        <f ca="1">IF(Calc1!$K$13=0,"",Calc1!$AC5)</f>
        <v/>
      </c>
      <c r="D18" s="128" t="str">
        <f ca="1">IF($C18="","",VLOOKUP($C18,Calc1!$C$17:$AC$25,25,0))</f>
        <v/>
      </c>
      <c r="E18" s="788" t="str">
        <f ca="1">IF($C18="","",VLOOKUP($C18,Calc1!$C$17:$AF$25,27,0)&amp;Sprache!$E$109&amp;(VLOOKUP($C18,Calc1!$C$17:$AF$25,27,0)-$F18))</f>
        <v/>
      </c>
      <c r="F18" s="112" t="str">
        <f ca="1">IF($C18="","",VLOOKUP($C18,Calc1!$C$17:$AC$25,26,0))</f>
        <v/>
      </c>
      <c r="G18" s="152" t="str">
        <f ca="1">IF(C18="","",VLOOKUP(C18,Calc1!$C$17:$AB$25,23,0))</f>
        <v/>
      </c>
      <c r="H18" s="136" t="str">
        <f ca="1">IFERROR(VLOOKUP($C18&amp;H$16,Calc1!$Z$64:$AB$207,3,0),"")</f>
        <v/>
      </c>
      <c r="I18" s="121"/>
      <c r="J18" s="112" t="str">
        <f ca="1">IFERROR(VLOOKUP($C18&amp;J$16,Calc1!$Z$64:$AB$207,3,0),"")</f>
        <v/>
      </c>
      <c r="K18" s="112" t="str">
        <f ca="1">IFERROR(VLOOKUP($C18&amp;K$16,Calc1!$Z$64:$AB$207,3,0),"")</f>
        <v/>
      </c>
      <c r="L18" s="112" t="str">
        <f ca="1">IFERROR(VLOOKUP($C18&amp;L$16,Calc1!$Z$64:$AB$207,3,0),"")</f>
        <v/>
      </c>
      <c r="M18" s="156" t="str">
        <f ca="1">IFERROR(VLOOKUP($C18&amp;M$16,Calc1!$Z$64:$AB$207,3,0),"")</f>
        <v/>
      </c>
      <c r="N18" s="184" t="str">
        <f t="shared" ca="1" si="1"/>
        <v/>
      </c>
    </row>
    <row r="19" spans="2:14" ht="21.95" customHeight="1" x14ac:dyDescent="0.2">
      <c r="B19" s="115" t="str">
        <f ca="1">IF($C19="","",INDEX(Vorrunde!$W$12:$W$47,MATCH($C19,Vorrunde!$X$12:$X$47,0)))</f>
        <v/>
      </c>
      <c r="C19" s="124" t="str">
        <f ca="1">IF(Calc1!$K$13=0,"",Calc1!$AC6)</f>
        <v/>
      </c>
      <c r="D19" s="128" t="str">
        <f ca="1">IF($C19="","",VLOOKUP($C19,Calc1!$C$17:$AC$25,25,0))</f>
        <v/>
      </c>
      <c r="E19" s="788" t="str">
        <f ca="1">IF($C19="","",VLOOKUP($C19,Calc1!$C$17:$AF$25,27,0)&amp;Sprache!$E$109&amp;(VLOOKUP($C19,Calc1!$C$17:$AF$25,27,0)-$F19))</f>
        <v/>
      </c>
      <c r="F19" s="112" t="str">
        <f ca="1">IF($C19="","",VLOOKUP($C19,Calc1!$C$17:$AC$25,26,0))</f>
        <v/>
      </c>
      <c r="G19" s="152" t="str">
        <f ca="1">IF(C19="","",VLOOKUP(C19,Calc1!$C$17:$AB$25,23,0))</f>
        <v/>
      </c>
      <c r="H19" s="136" t="str">
        <f ca="1">IFERROR(VLOOKUP($C19&amp;H$16,Calc1!$Z$64:$AB$207,3,0),"")</f>
        <v/>
      </c>
      <c r="I19" s="112" t="str">
        <f ca="1">IFERROR(VLOOKUP($C19&amp;I$16,Calc1!$Z$64:$AB$207,3,0),"")</f>
        <v/>
      </c>
      <c r="J19" s="121"/>
      <c r="K19" s="112" t="str">
        <f ca="1">IFERROR(VLOOKUP($C19&amp;K$16,Calc1!$Z$64:$AB$207,3,0),"")</f>
        <v/>
      </c>
      <c r="L19" s="112" t="str">
        <f ca="1">IFERROR(VLOOKUP($C19&amp;L$16,Calc1!$Z$64:$AB$207,3,0),"")</f>
        <v/>
      </c>
      <c r="M19" s="156" t="str">
        <f ca="1">IFERROR(VLOOKUP($C19&amp;M$16,Calc1!$Z$64:$AB$207,3,0),"")</f>
        <v/>
      </c>
      <c r="N19" s="184" t="str">
        <f t="shared" ca="1" si="1"/>
        <v/>
      </c>
    </row>
    <row r="20" spans="2:14" ht="21.95" customHeight="1" x14ac:dyDescent="0.2">
      <c r="B20" s="115" t="str">
        <f ca="1">IF($C20="","",INDEX(Vorrunde!$W$12:$W$47,MATCH($C20,Vorrunde!$X$12:$X$47,0)))</f>
        <v/>
      </c>
      <c r="C20" s="124" t="str">
        <f ca="1">IF(Calc1!$K$13=0,"",Calc1!$AC7)</f>
        <v/>
      </c>
      <c r="D20" s="128" t="str">
        <f ca="1">IF($C20="","",VLOOKUP($C20,Calc1!$C$17:$AC$25,25,0))</f>
        <v/>
      </c>
      <c r="E20" s="788" t="str">
        <f ca="1">IF($C20="","",VLOOKUP($C20,Calc1!$C$17:$AF$25,27,0)&amp;Sprache!$E$109&amp;(VLOOKUP($C20,Calc1!$C$17:$AF$25,27,0)-$F20))</f>
        <v/>
      </c>
      <c r="F20" s="112" t="str">
        <f ca="1">IF($C20="","",VLOOKUP($C20,Calc1!$C$17:$AC$25,26,0))</f>
        <v/>
      </c>
      <c r="G20" s="152" t="str">
        <f ca="1">IF(C20="","",VLOOKUP(C20,Calc1!$C$17:$AB$25,23,0))</f>
        <v/>
      </c>
      <c r="H20" s="136" t="str">
        <f ca="1">IFERROR(VLOOKUP($C20&amp;H$16,Calc1!$Z$64:$AB$207,3,0),"")</f>
        <v/>
      </c>
      <c r="I20" s="112" t="str">
        <f ca="1">IFERROR(VLOOKUP($C20&amp;I$16,Calc1!$Z$64:$AB$207,3,0),"")</f>
        <v/>
      </c>
      <c r="J20" s="112" t="str">
        <f ca="1">IFERROR(VLOOKUP($C20&amp;J$16,Calc1!$Z$64:$AB$207,3,0),"")</f>
        <v/>
      </c>
      <c r="K20" s="121"/>
      <c r="L20" s="112" t="str">
        <f ca="1">IFERROR(VLOOKUP($C20&amp;L$16,Calc1!$Z$64:$AB$207,3,0),"")</f>
        <v/>
      </c>
      <c r="M20" s="156" t="str">
        <f ca="1">IFERROR(VLOOKUP($C20&amp;M$16,Calc1!$Z$64:$AB$207,3,0),"")</f>
        <v/>
      </c>
      <c r="N20" s="184" t="str">
        <f t="shared" ca="1" si="1"/>
        <v/>
      </c>
    </row>
    <row r="21" spans="2:14" ht="21.95" customHeight="1" x14ac:dyDescent="0.2">
      <c r="B21" s="115" t="str">
        <f ca="1">IF($C21="","",INDEX(Vorrunde!$W$12:$W$47,MATCH($C21,Vorrunde!$X$12:$X$47,0)))</f>
        <v/>
      </c>
      <c r="C21" s="124" t="str">
        <f ca="1">IF(Calc1!$K$13=0,"",Calc1!$AC8)</f>
        <v/>
      </c>
      <c r="D21" s="128" t="str">
        <f ca="1">IF($C21="","",VLOOKUP($C21,Calc1!$C$17:$AC$25,25,0))</f>
        <v/>
      </c>
      <c r="E21" s="788" t="str">
        <f ca="1">IF($C21="","",VLOOKUP($C21,Calc1!$C$17:$AF$25,27,0)&amp;Sprache!$E$109&amp;(VLOOKUP($C21,Calc1!$C$17:$AF$25,27,0)-$F21))</f>
        <v/>
      </c>
      <c r="F21" s="112" t="str">
        <f ca="1">IF($C21="","",VLOOKUP($C21,Calc1!$C$17:$AC$25,26,0))</f>
        <v/>
      </c>
      <c r="G21" s="152" t="str">
        <f ca="1">IF(C21="","",VLOOKUP(C21,Calc1!$C$17:$AB$25,23,0))</f>
        <v/>
      </c>
      <c r="H21" s="136" t="str">
        <f ca="1">IFERROR(VLOOKUP($C21&amp;H$16,Calc1!$Z$64:$AB$207,3,0),"")</f>
        <v/>
      </c>
      <c r="I21" s="112" t="str">
        <f ca="1">IFERROR(VLOOKUP($C21&amp;I$16,Calc1!$Z$64:$AB$207,3,0),"")</f>
        <v/>
      </c>
      <c r="J21" s="112" t="str">
        <f ca="1">IFERROR(VLOOKUP($C21&amp;J$16,Calc1!$Z$64:$AB$207,3,0),"")</f>
        <v/>
      </c>
      <c r="K21" s="112" t="str">
        <f ca="1">IFERROR(VLOOKUP($C21&amp;K$16,Calc1!$Z$64:$AB$207,3,0),"")</f>
        <v/>
      </c>
      <c r="L21" s="121"/>
      <c r="M21" s="156" t="str">
        <f ca="1">IFERROR(VLOOKUP($C21&amp;M$16,Calc1!$Z$64:$AB$207,3,0),"")</f>
        <v/>
      </c>
      <c r="N21" s="184" t="str">
        <f t="shared" ca="1" si="1"/>
        <v/>
      </c>
    </row>
    <row r="22" spans="2:14" ht="21.95" customHeight="1" thickBot="1" x14ac:dyDescent="0.25">
      <c r="B22" s="116" t="str">
        <f ca="1">IF($C22="","",INDEX(Vorrunde!$W$12:$W$47,MATCH($C22,Vorrunde!$X$12:$X$47,0)))</f>
        <v/>
      </c>
      <c r="C22" s="125" t="str">
        <f ca="1">IF(Calc1!$K$13=0,"",Calc1!$AC9)</f>
        <v/>
      </c>
      <c r="D22" s="129" t="str">
        <f ca="1">IF($C22="","",VLOOKUP($C22,Calc1!$C$17:$AC$25,25,0))</f>
        <v/>
      </c>
      <c r="E22" s="789" t="str">
        <f ca="1">IF($C22="","",VLOOKUP($C22,Calc1!$C$17:$AF$25,27,0)&amp;Sprache!$E$109&amp;(VLOOKUP($C22,Calc1!$C$17:$AF$25,27,0)-$F22))</f>
        <v/>
      </c>
      <c r="F22" s="113" t="str">
        <f ca="1">IF($C22="","",VLOOKUP($C22,Calc1!$C$17:$AC$25,26,0))</f>
        <v/>
      </c>
      <c r="G22" s="153" t="str">
        <f ca="1">IF(C22="","",VLOOKUP(C22,Calc1!$C$17:$AB$25,23,0))</f>
        <v/>
      </c>
      <c r="H22" s="137" t="str">
        <f ca="1">IFERROR(VLOOKUP($C22&amp;H$16,Calc1!$Z$64:$AB$207,3,0),"")</f>
        <v/>
      </c>
      <c r="I22" s="113" t="str">
        <f ca="1">IFERROR(VLOOKUP($C22&amp;I$16,Calc1!$Z$64:$AB$207,3,0),"")</f>
        <v/>
      </c>
      <c r="J22" s="113" t="str">
        <f ca="1">IFERROR(VLOOKUP($C22&amp;J$16,Calc1!$Z$64:$AB$207,3,0),"")</f>
        <v/>
      </c>
      <c r="K22" s="113" t="str">
        <f ca="1">IFERROR(VLOOKUP($C22&amp;K$16,Calc1!$Z$64:$AB$207,3,0),"")</f>
        <v/>
      </c>
      <c r="L22" s="113" t="str">
        <f ca="1">IFERROR(VLOOKUP($C22&amp;L$16,Calc1!$Z$64:$AB$207,3,0),"")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IF(LEN(H25)&gt;Einstellungen!$C$33,LEFT(H25,Einstellungen!$C$33)&amp;".",H25)</f>
        <v/>
      </c>
      <c r="I24" s="148" t="str">
        <f ca="1">IF(LEN(I25)&gt;Einstellungen!$C$33,LEFT(I25,Einstellungen!$C$33)&amp;".",I25)</f>
        <v/>
      </c>
      <c r="J24" s="148" t="str">
        <f ca="1">IF(LEN(J25)&gt;Einstellungen!$C$33,LEFT(J25,Einstellungen!$C$33)&amp;".",J25)</f>
        <v/>
      </c>
      <c r="K24" s="148" t="str">
        <f ca="1">IF(LEN(K25)&gt;Einstellungen!$C$33,LEFT(K25,Einstellungen!$C$33)&amp;".",K25)</f>
        <v/>
      </c>
      <c r="L24" s="148" t="str">
        <f ca="1">IF(LEN(L25)&gt;Einstellungen!$C$33,LEFT(L25,Einstellungen!$C$33)&amp;".",L25)</f>
        <v/>
      </c>
      <c r="M24" s="149" t="str">
        <f ca="1">IF(LEN(M25)&gt;Einstellungen!$C$33,LEFT(M25,Einstellungen!$C$33)&amp;".",M25)</f>
        <v/>
      </c>
    </row>
    <row r="25" spans="2:14" ht="21.95" customHeight="1" thickTop="1" thickBot="1" x14ac:dyDescent="0.25">
      <c r="B25" s="117"/>
      <c r="C25" s="122" t="str">
        <f>Sprache!$E$10</f>
        <v>Teilnehmer bzw. Mannschaft</v>
      </c>
      <c r="D25" s="126" t="str">
        <f>Sprache!$E$91</f>
        <v>Satzpkt.</v>
      </c>
      <c r="E25" s="126" t="str">
        <f>Sprache!$E$74</f>
        <v>Bälle</v>
      </c>
      <c r="F25" s="114" t="str">
        <f>Sprache!$E$26</f>
        <v>Diff.</v>
      </c>
      <c r="G25" s="150" t="str">
        <f>Sprache!$E$49</f>
        <v>Tie-Break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IF($C26="","",INDEX(Vorrunde!$W$12:$W$47,MATCH($C26,Vorrunde!$X$12:$X$47,0)))</f>
        <v/>
      </c>
      <c r="C26" s="123" t="str">
        <f ca="1">IF(Calc1!$K$13=0,"",Calc1!$AH4)</f>
        <v/>
      </c>
      <c r="D26" s="127" t="str">
        <f ca="1">IF($C26="","",VLOOKUP($C26,Calc1!$C$17:$AC$25,25,0))</f>
        <v/>
      </c>
      <c r="E26" s="787" t="str">
        <f ca="1">IF($C26="","",VLOOKUP($C26,Calc1!$C$17:$AF$25,27,0)&amp;Sprache!$E$109&amp;(VLOOKUP($C26,Calc1!$C$17:$AF$25,27,0)-$F26))</f>
        <v/>
      </c>
      <c r="F26" s="111" t="str">
        <f ca="1">IF($C26="","",VLOOKUP($C26,Calc1!$C$17:$AC$25,26,0))</f>
        <v/>
      </c>
      <c r="G26" s="151" t="str">
        <f ca="1">IF(C26="","",VLOOKUP(C26,Calc1!$C$17:$AB$25,23,0))</f>
        <v/>
      </c>
      <c r="H26" s="135"/>
      <c r="I26" s="111" t="str">
        <f ca="1">IFERROR(VLOOKUP($C26&amp;I$25,Calc1!$Z$64:$AB$207,3,0),"")</f>
        <v/>
      </c>
      <c r="J26" s="111" t="str">
        <f ca="1">IFERROR(VLOOKUP($C26&amp;J$25,Calc1!$Z$64:$AB$207,3,0),"")</f>
        <v/>
      </c>
      <c r="K26" s="111" t="str">
        <f ca="1">IFERROR(VLOOKUP($C26&amp;K$25,Calc1!$Z$64:$AB$207,3,0),"")</f>
        <v/>
      </c>
      <c r="L26" s="111" t="str">
        <f ca="1">IFERROR(VLOOKUP($C26&amp;L$25,Calc1!$Z$64:$AB$207,3,0),"")</f>
        <v/>
      </c>
      <c r="M26" s="155" t="str">
        <f ca="1">IFERROR(VLOOKUP($C26&amp;M$25,Calc1!$Z$64:$AB$207,3,0),"")</f>
        <v/>
      </c>
      <c r="N26" s="183" t="str">
        <f t="shared" ref="N26:N31" ca="1" si="2">C26</f>
        <v/>
      </c>
    </row>
    <row r="27" spans="2:14" ht="21.95" customHeight="1" x14ac:dyDescent="0.2">
      <c r="B27" s="115" t="str">
        <f ca="1">IF($C27="","",INDEX(Vorrunde!$W$12:$W$47,MATCH($C27,Vorrunde!$X$12:$X$47,0)))</f>
        <v/>
      </c>
      <c r="C27" s="124" t="str">
        <f ca="1">IF(Calc1!$K$13=0,"",Calc1!$AH5)</f>
        <v/>
      </c>
      <c r="D27" s="128" t="str">
        <f ca="1">IF($C27="","",VLOOKUP($C27,Calc1!$C$17:$AC$25,25,0))</f>
        <v/>
      </c>
      <c r="E27" s="788" t="str">
        <f ca="1">IF($C27="","",VLOOKUP($C27,Calc1!$C$17:$AF$25,27,0)&amp;Sprache!$E$109&amp;(VLOOKUP($C27,Calc1!$C$17:$AF$25,27,0)-$F27))</f>
        <v/>
      </c>
      <c r="F27" s="112" t="str">
        <f ca="1">IF($C27="","",VLOOKUP($C27,Calc1!$C$17:$AC$25,26,0))</f>
        <v/>
      </c>
      <c r="G27" s="152" t="str">
        <f ca="1">IF(C27="","",VLOOKUP(C27,Calc1!$C$17:$AB$25,23,0))</f>
        <v/>
      </c>
      <c r="H27" s="136" t="str">
        <f ca="1">IFERROR(VLOOKUP($C27&amp;H$25,Calc1!$Z$64:$AB$207,3,0),"")</f>
        <v/>
      </c>
      <c r="I27" s="121"/>
      <c r="J27" s="112" t="str">
        <f ca="1">IFERROR(VLOOKUP($C27&amp;J$25,Calc1!$Z$64:$AB$207,3,0),"")</f>
        <v/>
      </c>
      <c r="K27" s="112" t="str">
        <f ca="1">IFERROR(VLOOKUP($C27&amp;K$25,Calc1!$Z$64:$AB$207,3,0),"")</f>
        <v/>
      </c>
      <c r="L27" s="112" t="str">
        <f ca="1">IFERROR(VLOOKUP($C27&amp;L$25,Calc1!$Z$64:$AB$207,3,0),"")</f>
        <v/>
      </c>
      <c r="M27" s="156" t="str">
        <f ca="1">IFERROR(VLOOKUP($C27&amp;M$25,Calc1!$Z$64:$AB$207,3,0),"")</f>
        <v/>
      </c>
      <c r="N27" s="184" t="str">
        <f t="shared" ca="1" si="2"/>
        <v/>
      </c>
    </row>
    <row r="28" spans="2:14" ht="21.95" customHeight="1" x14ac:dyDescent="0.2">
      <c r="B28" s="115" t="str">
        <f ca="1">IF($C28="","",INDEX(Vorrunde!$W$12:$W$47,MATCH($C28,Vorrunde!$X$12:$X$47,0)))</f>
        <v/>
      </c>
      <c r="C28" s="124" t="str">
        <f ca="1">IF(Calc1!$K$13=0,"",Calc1!$AH6)</f>
        <v/>
      </c>
      <c r="D28" s="128" t="str">
        <f ca="1">IF($C28="","",VLOOKUP($C28,Calc1!$C$17:$AC$25,25,0))</f>
        <v/>
      </c>
      <c r="E28" s="788" t="str">
        <f ca="1">IF($C28="","",VLOOKUP($C28,Calc1!$C$17:$AF$25,27,0)&amp;Sprache!$E$109&amp;(VLOOKUP($C28,Calc1!$C$17:$AF$25,27,0)-$F28))</f>
        <v/>
      </c>
      <c r="F28" s="112" t="str">
        <f ca="1">IF($C28="","",VLOOKUP($C28,Calc1!$C$17:$AC$25,26,0))</f>
        <v/>
      </c>
      <c r="G28" s="152" t="str">
        <f ca="1">IF(C28="","",VLOOKUP(C28,Calc1!$C$17:$AB$25,23,0))</f>
        <v/>
      </c>
      <c r="H28" s="136" t="str">
        <f ca="1">IFERROR(VLOOKUP($C28&amp;H$25,Calc1!$Z$64:$AB$207,3,0),"")</f>
        <v/>
      </c>
      <c r="I28" s="112" t="str">
        <f ca="1">IFERROR(VLOOKUP($C28&amp;I$25,Calc1!$Z$64:$AB$207,3,0),"")</f>
        <v/>
      </c>
      <c r="J28" s="121"/>
      <c r="K28" s="112" t="str">
        <f ca="1">IFERROR(VLOOKUP($C28&amp;K$25,Calc1!$Z$64:$AB$207,3,0),"")</f>
        <v/>
      </c>
      <c r="L28" s="112" t="str">
        <f ca="1">IFERROR(VLOOKUP($C28&amp;L$25,Calc1!$Z$64:$AB$207,3,0),"")</f>
        <v/>
      </c>
      <c r="M28" s="156" t="str">
        <f ca="1">IFERROR(VLOOKUP($C28&amp;M$25,Calc1!$Z$64:$AB$207,3,0),"")</f>
        <v/>
      </c>
      <c r="N28" s="184" t="str">
        <f t="shared" ca="1" si="2"/>
        <v/>
      </c>
    </row>
    <row r="29" spans="2:14" ht="21.95" customHeight="1" x14ac:dyDescent="0.2">
      <c r="B29" s="115" t="str">
        <f ca="1">IF($C29="","",INDEX(Vorrunde!$W$12:$W$47,MATCH($C29,Vorrunde!$X$12:$X$47,0)))</f>
        <v/>
      </c>
      <c r="C29" s="124" t="str">
        <f ca="1">IF(Calc1!$K$13=0,"",Calc1!$AH7)</f>
        <v/>
      </c>
      <c r="D29" s="128" t="str">
        <f ca="1">IF($C29="","",VLOOKUP($C29,Calc1!$C$17:$AC$25,25,0))</f>
        <v/>
      </c>
      <c r="E29" s="788" t="str">
        <f ca="1">IF($C29="","",VLOOKUP($C29,Calc1!$C$17:$AF$25,27,0)&amp;Sprache!$E$109&amp;(VLOOKUP($C29,Calc1!$C$17:$AF$25,27,0)-$F29))</f>
        <v/>
      </c>
      <c r="F29" s="112" t="str">
        <f ca="1">IF($C29="","",VLOOKUP($C29,Calc1!$C$17:$AC$25,26,0))</f>
        <v/>
      </c>
      <c r="G29" s="152" t="str">
        <f ca="1">IF(C29="","",VLOOKUP(C29,Calc1!$C$17:$AB$25,23,0))</f>
        <v/>
      </c>
      <c r="H29" s="136" t="str">
        <f ca="1">IFERROR(VLOOKUP($C29&amp;H$25,Calc1!$Z$64:$AB$207,3,0),"")</f>
        <v/>
      </c>
      <c r="I29" s="112" t="str">
        <f ca="1">IFERROR(VLOOKUP($C29&amp;I$25,Calc1!$Z$64:$AB$207,3,0),"")</f>
        <v/>
      </c>
      <c r="J29" s="112" t="str">
        <f ca="1">IFERROR(VLOOKUP($C29&amp;J$25,Calc1!$Z$64:$AB$207,3,0),"")</f>
        <v/>
      </c>
      <c r="K29" s="121"/>
      <c r="L29" s="112" t="str">
        <f ca="1">IFERROR(VLOOKUP($C29&amp;L$25,Calc1!$Z$64:$AB$207,3,0),"")</f>
        <v/>
      </c>
      <c r="M29" s="156" t="str">
        <f ca="1">IFERROR(VLOOKUP($C29&amp;M$25,Calc1!$Z$64:$AB$207,3,0),"")</f>
        <v/>
      </c>
      <c r="N29" s="184" t="str">
        <f t="shared" ca="1" si="2"/>
        <v/>
      </c>
    </row>
    <row r="30" spans="2:14" ht="21.95" customHeight="1" x14ac:dyDescent="0.2">
      <c r="B30" s="115" t="str">
        <f ca="1">IF($C30="","",INDEX(Vorrunde!$W$12:$W$47,MATCH($C30,Vorrunde!$X$12:$X$47,0)))</f>
        <v/>
      </c>
      <c r="C30" s="124" t="str">
        <f ca="1">IF(Calc1!$K$13=0,"",Calc1!$AH8)</f>
        <v/>
      </c>
      <c r="D30" s="128" t="str">
        <f ca="1">IF($C30="","",VLOOKUP($C30,Calc1!$C$17:$AC$25,25,0))</f>
        <v/>
      </c>
      <c r="E30" s="788" t="str">
        <f ca="1">IF($C30="","",VLOOKUP($C30,Calc1!$C$17:$AF$25,27,0)&amp;Sprache!$E$109&amp;(VLOOKUP($C30,Calc1!$C$17:$AF$25,27,0)-$F30))</f>
        <v/>
      </c>
      <c r="F30" s="112" t="str">
        <f ca="1">IF($C30="","",VLOOKUP($C30,Calc1!$C$17:$AC$25,26,0))</f>
        <v/>
      </c>
      <c r="G30" s="152" t="str">
        <f ca="1">IF(C30="","",VLOOKUP(C30,Calc1!$C$17:$AB$25,23,0))</f>
        <v/>
      </c>
      <c r="H30" s="136" t="str">
        <f ca="1">IFERROR(VLOOKUP($C30&amp;H$25,Calc1!$Z$64:$AB$207,3,0),"")</f>
        <v/>
      </c>
      <c r="I30" s="112" t="str">
        <f ca="1">IFERROR(VLOOKUP($C30&amp;I$25,Calc1!$Z$64:$AB$207,3,0),"")</f>
        <v/>
      </c>
      <c r="J30" s="112" t="str">
        <f ca="1">IFERROR(VLOOKUP($C30&amp;J$25,Calc1!$Z$64:$AB$207,3,0),"")</f>
        <v/>
      </c>
      <c r="K30" s="112" t="str">
        <f ca="1">IFERROR(VLOOKUP($C30&amp;K$25,Calc1!$Z$64:$AB$207,3,0),"")</f>
        <v/>
      </c>
      <c r="L30" s="121"/>
      <c r="M30" s="156" t="str">
        <f ca="1">IFERROR(VLOOKUP($C30&amp;M$25,Calc1!$Z$64:$AB$207,3,0),"")</f>
        <v/>
      </c>
      <c r="N30" s="184" t="str">
        <f t="shared" ca="1" si="2"/>
        <v/>
      </c>
    </row>
    <row r="31" spans="2:14" ht="21.95" customHeight="1" thickBot="1" x14ac:dyDescent="0.25">
      <c r="B31" s="116" t="str">
        <f ca="1">IF($C31="","",INDEX(Vorrunde!$W$12:$W$47,MATCH($C31,Vorrunde!$X$12:$X$47,0)))</f>
        <v/>
      </c>
      <c r="C31" s="125" t="str">
        <f ca="1">IF(Calc1!$K$13=0,"",Calc1!$AH9)</f>
        <v/>
      </c>
      <c r="D31" s="129" t="str">
        <f ca="1">IF($C31="","",VLOOKUP($C31,Calc1!$C$17:$AC$25,25,0))</f>
        <v/>
      </c>
      <c r="E31" s="789" t="str">
        <f ca="1">IF($C31="","",VLOOKUP($C31,Calc1!$C$17:$AF$25,27,0)&amp;Sprache!$E$109&amp;(VLOOKUP($C31,Calc1!$C$17:$AF$25,27,0)-$F31))</f>
        <v/>
      </c>
      <c r="F31" s="113" t="str">
        <f ca="1">IF($C31="","",VLOOKUP($C31,Calc1!$C$17:$AC$25,26,0))</f>
        <v/>
      </c>
      <c r="G31" s="153" t="str">
        <f ca="1">IF(C31="","",VLOOKUP(C31,Calc1!$C$17:$AB$25,23,0))</f>
        <v/>
      </c>
      <c r="H31" s="137" t="str">
        <f ca="1">IFERROR(VLOOKUP($C31&amp;H$25,Calc1!$Z$64:$AB$207,3,0),"")</f>
        <v/>
      </c>
      <c r="I31" s="113" t="str">
        <f ca="1">IFERROR(VLOOKUP($C31&amp;I$25,Calc1!$Z$64:$AB$207,3,0),"")</f>
        <v/>
      </c>
      <c r="J31" s="113" t="str">
        <f ca="1">IFERROR(VLOOKUP($C31&amp;J$25,Calc1!$Z$64:$AB$207,3,0),"")</f>
        <v/>
      </c>
      <c r="K31" s="113" t="str">
        <f ca="1">IFERROR(VLOOKUP($C31&amp;K$25,Calc1!$Z$64:$AB$207,3,0),"")</f>
        <v/>
      </c>
      <c r="L31" s="113" t="str">
        <f ca="1">IFERROR(VLOOKUP($C31&amp;L$25,Calc1!$Z$64:$AB$207,3,0),"")</f>
        <v/>
      </c>
      <c r="M31" s="157"/>
      <c r="N31" s="185" t="str">
        <f t="shared" ca="1" si="2"/>
        <v/>
      </c>
    </row>
    <row r="32" spans="2:14" ht="42.75" customHeight="1" thickTop="1" thickBot="1" x14ac:dyDescent="0.25"/>
    <row r="33" spans="2:14" ht="21.95" customHeight="1" thickBot="1" x14ac:dyDescent="0.25">
      <c r="H33" s="147" t="str">
        <f ca="1">IF(LEN(H34)&gt;Einstellungen!$C$33,LEFT(H34,Einstellungen!$C$33)&amp;".",H34)</f>
        <v/>
      </c>
      <c r="I33" s="148" t="str">
        <f ca="1">IF(LEN(I34)&gt;Einstellungen!$C$33,LEFT(I34,Einstellungen!$C$33)&amp;".",I34)</f>
        <v/>
      </c>
      <c r="J33" s="148" t="str">
        <f ca="1">IF(LEN(J34)&gt;Einstellungen!$C$33,LEFT(J34,Einstellungen!$C$33)&amp;".",J34)</f>
        <v/>
      </c>
      <c r="K33" s="148" t="str">
        <f ca="1">IF(LEN(K34)&gt;Einstellungen!$C$33,LEFT(K34,Einstellungen!$C$33)&amp;".",K34)</f>
        <v/>
      </c>
      <c r="L33" s="148" t="str">
        <f ca="1">IF(LEN(L34)&gt;Einstellungen!$C$33,LEFT(L34,Einstellungen!$C$33)&amp;".",L34)</f>
        <v/>
      </c>
      <c r="M33" s="149" t="str">
        <f ca="1">IF(LEN(M34)&gt;Einstellungen!$C$33,LEFT(M34,Einstellungen!$C$33)&amp;".",M34)</f>
        <v/>
      </c>
    </row>
    <row r="34" spans="2:14" ht="21.95" customHeight="1" thickTop="1" thickBot="1" x14ac:dyDescent="0.25">
      <c r="B34" s="117"/>
      <c r="C34" s="122" t="str">
        <f>Sprache!$E$10</f>
        <v>Teilnehmer bzw. Mannschaft</v>
      </c>
      <c r="D34" s="126" t="str">
        <f>Sprache!$E$91</f>
        <v>Satzpkt.</v>
      </c>
      <c r="E34" s="126" t="str">
        <f>Sprache!$E$74</f>
        <v>Bälle</v>
      </c>
      <c r="F34" s="114" t="str">
        <f>Sprache!$E$26</f>
        <v>Diff.</v>
      </c>
      <c r="G34" s="150" t="str">
        <f>Sprache!$E$49</f>
        <v>Tie-Break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IF($C35="","",INDEX(Vorrunde!$W$12:$W$47,MATCH($C35,Vorrunde!$X$12:$X$47,0)))</f>
        <v/>
      </c>
      <c r="C35" s="123" t="str">
        <f ca="1">IF(Calc1!$K$13=0,"",Calc1!$AM4)</f>
        <v/>
      </c>
      <c r="D35" s="127" t="str">
        <f ca="1">IF($C35="","",VLOOKUP($C35,Calc1!$C$17:$AC$25,25,0))</f>
        <v/>
      </c>
      <c r="E35" s="787" t="str">
        <f ca="1">IF($C35="","",VLOOKUP($C35,Calc1!$C$17:$AF$25,27,0)&amp;Sprache!$E$109&amp;(VLOOKUP($C35,Calc1!$C$17:$AF$25,27,0)-$F35))</f>
        <v/>
      </c>
      <c r="F35" s="111" t="str">
        <f ca="1">IF($C35="","",VLOOKUP($C35,Calc1!$C$17:$AC$25,26,0))</f>
        <v/>
      </c>
      <c r="G35" s="151" t="str">
        <f ca="1">IF(C35="","",VLOOKUP(C35,Calc1!$C$17:$AB$25,23,0))</f>
        <v/>
      </c>
      <c r="H35" s="135"/>
      <c r="I35" s="111" t="str">
        <f ca="1">IFERROR(VLOOKUP($C35&amp;I$34,Calc1!$Z$64:$AB$207,3,0),"")</f>
        <v/>
      </c>
      <c r="J35" s="111" t="str">
        <f ca="1">IFERROR(VLOOKUP($C35&amp;J$34,Calc1!$Z$64:$AB$207,3,0),"")</f>
        <v/>
      </c>
      <c r="K35" s="111" t="str">
        <f ca="1">IFERROR(VLOOKUP($C35&amp;K$34,Calc1!$Z$64:$AB$207,3,0),"")</f>
        <v/>
      </c>
      <c r="L35" s="111" t="str">
        <f ca="1">IFERROR(VLOOKUP($C35&amp;L$34,Calc1!$Z$64:$AB$207,3,0),"")</f>
        <v/>
      </c>
      <c r="M35" s="155" t="str">
        <f ca="1">IFERROR(VLOOKUP($C35&amp;M$34,Calc1!$Z$64:$AB$207,3,0),"")</f>
        <v/>
      </c>
      <c r="N35" s="183" t="str">
        <f t="shared" ref="N35:N40" ca="1" si="3">C35</f>
        <v/>
      </c>
    </row>
    <row r="36" spans="2:14" ht="21.95" customHeight="1" x14ac:dyDescent="0.2">
      <c r="B36" s="115" t="str">
        <f ca="1">IF($C36="","",INDEX(Vorrunde!$W$12:$W$47,MATCH($C36,Vorrunde!$X$12:$X$47,0)))</f>
        <v/>
      </c>
      <c r="C36" s="124" t="str">
        <f ca="1">IF(Calc1!$K$13=0,"",Calc1!$AM5)</f>
        <v/>
      </c>
      <c r="D36" s="128" t="str">
        <f ca="1">IF($C36="","",VLOOKUP($C36,Calc1!$C$17:$AC$25,25,0))</f>
        <v/>
      </c>
      <c r="E36" s="788" t="str">
        <f ca="1">IF($C36="","",VLOOKUP($C36,Calc1!$C$17:$AF$25,27,0)&amp;Sprache!$E$109&amp;(VLOOKUP($C36,Calc1!$C$17:$AF$25,27,0)-$F36))</f>
        <v/>
      </c>
      <c r="F36" s="112" t="str">
        <f ca="1">IF($C36="","",VLOOKUP($C36,Calc1!$C$17:$AC$25,26,0))</f>
        <v/>
      </c>
      <c r="G36" s="152" t="str">
        <f ca="1">IF(C36="","",VLOOKUP(C36,Calc1!$C$17:$AB$25,23,0))</f>
        <v/>
      </c>
      <c r="H36" s="136" t="str">
        <f ca="1">IFERROR(VLOOKUP($C36&amp;H$34,Calc1!$Z$64:$AB$207,3,0),"")</f>
        <v/>
      </c>
      <c r="I36" s="121"/>
      <c r="J36" s="112" t="str">
        <f ca="1">IFERROR(VLOOKUP($C36&amp;J$34,Calc1!$Z$64:$AB$207,3,0),"")</f>
        <v/>
      </c>
      <c r="K36" s="112" t="str">
        <f ca="1">IFERROR(VLOOKUP($C36&amp;K$34,Calc1!$Z$64:$AB$207,3,0),"")</f>
        <v/>
      </c>
      <c r="L36" s="112" t="str">
        <f ca="1">IFERROR(VLOOKUP($C36&amp;L$34,Calc1!$Z$64:$AB$207,3,0),"")</f>
        <v/>
      </c>
      <c r="M36" s="156" t="str">
        <f ca="1">IFERROR(VLOOKUP($C36&amp;M$34,Calc1!$Z$64:$AB$207,3,0),"")</f>
        <v/>
      </c>
      <c r="N36" s="184" t="str">
        <f t="shared" ca="1" si="3"/>
        <v/>
      </c>
    </row>
    <row r="37" spans="2:14" ht="21.95" customHeight="1" x14ac:dyDescent="0.2">
      <c r="B37" s="115" t="str">
        <f ca="1">IF($C37="","",INDEX(Vorrunde!$W$12:$W$47,MATCH($C37,Vorrunde!$X$12:$X$47,0)))</f>
        <v/>
      </c>
      <c r="C37" s="124" t="str">
        <f ca="1">IF(Calc1!$K$13=0,"",Calc1!$AM6)</f>
        <v/>
      </c>
      <c r="D37" s="128" t="str">
        <f ca="1">IF($C37="","",VLOOKUP($C37,Calc1!$C$17:$AC$25,25,0))</f>
        <v/>
      </c>
      <c r="E37" s="788" t="str">
        <f ca="1">IF($C37="","",VLOOKUP($C37,Calc1!$C$17:$AF$25,27,0)&amp;Sprache!$E$109&amp;(VLOOKUP($C37,Calc1!$C$17:$AF$25,27,0)-$F37))</f>
        <v/>
      </c>
      <c r="F37" s="112" t="str">
        <f ca="1">IF($C37="","",VLOOKUP($C37,Calc1!$C$17:$AC$25,26,0))</f>
        <v/>
      </c>
      <c r="G37" s="152" t="str">
        <f ca="1">IF(C37="","",VLOOKUP(C37,Calc1!$C$17:$AB$25,23,0))</f>
        <v/>
      </c>
      <c r="H37" s="136" t="str">
        <f ca="1">IFERROR(VLOOKUP($C37&amp;H$34,Calc1!$Z$64:$AB$207,3,0),"")</f>
        <v/>
      </c>
      <c r="I37" s="112" t="str">
        <f ca="1">IFERROR(VLOOKUP($C37&amp;I$34,Calc1!$Z$64:$AB$207,3,0),"")</f>
        <v/>
      </c>
      <c r="J37" s="121"/>
      <c r="K37" s="112" t="str">
        <f ca="1">IFERROR(VLOOKUP($C37&amp;K$34,Calc1!$Z$64:$AB$207,3,0),"")</f>
        <v/>
      </c>
      <c r="L37" s="112" t="str">
        <f ca="1">IFERROR(VLOOKUP($C37&amp;L$34,Calc1!$Z$64:$AB$207,3,0),"")</f>
        <v/>
      </c>
      <c r="M37" s="156" t="str">
        <f ca="1">IFERROR(VLOOKUP($C37&amp;M$34,Calc1!$Z$64:$AB$207,3,0),"")</f>
        <v/>
      </c>
      <c r="N37" s="184" t="str">
        <f t="shared" ca="1" si="3"/>
        <v/>
      </c>
    </row>
    <row r="38" spans="2:14" ht="21.95" customHeight="1" x14ac:dyDescent="0.2">
      <c r="B38" s="115" t="str">
        <f ca="1">IF($C38="","",INDEX(Vorrunde!$W$12:$W$47,MATCH($C38,Vorrunde!$X$12:$X$47,0)))</f>
        <v/>
      </c>
      <c r="C38" s="124" t="str">
        <f ca="1">IF(Calc1!$K$13=0,"",Calc1!$AM7)</f>
        <v/>
      </c>
      <c r="D38" s="128" t="str">
        <f ca="1">IF($C38="","",VLOOKUP($C38,Calc1!$C$17:$AC$25,25,0))</f>
        <v/>
      </c>
      <c r="E38" s="788" t="str">
        <f ca="1">IF($C38="","",VLOOKUP($C38,Calc1!$C$17:$AF$25,27,0)&amp;Sprache!$E$109&amp;(VLOOKUP($C38,Calc1!$C$17:$AF$25,27,0)-$F38))</f>
        <v/>
      </c>
      <c r="F38" s="112" t="str">
        <f ca="1">IF($C38="","",VLOOKUP($C38,Calc1!$C$17:$AC$25,26,0))</f>
        <v/>
      </c>
      <c r="G38" s="152" t="str">
        <f ca="1">IF(C38="","",VLOOKUP(C38,Calc1!$C$17:$AB$25,23,0))</f>
        <v/>
      </c>
      <c r="H38" s="136" t="str">
        <f ca="1">IFERROR(VLOOKUP($C38&amp;H$34,Calc1!$Z$64:$AB$207,3,0),"")</f>
        <v/>
      </c>
      <c r="I38" s="112" t="str">
        <f ca="1">IFERROR(VLOOKUP($C38&amp;I$34,Calc1!$Z$64:$AB$207,3,0),"")</f>
        <v/>
      </c>
      <c r="J38" s="112" t="str">
        <f ca="1">IFERROR(VLOOKUP($C38&amp;J$34,Calc1!$Z$64:$AB$207,3,0),"")</f>
        <v/>
      </c>
      <c r="K38" s="121"/>
      <c r="L38" s="112" t="str">
        <f ca="1">IFERROR(VLOOKUP($C38&amp;L$34,Calc1!$Z$64:$AB$207,3,0),"")</f>
        <v/>
      </c>
      <c r="M38" s="156" t="str">
        <f ca="1">IFERROR(VLOOKUP($C38&amp;M$34,Calc1!$Z$64:$AB$207,3,0),"")</f>
        <v/>
      </c>
      <c r="N38" s="184" t="str">
        <f t="shared" ca="1" si="3"/>
        <v/>
      </c>
    </row>
    <row r="39" spans="2:14" ht="21.95" customHeight="1" x14ac:dyDescent="0.2">
      <c r="B39" s="115" t="str">
        <f ca="1">IF($C39="","",INDEX(Vorrunde!$W$12:$W$47,MATCH($C39,Vorrunde!$X$12:$X$47,0)))</f>
        <v/>
      </c>
      <c r="C39" s="124" t="str">
        <f ca="1">IF(Calc1!$K$13=0,"",Calc1!$AM8)</f>
        <v/>
      </c>
      <c r="D39" s="128" t="str">
        <f ca="1">IF($C39="","",VLOOKUP($C39,Calc1!$C$17:$AC$25,25,0))</f>
        <v/>
      </c>
      <c r="E39" s="788" t="str">
        <f ca="1">IF($C39="","",VLOOKUP($C39,Calc1!$C$17:$AF$25,27,0)&amp;Sprache!$E$109&amp;(VLOOKUP($C39,Calc1!$C$17:$AF$25,27,0)-$F39))</f>
        <v/>
      </c>
      <c r="F39" s="112" t="str">
        <f ca="1">IF($C39="","",VLOOKUP($C39,Calc1!$C$17:$AC$25,26,0))</f>
        <v/>
      </c>
      <c r="G39" s="152" t="str">
        <f ca="1">IF(C39="","",VLOOKUP(C39,Calc1!$C$17:$AB$25,23,0))</f>
        <v/>
      </c>
      <c r="H39" s="136" t="str">
        <f ca="1">IFERROR(VLOOKUP($C39&amp;H$34,Calc1!$Z$64:$AB$207,3,0),"")</f>
        <v/>
      </c>
      <c r="I39" s="112" t="str">
        <f ca="1">IFERROR(VLOOKUP($C39&amp;I$34,Calc1!$Z$64:$AB$207,3,0),"")</f>
        <v/>
      </c>
      <c r="J39" s="112" t="str">
        <f ca="1">IFERROR(VLOOKUP($C39&amp;J$34,Calc1!$Z$64:$AB$207,3,0),"")</f>
        <v/>
      </c>
      <c r="K39" s="112" t="str">
        <f ca="1">IFERROR(VLOOKUP($C39&amp;K$34,Calc1!$Z$64:$AB$207,3,0),"")</f>
        <v/>
      </c>
      <c r="L39" s="121"/>
      <c r="M39" s="156" t="str">
        <f ca="1">IFERROR(VLOOKUP($C39&amp;M$34,Calc1!$Z$64:$AB$207,3,0),"")</f>
        <v/>
      </c>
      <c r="N39" s="184" t="str">
        <f t="shared" ca="1" si="3"/>
        <v/>
      </c>
    </row>
    <row r="40" spans="2:14" ht="21.95" customHeight="1" thickBot="1" x14ac:dyDescent="0.25">
      <c r="B40" s="116" t="str">
        <f ca="1">IF($C40="","",INDEX(Vorrunde!$W$12:$W$47,MATCH($C40,Vorrunde!$X$12:$X$47,0)))</f>
        <v/>
      </c>
      <c r="C40" s="125" t="str">
        <f ca="1">IF(Calc1!$K$13=0,"",Calc1!$AM9)</f>
        <v/>
      </c>
      <c r="D40" s="129" t="str">
        <f ca="1">IF($C40="","",VLOOKUP($C40,Calc1!$C$17:$AC$25,25,0))</f>
        <v/>
      </c>
      <c r="E40" s="789" t="str">
        <f ca="1">IF($C40="","",VLOOKUP($C40,Calc1!$C$17:$AF$25,27,0)&amp;Sprache!$E$109&amp;(VLOOKUP($C40,Calc1!$C$17:$AF$25,27,0)-$F40))</f>
        <v/>
      </c>
      <c r="F40" s="113" t="str">
        <f ca="1">IF($C40="","",VLOOKUP($C40,Calc1!$C$17:$AC$25,26,0))</f>
        <v/>
      </c>
      <c r="G40" s="153" t="str">
        <f ca="1">IF(C40="","",VLOOKUP(C40,Calc1!$C$17:$AB$25,23,0))</f>
        <v/>
      </c>
      <c r="H40" s="137" t="str">
        <f ca="1">IFERROR(VLOOKUP($C40&amp;H$34,Calc1!$Z$64:$AB$207,3,0),"")</f>
        <v/>
      </c>
      <c r="I40" s="113" t="str">
        <f ca="1">IFERROR(VLOOKUP($C40&amp;I$34,Calc1!$Z$64:$AB$207,3,0),"")</f>
        <v/>
      </c>
      <c r="J40" s="113" t="str">
        <f ca="1">IFERROR(VLOOKUP($C40&amp;J$34,Calc1!$Z$64:$AB$207,3,0),"")</f>
        <v/>
      </c>
      <c r="K40" s="113" t="str">
        <f ca="1">IFERROR(VLOOKUP($C40&amp;K$34,Calc1!$Z$64:$AB$207,3,0),"")</f>
        <v/>
      </c>
      <c r="L40" s="113" t="str">
        <f ca="1">IFERROR(VLOOKUP($C40&amp;L$34,Calc1!$Z$64:$AB$207,3,0),"")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37747-73EC-4C65-B912-7C211C2B20A5}">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00" t="str">
        <f>Sprache!$E$7</f>
        <v>Direkte Vergleiche</v>
      </c>
      <c r="C2" s="1000"/>
      <c r="D2" s="1000"/>
      <c r="E2" s="1000"/>
      <c r="F2" s="1000"/>
      <c r="G2" s="1000"/>
      <c r="H2" s="1000"/>
      <c r="I2" s="1000"/>
      <c r="J2" s="1000"/>
      <c r="K2" s="1000"/>
      <c r="L2" s="1000"/>
      <c r="M2" s="1000"/>
    </row>
    <row r="3" spans="2:14" ht="42.75" customHeight="1" x14ac:dyDescent="0.2">
      <c r="B3" s="1001" t="str">
        <f>Sprache!$E$56&amp;" B"</f>
        <v>Vorrunde Gruppe B</v>
      </c>
      <c r="C3" s="1001"/>
      <c r="D3" s="1001"/>
      <c r="E3" s="1001"/>
      <c r="F3" s="1001"/>
      <c r="G3" s="1001"/>
      <c r="H3" s="1001"/>
      <c r="I3" s="1001"/>
      <c r="J3" s="1001"/>
      <c r="K3" s="1001"/>
      <c r="L3" s="1001"/>
      <c r="M3" s="1001"/>
    </row>
    <row r="4" spans="2:14" ht="17.25" customHeight="1" x14ac:dyDescent="0.2">
      <c r="B4" s="1002" t="str">
        <f>Sprache!$E$107</f>
        <v>Rote Schrift bedeutet, dass die Rangfolge auch mit dem direkten Vergleich nicht geklärt ist. Ein Entscheidungsspiel oder Los muss hier entscheiden.</v>
      </c>
      <c r="C4" s="1002"/>
      <c r="D4" s="1002"/>
      <c r="E4" s="1002"/>
      <c r="F4" s="1002"/>
      <c r="G4" s="1002"/>
      <c r="H4" s="1002"/>
      <c r="I4" s="1002"/>
      <c r="J4" s="1002"/>
      <c r="K4" s="1002"/>
      <c r="L4" s="1002"/>
      <c r="M4" s="1002"/>
      <c r="N4" s="1002"/>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IF(LEN(H7)&gt;Einstellungen!$C$33,LEFT(H7,Einstellungen!$C$33)&amp;".",H7)</f>
        <v>SSV Wil.</v>
      </c>
      <c r="I6" s="148" t="str">
        <f ca="1">IF(LEN(I7)&gt;Einstellungen!$C$33,LEFT(I7,Einstellungen!$C$33)&amp;".",I7)</f>
        <v>FC Grön.</v>
      </c>
      <c r="J6" s="148" t="str">
        <f ca="1">IF(LEN(J7)&gt;Einstellungen!$C$33,LEFT(J7,Einstellungen!$C$33)&amp;".",J7)</f>
        <v/>
      </c>
      <c r="K6" s="148" t="str">
        <f ca="1">IF(LEN(K7)&gt;Einstellungen!$C$33,LEFT(K7,Einstellungen!$C$33)&amp;".",K7)</f>
        <v/>
      </c>
      <c r="L6" s="148" t="str">
        <f ca="1">IF(LEN(L7)&gt;Einstellungen!$C$33,LEFT(L7,Einstellungen!$C$33)&amp;".",L7)</f>
        <v/>
      </c>
      <c r="M6" s="149" t="str">
        <f ca="1">IF(LEN(M7)&gt;Einstellungen!$C$33,LEFT(M7,Einstellungen!$C$33)&amp;".",M7)</f>
        <v/>
      </c>
    </row>
    <row r="7" spans="2:14" ht="21.95" customHeight="1" thickTop="1" thickBot="1" x14ac:dyDescent="0.25">
      <c r="B7" s="117"/>
      <c r="C7" s="122" t="str">
        <f>Sprache!$E$10</f>
        <v>Teilnehmer bzw. Mannschaft</v>
      </c>
      <c r="D7" s="126" t="str">
        <f>Sprache!$E$91</f>
        <v>Satzpkt.</v>
      </c>
      <c r="E7" s="126" t="str">
        <f>Sprache!$E$74</f>
        <v>Bälle</v>
      </c>
      <c r="F7" s="114" t="str">
        <f>Sprache!$E$26</f>
        <v>Diff.</v>
      </c>
      <c r="G7" s="150" t="str">
        <f>Sprache!$E$49</f>
        <v>Tie-Break</v>
      </c>
      <c r="H7" s="130" t="str">
        <f ca="1">C8</f>
        <v>SSV Wildbach</v>
      </c>
      <c r="I7" s="131" t="str">
        <f ca="1">C9</f>
        <v>FC Grönlingen</v>
      </c>
      <c r="J7" s="131" t="str">
        <f ca="1">C10</f>
        <v/>
      </c>
      <c r="K7" s="131" t="str">
        <f ca="1">C11</f>
        <v/>
      </c>
      <c r="L7" s="131" t="str">
        <f ca="1">C12</f>
        <v/>
      </c>
      <c r="M7" s="154" t="str">
        <f ca="1">C13</f>
        <v/>
      </c>
    </row>
    <row r="8" spans="2:14" ht="21.95" customHeight="1" x14ac:dyDescent="0.2">
      <c r="B8" s="115">
        <f ca="1">IF($C8="","",INDEX(Vorrunde!$W$12:$W$47,MATCH($C8,Vorrunde!$X$12:$X$47,0)))</f>
        <v>4</v>
      </c>
      <c r="C8" s="123" t="str">
        <f ca="1">IF(Calc2!$K$13=0,"",Calc2!$X4)</f>
        <v>SSV Wildbach</v>
      </c>
      <c r="D8" s="127">
        <f ca="1">IF($C8="","",VLOOKUP($C8,Calc2!$C$17:$AC$25,25,0))</f>
        <v>1</v>
      </c>
      <c r="E8" s="787" t="str">
        <f ca="1">IF($C8="","",VLOOKUP($C8,Calc2!$C$17:$AF$25,27,0)&amp;Sprache!$E$109&amp;(VLOOKUP($C8,Calc2!$C$17:$AF$25,27,0)-$F8))</f>
        <v>44 : 42</v>
      </c>
      <c r="F8" s="111">
        <f ca="1">IF($C8="","",VLOOKUP($C8,Calc2!$C$17:$AC$25,26,0))</f>
        <v>2</v>
      </c>
      <c r="G8" s="151">
        <f ca="1">IF(C8="","",VLOOKUP(C8,Calc2!$C$17:$AB$25,23,0))</f>
        <v>0</v>
      </c>
      <c r="H8" s="135"/>
      <c r="I8" s="111" t="str">
        <f ca="1">IFERROR(VLOOKUP($C8&amp;I$7,Calc2!$Z$64:$AB$207,3,0),"")</f>
        <v>44 : 42</v>
      </c>
      <c r="J8" s="111" t="str">
        <f ca="1">IFERROR(VLOOKUP($C8&amp;J$7,Calc2!$Z$64:$AB$207,3,0),"")</f>
        <v/>
      </c>
      <c r="K8" s="111" t="str">
        <f ca="1">IFERROR(VLOOKUP($C8&amp;K$7,Calc2!$Z$64:$AB$207,3,0),"")</f>
        <v/>
      </c>
      <c r="L8" s="111" t="str">
        <f ca="1">IFERROR(VLOOKUP($C8&amp;L$7,Calc2!$Z$64:$AB$207,3,0),"")</f>
        <v/>
      </c>
      <c r="M8" s="155" t="str">
        <f ca="1">IFERROR(VLOOKUP($C8&amp;M$7,Calc2!$Z$64:$AB$207,3,0),"")</f>
        <v/>
      </c>
      <c r="N8" s="183" t="str">
        <f t="shared" ref="N8:N13" ca="1" si="0">C8</f>
        <v>SSV Wildbach</v>
      </c>
    </row>
    <row r="9" spans="2:14" ht="21.95" customHeight="1" x14ac:dyDescent="0.2">
      <c r="B9" s="115">
        <f ca="1">IF($C9="","",INDEX(Vorrunde!$W$12:$W$47,MATCH($C9,Vorrunde!$X$12:$X$47,0)))</f>
        <v>5</v>
      </c>
      <c r="C9" s="124" t="str">
        <f ca="1">IF(Calc2!$K$13=0,"",Calc2!$X5)</f>
        <v>FC Grönlingen</v>
      </c>
      <c r="D9" s="128">
        <f ca="1">IF($C9="","",VLOOKUP($C9,Calc2!$C$17:$AC$25,25,0))</f>
        <v>1</v>
      </c>
      <c r="E9" s="788" t="str">
        <f ca="1">IF($C9="","",VLOOKUP($C9,Calc2!$C$17:$AF$25,27,0)&amp;Sprache!$E$109&amp;(VLOOKUP($C9,Calc2!$C$17:$AF$25,27,0)-$F9))</f>
        <v>42 : 44</v>
      </c>
      <c r="F9" s="112">
        <f ca="1">IF($C9="","",VLOOKUP($C9,Calc2!$C$17:$AC$25,26,0))</f>
        <v>-2</v>
      </c>
      <c r="G9" s="152">
        <f ca="1">IF(C9="","",VLOOKUP(C9,Calc2!$C$17:$AB$25,23,0))</f>
        <v>0</v>
      </c>
      <c r="H9" s="136" t="str">
        <f ca="1">IFERROR(VLOOKUP($C9&amp;H$7,Calc2!$Z$64:$AB$207,3,0),"")</f>
        <v>42 : 44</v>
      </c>
      <c r="I9" s="121"/>
      <c r="J9" s="112" t="str">
        <f ca="1">IFERROR(VLOOKUP($C9&amp;J$7,Calc2!$Z$64:$AB$207,3,0),"")</f>
        <v/>
      </c>
      <c r="K9" s="112" t="str">
        <f ca="1">IFERROR(VLOOKUP($C9&amp;K$7,Calc2!$Z$64:$AB$207,3,0),"")</f>
        <v/>
      </c>
      <c r="L9" s="112" t="str">
        <f ca="1">IFERROR(VLOOKUP($C9&amp;L$7,Calc2!$Z$64:$AB$207,3,0),"")</f>
        <v/>
      </c>
      <c r="M9" s="156" t="str">
        <f ca="1">IFERROR(VLOOKUP($C9&amp;M$7,Calc2!$Z$64:$AB$207,3,0),"")</f>
        <v/>
      </c>
      <c r="N9" s="184" t="str">
        <f t="shared" ca="1" si="0"/>
        <v>FC Grönlingen</v>
      </c>
    </row>
    <row r="10" spans="2:14" ht="21.95" customHeight="1" x14ac:dyDescent="0.2">
      <c r="B10" s="115" t="str">
        <f ca="1">IF($C10="","",INDEX(Vorrunde!$W$12:$W$47,MATCH($C10,Vorrunde!$X$12:$X$47,0)))</f>
        <v/>
      </c>
      <c r="C10" s="124" t="str">
        <f ca="1">IF(Calc2!$K$13=0,"",Calc2!$X6)</f>
        <v/>
      </c>
      <c r="D10" s="128" t="str">
        <f ca="1">IF($C10="","",VLOOKUP($C10,Calc2!$C$17:$AC$25,25,0))</f>
        <v/>
      </c>
      <c r="E10" s="788" t="str">
        <f ca="1">IF($C10="","",VLOOKUP($C10,Calc2!$C$17:$AF$25,27,0)&amp;Sprache!$E$109&amp;(VLOOKUP($C10,Calc2!$C$17:$AF$25,27,0)-$F10))</f>
        <v/>
      </c>
      <c r="F10" s="112" t="str">
        <f ca="1">IF($C10="","",VLOOKUP($C10,Calc2!$C$17:$AC$25,26,0))</f>
        <v/>
      </c>
      <c r="G10" s="152" t="str">
        <f ca="1">IF(C10="","",VLOOKUP(C10,Calc2!$C$17:$AB$25,23,0))</f>
        <v/>
      </c>
      <c r="H10" s="136" t="str">
        <f ca="1">IFERROR(VLOOKUP($C10&amp;H$7,Calc2!$Z$64:$AB$207,3,0),"")</f>
        <v/>
      </c>
      <c r="I10" s="112" t="str">
        <f ca="1">IFERROR(VLOOKUP($C10&amp;I$7,Calc2!$Z$64:$AB$207,3,0),"")</f>
        <v/>
      </c>
      <c r="J10" s="121"/>
      <c r="K10" s="112" t="str">
        <f ca="1">IFERROR(VLOOKUP($C10&amp;K$7,Calc2!$Z$64:$AB$207,3,0),"")</f>
        <v/>
      </c>
      <c r="L10" s="112" t="str">
        <f ca="1">IFERROR(VLOOKUP($C10&amp;L$7,Calc2!$Z$64:$AB$207,3,0),"")</f>
        <v/>
      </c>
      <c r="M10" s="156" t="str">
        <f ca="1">IFERROR(VLOOKUP($C10&amp;M$7,Calc2!$Z$64:$AB$207,3,0),"")</f>
        <v/>
      </c>
      <c r="N10" s="184" t="str">
        <f t="shared" ca="1" si="0"/>
        <v/>
      </c>
    </row>
    <row r="11" spans="2:14" ht="21.95" customHeight="1" x14ac:dyDescent="0.2">
      <c r="B11" s="115" t="str">
        <f ca="1">IF($C11="","",INDEX(Vorrunde!$W$12:$W$47,MATCH($C11,Vorrunde!$X$12:$X$47,0)))</f>
        <v/>
      </c>
      <c r="C11" s="124" t="str">
        <f ca="1">IF(Calc2!$K$13=0,"",Calc2!$X7)</f>
        <v/>
      </c>
      <c r="D11" s="128" t="str">
        <f ca="1">IF($C11="","",VLOOKUP($C11,Calc2!$C$17:$AC$25,25,0))</f>
        <v/>
      </c>
      <c r="E11" s="788" t="str">
        <f ca="1">IF($C11="","",VLOOKUP($C11,Calc2!$C$17:$AF$25,27,0)&amp;Sprache!$E$109&amp;(VLOOKUP($C11,Calc2!$C$17:$AF$25,27,0)-$F11))</f>
        <v/>
      </c>
      <c r="F11" s="112" t="str">
        <f ca="1">IF($C11="","",VLOOKUP($C11,Calc2!$C$17:$AC$25,26,0))</f>
        <v/>
      </c>
      <c r="G11" s="152" t="str">
        <f ca="1">IF(C11="","",VLOOKUP(C11,Calc2!$C$17:$AB$25,23,0))</f>
        <v/>
      </c>
      <c r="H11" s="136" t="str">
        <f ca="1">IFERROR(VLOOKUP($C11&amp;H$7,Calc2!$Z$64:$AB$207,3,0),"")</f>
        <v/>
      </c>
      <c r="I11" s="112" t="str">
        <f ca="1">IFERROR(VLOOKUP($C11&amp;I$7,Calc2!$Z$64:$AB$207,3,0),"")</f>
        <v/>
      </c>
      <c r="J11" s="112" t="str">
        <f ca="1">IFERROR(VLOOKUP($C11&amp;J$7,Calc2!$Z$64:$AB$207,3,0),"")</f>
        <v/>
      </c>
      <c r="K11" s="121"/>
      <c r="L11" s="112" t="str">
        <f ca="1">IFERROR(VLOOKUP($C11&amp;L$7,Calc2!$Z$64:$AB$207,3,0),"")</f>
        <v/>
      </c>
      <c r="M11" s="156" t="str">
        <f ca="1">IFERROR(VLOOKUP($C11&amp;M$7,Calc2!$Z$64:$AB$207,3,0),"")</f>
        <v/>
      </c>
      <c r="N11" s="184" t="str">
        <f t="shared" ca="1" si="0"/>
        <v/>
      </c>
    </row>
    <row r="12" spans="2:14" ht="21.95" customHeight="1" x14ac:dyDescent="0.2">
      <c r="B12" s="115" t="str">
        <f ca="1">IF($C12="","",INDEX(Vorrunde!$W$12:$W$47,MATCH($C12,Vorrunde!$X$12:$X$47,0)))</f>
        <v/>
      </c>
      <c r="C12" s="124" t="str">
        <f ca="1">IF(Calc2!$K$13=0,"",Calc2!$X8)</f>
        <v/>
      </c>
      <c r="D12" s="128" t="str">
        <f ca="1">IF($C12="","",VLOOKUP($C12,Calc2!$C$17:$AC$25,25,0))</f>
        <v/>
      </c>
      <c r="E12" s="788" t="str">
        <f ca="1">IF($C12="","",VLOOKUP($C12,Calc2!$C$17:$AF$25,27,0)&amp;Sprache!$E$109&amp;(VLOOKUP($C12,Calc2!$C$17:$AF$25,27,0)-$F12))</f>
        <v/>
      </c>
      <c r="F12" s="112" t="str">
        <f ca="1">IF($C12="","",VLOOKUP($C12,Calc2!$C$17:$AC$25,26,0))</f>
        <v/>
      </c>
      <c r="G12" s="152" t="str">
        <f ca="1">IF(C12="","",VLOOKUP(C12,Calc2!$C$17:$AB$25,23,0))</f>
        <v/>
      </c>
      <c r="H12" s="136" t="str">
        <f ca="1">IFERROR(VLOOKUP($C12&amp;H$7,Calc2!$Z$64:$AB$207,3,0),"")</f>
        <v/>
      </c>
      <c r="I12" s="112" t="str">
        <f ca="1">IFERROR(VLOOKUP($C12&amp;I$7,Calc2!$Z$64:$AB$207,3,0),"")</f>
        <v/>
      </c>
      <c r="J12" s="112" t="str">
        <f ca="1">IFERROR(VLOOKUP($C12&amp;J$7,Calc2!$Z$64:$AB$207,3,0),"")</f>
        <v/>
      </c>
      <c r="K12" s="112" t="str">
        <f ca="1">IFERROR(VLOOKUP($C12&amp;K$7,Calc2!$Z$64:$AB$207,3,0),"")</f>
        <v/>
      </c>
      <c r="L12" s="121"/>
      <c r="M12" s="156" t="str">
        <f ca="1">IFERROR(VLOOKUP($C12&amp;M$7,Calc2!$Z$64:$AB$207,3,0),"")</f>
        <v/>
      </c>
      <c r="N12" s="184" t="str">
        <f t="shared" ca="1" si="0"/>
        <v/>
      </c>
    </row>
    <row r="13" spans="2:14" ht="21.95" customHeight="1" thickBot="1" x14ac:dyDescent="0.25">
      <c r="B13" s="116" t="str">
        <f ca="1">IF($C13="","",INDEX(Vorrunde!$W$12:$W$47,MATCH($C13,Vorrunde!$X$12:$X$47,0)))</f>
        <v/>
      </c>
      <c r="C13" s="125" t="str">
        <f ca="1">IF(Calc2!$K$13=0,"",Calc2!$X9)</f>
        <v/>
      </c>
      <c r="D13" s="129" t="str">
        <f ca="1">IF($C13="","",VLOOKUP($C13,Calc2!$C$17:$AC$25,25,0))</f>
        <v/>
      </c>
      <c r="E13" s="789" t="str">
        <f ca="1">IF($C13="","",VLOOKUP($C13,Calc2!$C$17:$AF$25,27,0)&amp;Sprache!$E$109&amp;(VLOOKUP($C13,Calc2!$C$17:$AF$25,27,0)-$F13))</f>
        <v/>
      </c>
      <c r="F13" s="113" t="str">
        <f ca="1">IF($C13="","",VLOOKUP($C13,Calc2!$C$17:$AC$25,26,0))</f>
        <v/>
      </c>
      <c r="G13" s="153" t="str">
        <f ca="1">IF(C13="","",VLOOKUP(C13,Calc2!$C$17:$AB$25,23,0))</f>
        <v/>
      </c>
      <c r="H13" s="137" t="str">
        <f ca="1">IFERROR(VLOOKUP($C13&amp;H$7,Calc2!$Z$64:$AB$207,3,0),"")</f>
        <v/>
      </c>
      <c r="I13" s="113" t="str">
        <f ca="1">IFERROR(VLOOKUP($C13&amp;I$7,Calc2!$Z$64:$AB$207,3,0),"")</f>
        <v/>
      </c>
      <c r="J13" s="113" t="str">
        <f ca="1">IFERROR(VLOOKUP($C13&amp;J$7,Calc2!$Z$64:$AB$207,3,0),"")</f>
        <v/>
      </c>
      <c r="K13" s="113" t="str">
        <f ca="1">IFERROR(VLOOKUP($C13&amp;K$7,Calc2!$Z$64:$AB$207,3,0),"")</f>
        <v/>
      </c>
      <c r="L13" s="113" t="str">
        <f ca="1">IFERROR(VLOOKUP($C13&amp;L$7,Calc2!$Z$64:$AB$207,3,0),"")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IF(LEN(H16)&gt;Einstellungen!$C$33,LEFT(H16,Einstellungen!$C$33)&amp;".",H16)</f>
        <v/>
      </c>
      <c r="I15" s="148" t="str">
        <f ca="1">IF(LEN(I16)&gt;Einstellungen!$C$33,LEFT(I16,Einstellungen!$C$33)&amp;".",I16)</f>
        <v/>
      </c>
      <c r="J15" s="148" t="str">
        <f ca="1">IF(LEN(J16)&gt;Einstellungen!$C$33,LEFT(J16,Einstellungen!$C$33)&amp;".",J16)</f>
        <v/>
      </c>
      <c r="K15" s="148" t="str">
        <f ca="1">IF(LEN(K16)&gt;Einstellungen!$C$33,LEFT(K16,Einstellungen!$C$33)&amp;".",K16)</f>
        <v/>
      </c>
      <c r="L15" s="148" t="str">
        <f ca="1">IF(LEN(L16)&gt;Einstellungen!$C$33,LEFT(L16,Einstellungen!$C$33)&amp;".",L16)</f>
        <v/>
      </c>
      <c r="M15" s="149" t="str">
        <f ca="1">IF(LEN(M16)&gt;Einstellungen!$C$33,LEFT(M16,Einstellungen!$C$33)&amp;".",M16)</f>
        <v/>
      </c>
    </row>
    <row r="16" spans="2:14" ht="21.95" customHeight="1" thickTop="1" thickBot="1" x14ac:dyDescent="0.25">
      <c r="B16" s="117"/>
      <c r="C16" s="122" t="str">
        <f>Sprache!$E$10</f>
        <v>Teilnehmer bzw. Mannschaft</v>
      </c>
      <c r="D16" s="126" t="str">
        <f>Sprache!$E$91</f>
        <v>Satzpkt.</v>
      </c>
      <c r="E16" s="126" t="str">
        <f>Sprache!$E$74</f>
        <v>Bälle</v>
      </c>
      <c r="F16" s="114" t="str">
        <f>Sprache!$E$26</f>
        <v>Diff.</v>
      </c>
      <c r="G16" s="150" t="str">
        <f>Sprache!$E$49</f>
        <v>Tie-Break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IF($C17="","",INDEX(Vorrunde!$W$12:$W$47,MATCH($C17,Vorrunde!$X$12:$X$47,0)))</f>
        <v/>
      </c>
      <c r="C17" s="123" t="str">
        <f ca="1">IF(Calc2!$K$13=0,"",Calc2!$AC4)</f>
        <v/>
      </c>
      <c r="D17" s="127" t="str">
        <f ca="1">IF($C17="","",VLOOKUP($C17,Calc2!$C$17:$AC$25,25,0))</f>
        <v/>
      </c>
      <c r="E17" s="787" t="str">
        <f ca="1">IF($C17="","",VLOOKUP($C17,Calc2!$C$17:$AF$25,27,0)&amp;Sprache!$E$109&amp;(VLOOKUP($C17,Calc2!$C$17:$AF$25,27,0)-$F17))</f>
        <v/>
      </c>
      <c r="F17" s="111" t="str">
        <f ca="1">IF($C17="","",VLOOKUP($C17,Calc2!$C$17:$AC$25,26,0))</f>
        <v/>
      </c>
      <c r="G17" s="151" t="str">
        <f ca="1">IF(C17="","",VLOOKUP(C17,Calc2!$C$17:$AB$25,23,0))</f>
        <v/>
      </c>
      <c r="H17" s="135"/>
      <c r="I17" s="111" t="str">
        <f ca="1">IFERROR(VLOOKUP($C17&amp;I$16,Calc2!$Z$64:$AB$207,3,0),"")</f>
        <v/>
      </c>
      <c r="J17" s="111" t="str">
        <f ca="1">IFERROR(VLOOKUP($C17&amp;J$16,Calc2!$Z$64:$AB$207,3,0),"")</f>
        <v/>
      </c>
      <c r="K17" s="111" t="str">
        <f ca="1">IFERROR(VLOOKUP($C17&amp;K$16,Calc2!$Z$64:$AB$207,3,0),"")</f>
        <v/>
      </c>
      <c r="L17" s="111" t="str">
        <f ca="1">IFERROR(VLOOKUP($C17&amp;L$16,Calc2!$Z$64:$AB$207,3,0),"")</f>
        <v/>
      </c>
      <c r="M17" s="155" t="str">
        <f ca="1">IFERROR(VLOOKUP($C17&amp;M$16,Calc2!$Z$64:$AB$207,3,0),"")</f>
        <v/>
      </c>
      <c r="N17" s="183" t="str">
        <f t="shared" ref="N17:N22" ca="1" si="1">C17</f>
        <v/>
      </c>
    </row>
    <row r="18" spans="2:14" ht="21.95" customHeight="1" x14ac:dyDescent="0.2">
      <c r="B18" s="115" t="str">
        <f ca="1">IF($C18="","",INDEX(Vorrunde!$W$12:$W$47,MATCH($C18,Vorrunde!$X$12:$X$47,0)))</f>
        <v/>
      </c>
      <c r="C18" s="124" t="str">
        <f ca="1">IF(Calc2!$K$13=0,"",Calc2!$AC5)</f>
        <v/>
      </c>
      <c r="D18" s="128" t="str">
        <f ca="1">IF($C18="","",VLOOKUP($C18,Calc2!$C$17:$AC$25,25,0))</f>
        <v/>
      </c>
      <c r="E18" s="788" t="str">
        <f ca="1">IF($C18="","",VLOOKUP($C18,Calc2!$C$17:$AF$25,27,0)&amp;Sprache!$E$109&amp;(VLOOKUP($C18,Calc2!$C$17:$AF$25,27,0)-$F18))</f>
        <v/>
      </c>
      <c r="F18" s="112" t="str">
        <f ca="1">IF($C18="","",VLOOKUP($C18,Calc2!$C$17:$AC$25,26,0))</f>
        <v/>
      </c>
      <c r="G18" s="152" t="str">
        <f ca="1">IF(C18="","",VLOOKUP(C18,Calc2!$C$17:$AB$25,23,0))</f>
        <v/>
      </c>
      <c r="H18" s="136" t="str">
        <f ca="1">IFERROR(VLOOKUP($C18&amp;H$16,Calc2!$Z$64:$AB$207,3,0),"")</f>
        <v/>
      </c>
      <c r="I18" s="121"/>
      <c r="J18" s="112" t="str">
        <f ca="1">IFERROR(VLOOKUP($C18&amp;J$16,Calc2!$Z$64:$AB$207,3,0),"")</f>
        <v/>
      </c>
      <c r="K18" s="112" t="str">
        <f ca="1">IFERROR(VLOOKUP($C18&amp;K$16,Calc2!$Z$64:$AB$207,3,0),"")</f>
        <v/>
      </c>
      <c r="L18" s="112" t="str">
        <f ca="1">IFERROR(VLOOKUP($C18&amp;L$16,Calc2!$Z$64:$AB$207,3,0),"")</f>
        <v/>
      </c>
      <c r="M18" s="156" t="str">
        <f ca="1">IFERROR(VLOOKUP($C18&amp;M$16,Calc2!$Z$64:$AB$207,3,0),"")</f>
        <v/>
      </c>
      <c r="N18" s="184" t="str">
        <f t="shared" ca="1" si="1"/>
        <v/>
      </c>
    </row>
    <row r="19" spans="2:14" ht="21.95" customHeight="1" x14ac:dyDescent="0.2">
      <c r="B19" s="115" t="str">
        <f ca="1">IF($C19="","",INDEX(Vorrunde!$W$12:$W$47,MATCH($C19,Vorrunde!$X$12:$X$47,0)))</f>
        <v/>
      </c>
      <c r="C19" s="124" t="str">
        <f ca="1">IF(Calc2!$K$13=0,"",Calc2!$AC6)</f>
        <v/>
      </c>
      <c r="D19" s="128" t="str">
        <f ca="1">IF($C19="","",VLOOKUP($C19,Calc2!$C$17:$AC$25,25,0))</f>
        <v/>
      </c>
      <c r="E19" s="788" t="str">
        <f ca="1">IF($C19="","",VLOOKUP($C19,Calc2!$C$17:$AF$25,27,0)&amp;Sprache!$E$109&amp;(VLOOKUP($C19,Calc2!$C$17:$AF$25,27,0)-$F19))</f>
        <v/>
      </c>
      <c r="F19" s="112" t="str">
        <f ca="1">IF($C19="","",VLOOKUP($C19,Calc2!$C$17:$AC$25,26,0))</f>
        <v/>
      </c>
      <c r="G19" s="152" t="str">
        <f ca="1">IF(C19="","",VLOOKUP(C19,Calc2!$C$17:$AB$25,23,0))</f>
        <v/>
      </c>
      <c r="H19" s="136" t="str">
        <f ca="1">IFERROR(VLOOKUP($C19&amp;H$16,Calc2!$Z$64:$AB$207,3,0),"")</f>
        <v/>
      </c>
      <c r="I19" s="112" t="str">
        <f ca="1">IFERROR(VLOOKUP($C19&amp;I$16,Calc2!$Z$64:$AB$207,3,0),"")</f>
        <v/>
      </c>
      <c r="J19" s="121"/>
      <c r="K19" s="112" t="str">
        <f ca="1">IFERROR(VLOOKUP($C19&amp;K$16,Calc2!$Z$64:$AB$207,3,0),"")</f>
        <v/>
      </c>
      <c r="L19" s="112" t="str">
        <f ca="1">IFERROR(VLOOKUP($C19&amp;L$16,Calc2!$Z$64:$AB$207,3,0),"")</f>
        <v/>
      </c>
      <c r="M19" s="156" t="str">
        <f ca="1">IFERROR(VLOOKUP($C19&amp;M$16,Calc2!$Z$64:$AB$207,3,0),"")</f>
        <v/>
      </c>
      <c r="N19" s="184" t="str">
        <f t="shared" ca="1" si="1"/>
        <v/>
      </c>
    </row>
    <row r="20" spans="2:14" ht="21.95" customHeight="1" x14ac:dyDescent="0.2">
      <c r="B20" s="115" t="str">
        <f ca="1">IF($C20="","",INDEX(Vorrunde!$W$12:$W$47,MATCH($C20,Vorrunde!$X$12:$X$47,0)))</f>
        <v/>
      </c>
      <c r="C20" s="124" t="str">
        <f ca="1">IF(Calc2!$K$13=0,"",Calc2!$AC7)</f>
        <v/>
      </c>
      <c r="D20" s="128" t="str">
        <f ca="1">IF($C20="","",VLOOKUP($C20,Calc2!$C$17:$AC$25,25,0))</f>
        <v/>
      </c>
      <c r="E20" s="788" t="str">
        <f ca="1">IF($C20="","",VLOOKUP($C20,Calc2!$C$17:$AF$25,27,0)&amp;Sprache!$E$109&amp;(VLOOKUP($C20,Calc2!$C$17:$AF$25,27,0)-$F20))</f>
        <v/>
      </c>
      <c r="F20" s="112" t="str">
        <f ca="1">IF($C20="","",VLOOKUP($C20,Calc2!$C$17:$AC$25,26,0))</f>
        <v/>
      </c>
      <c r="G20" s="152" t="str">
        <f ca="1">IF(C20="","",VLOOKUP(C20,Calc2!$C$17:$AB$25,23,0))</f>
        <v/>
      </c>
      <c r="H20" s="136" t="str">
        <f ca="1">IFERROR(VLOOKUP($C20&amp;H$16,Calc2!$Z$64:$AB$207,3,0),"")</f>
        <v/>
      </c>
      <c r="I20" s="112" t="str">
        <f ca="1">IFERROR(VLOOKUP($C20&amp;I$16,Calc2!$Z$64:$AB$207,3,0),"")</f>
        <v/>
      </c>
      <c r="J20" s="112" t="str">
        <f ca="1">IFERROR(VLOOKUP($C20&amp;J$16,Calc2!$Z$64:$AB$207,3,0),"")</f>
        <v/>
      </c>
      <c r="K20" s="121"/>
      <c r="L20" s="112" t="str">
        <f ca="1">IFERROR(VLOOKUP($C20&amp;L$16,Calc2!$Z$64:$AB$207,3,0),"")</f>
        <v/>
      </c>
      <c r="M20" s="156" t="str">
        <f ca="1">IFERROR(VLOOKUP($C20&amp;M$16,Calc2!$Z$64:$AB$207,3,0),"")</f>
        <v/>
      </c>
      <c r="N20" s="184" t="str">
        <f t="shared" ca="1" si="1"/>
        <v/>
      </c>
    </row>
    <row r="21" spans="2:14" ht="21.95" customHeight="1" x14ac:dyDescent="0.2">
      <c r="B21" s="115" t="str">
        <f ca="1">IF($C21="","",INDEX(Vorrunde!$W$12:$W$47,MATCH($C21,Vorrunde!$X$12:$X$47,0)))</f>
        <v/>
      </c>
      <c r="C21" s="124" t="str">
        <f ca="1">IF(Calc2!$K$13=0,"",Calc2!$AC8)</f>
        <v/>
      </c>
      <c r="D21" s="128" t="str">
        <f ca="1">IF($C21="","",VLOOKUP($C21,Calc2!$C$17:$AC$25,25,0))</f>
        <v/>
      </c>
      <c r="E21" s="788" t="str">
        <f ca="1">IF($C21="","",VLOOKUP($C21,Calc2!$C$17:$AF$25,27,0)&amp;Sprache!$E$109&amp;(VLOOKUP($C21,Calc2!$C$17:$AF$25,27,0)-$F21))</f>
        <v/>
      </c>
      <c r="F21" s="112" t="str">
        <f ca="1">IF($C21="","",VLOOKUP($C21,Calc2!$C$17:$AC$25,26,0))</f>
        <v/>
      </c>
      <c r="G21" s="152" t="str">
        <f ca="1">IF(C21="","",VLOOKUP(C21,Calc2!$C$17:$AB$25,23,0))</f>
        <v/>
      </c>
      <c r="H21" s="136" t="str">
        <f ca="1">IFERROR(VLOOKUP($C21&amp;H$16,Calc2!$Z$64:$AB$207,3,0),"")</f>
        <v/>
      </c>
      <c r="I21" s="112" t="str">
        <f ca="1">IFERROR(VLOOKUP($C21&amp;I$16,Calc2!$Z$64:$AB$207,3,0),"")</f>
        <v/>
      </c>
      <c r="J21" s="112" t="str">
        <f ca="1">IFERROR(VLOOKUP($C21&amp;J$16,Calc2!$Z$64:$AB$207,3,0),"")</f>
        <v/>
      </c>
      <c r="K21" s="112" t="str">
        <f ca="1">IFERROR(VLOOKUP($C21&amp;K$16,Calc2!$Z$64:$AB$207,3,0),"")</f>
        <v/>
      </c>
      <c r="L21" s="121"/>
      <c r="M21" s="156" t="str">
        <f ca="1">IFERROR(VLOOKUP($C21&amp;M$16,Calc2!$Z$64:$AB$207,3,0),"")</f>
        <v/>
      </c>
      <c r="N21" s="184" t="str">
        <f t="shared" ca="1" si="1"/>
        <v/>
      </c>
    </row>
    <row r="22" spans="2:14" ht="21.95" customHeight="1" thickBot="1" x14ac:dyDescent="0.25">
      <c r="B22" s="116" t="str">
        <f ca="1">IF($C22="","",INDEX(Vorrunde!$W$12:$W$47,MATCH($C22,Vorrunde!$X$12:$X$47,0)))</f>
        <v/>
      </c>
      <c r="C22" s="125" t="str">
        <f ca="1">IF(Calc2!$K$13=0,"",Calc2!$AC9)</f>
        <v/>
      </c>
      <c r="D22" s="129" t="str">
        <f ca="1">IF($C22="","",VLOOKUP($C22,Calc2!$C$17:$AC$25,25,0))</f>
        <v/>
      </c>
      <c r="E22" s="789" t="str">
        <f ca="1">IF($C22="","",VLOOKUP($C22,Calc2!$C$17:$AF$25,27,0)&amp;Sprache!$E$109&amp;(VLOOKUP($C22,Calc2!$C$17:$AF$25,27,0)-$F22))</f>
        <v/>
      </c>
      <c r="F22" s="113" t="str">
        <f ca="1">IF($C22="","",VLOOKUP($C22,Calc2!$C$17:$AC$25,26,0))</f>
        <v/>
      </c>
      <c r="G22" s="153" t="str">
        <f ca="1">IF(C22="","",VLOOKUP(C22,Calc2!$C$17:$AB$25,23,0))</f>
        <v/>
      </c>
      <c r="H22" s="137" t="str">
        <f ca="1">IFERROR(VLOOKUP($C22&amp;H$16,Calc2!$Z$64:$AB$207,3,0),"")</f>
        <v/>
      </c>
      <c r="I22" s="113" t="str">
        <f ca="1">IFERROR(VLOOKUP($C22&amp;I$16,Calc2!$Z$64:$AB$207,3,0),"")</f>
        <v/>
      </c>
      <c r="J22" s="113" t="str">
        <f ca="1">IFERROR(VLOOKUP($C22&amp;J$16,Calc2!$Z$64:$AB$207,3,0),"")</f>
        <v/>
      </c>
      <c r="K22" s="113" t="str">
        <f ca="1">IFERROR(VLOOKUP($C22&amp;K$16,Calc2!$Z$64:$AB$207,3,0),"")</f>
        <v/>
      </c>
      <c r="L22" s="113" t="str">
        <f ca="1">IFERROR(VLOOKUP($C22&amp;L$16,Calc2!$Z$64:$AB$207,3,0),"")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IF(LEN(H25)&gt;Einstellungen!$C$33,LEFT(H25,Einstellungen!$C$33)&amp;".",H25)</f>
        <v/>
      </c>
      <c r="I24" s="148" t="str">
        <f ca="1">IF(LEN(I25)&gt;Einstellungen!$C$33,LEFT(I25,Einstellungen!$C$33)&amp;".",I25)</f>
        <v/>
      </c>
      <c r="J24" s="148" t="str">
        <f ca="1">IF(LEN(J25)&gt;Einstellungen!$C$33,LEFT(J25,Einstellungen!$C$33)&amp;".",J25)</f>
        <v/>
      </c>
      <c r="K24" s="148" t="str">
        <f ca="1">IF(LEN(K25)&gt;Einstellungen!$C$33,LEFT(K25,Einstellungen!$C$33)&amp;".",K25)</f>
        <v/>
      </c>
      <c r="L24" s="148" t="str">
        <f ca="1">IF(LEN(L25)&gt;Einstellungen!$C$33,LEFT(L25,Einstellungen!$C$33)&amp;".",L25)</f>
        <v/>
      </c>
      <c r="M24" s="149" t="str">
        <f ca="1">IF(LEN(M25)&gt;Einstellungen!$C$33,LEFT(M25,Einstellungen!$C$33)&amp;".",M25)</f>
        <v/>
      </c>
    </row>
    <row r="25" spans="2:14" ht="21.95" customHeight="1" thickTop="1" thickBot="1" x14ac:dyDescent="0.25">
      <c r="B25" s="117"/>
      <c r="C25" s="122" t="str">
        <f>Sprache!$E$10</f>
        <v>Teilnehmer bzw. Mannschaft</v>
      </c>
      <c r="D25" s="126" t="str">
        <f>Sprache!$E$91</f>
        <v>Satzpkt.</v>
      </c>
      <c r="E25" s="126" t="str">
        <f>Sprache!$E$74</f>
        <v>Bälle</v>
      </c>
      <c r="F25" s="114" t="str">
        <f>Sprache!$E$26</f>
        <v>Diff.</v>
      </c>
      <c r="G25" s="150" t="str">
        <f>Sprache!$E$49</f>
        <v>Tie-Break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IF($C26="","",INDEX(Vorrunde!$W$12:$W$47,MATCH($C26,Vorrunde!$X$12:$X$47,0)))</f>
        <v/>
      </c>
      <c r="C26" s="123" t="str">
        <f ca="1">IF(Calc2!$K$13=0,"",Calc2!$AH4)</f>
        <v/>
      </c>
      <c r="D26" s="127" t="str">
        <f ca="1">IF($C26="","",VLOOKUP($C26,Calc2!$C$17:$AC$25,25,0))</f>
        <v/>
      </c>
      <c r="E26" s="787" t="str">
        <f ca="1">IF($C26="","",VLOOKUP($C26,Calc2!$C$17:$AF$25,27,0)&amp;Sprache!$E$109&amp;(VLOOKUP($C26,Calc2!$C$17:$AF$25,27,0)-$F26))</f>
        <v/>
      </c>
      <c r="F26" s="111" t="str">
        <f ca="1">IF($C26="","",VLOOKUP($C26,Calc2!$C$17:$AC$25,26,0))</f>
        <v/>
      </c>
      <c r="G26" s="151" t="str">
        <f ca="1">IF(C26="","",VLOOKUP(C26,Calc2!$C$17:$AB$25,23,0))</f>
        <v/>
      </c>
      <c r="H26" s="135"/>
      <c r="I26" s="111" t="str">
        <f ca="1">IFERROR(VLOOKUP($C26&amp;I$25,Calc2!$Z$64:$AB$207,3,0),"")</f>
        <v/>
      </c>
      <c r="J26" s="111" t="str">
        <f ca="1">IFERROR(VLOOKUP($C26&amp;J$25,Calc2!$Z$64:$AB$207,3,0),"")</f>
        <v/>
      </c>
      <c r="K26" s="111" t="str">
        <f ca="1">IFERROR(VLOOKUP($C26&amp;K$25,Calc2!$Z$64:$AB$207,3,0),"")</f>
        <v/>
      </c>
      <c r="L26" s="111" t="str">
        <f ca="1">IFERROR(VLOOKUP($C26&amp;L$25,Calc2!$Z$64:$AB$207,3,0),"")</f>
        <v/>
      </c>
      <c r="M26" s="155" t="str">
        <f ca="1">IFERROR(VLOOKUP($C26&amp;M$25,Calc2!$Z$64:$AB$207,3,0),"")</f>
        <v/>
      </c>
      <c r="N26" s="183" t="str">
        <f t="shared" ref="N26:N31" ca="1" si="2">C26</f>
        <v/>
      </c>
    </row>
    <row r="27" spans="2:14" ht="21.95" customHeight="1" x14ac:dyDescent="0.2">
      <c r="B27" s="115" t="str">
        <f ca="1">IF($C27="","",INDEX(Vorrunde!$W$12:$W$47,MATCH($C27,Vorrunde!$X$12:$X$47,0)))</f>
        <v/>
      </c>
      <c r="C27" s="124" t="str">
        <f ca="1">IF(Calc2!$K$13=0,"",Calc2!$AH5)</f>
        <v/>
      </c>
      <c r="D27" s="128" t="str">
        <f ca="1">IF($C27="","",VLOOKUP($C27,Calc2!$C$17:$AC$25,25,0))</f>
        <v/>
      </c>
      <c r="E27" s="788" t="str">
        <f ca="1">IF($C27="","",VLOOKUP($C27,Calc2!$C$17:$AF$25,27,0)&amp;Sprache!$E$109&amp;(VLOOKUP($C27,Calc2!$C$17:$AF$25,27,0)-$F27))</f>
        <v/>
      </c>
      <c r="F27" s="112" t="str">
        <f ca="1">IF($C27="","",VLOOKUP($C27,Calc2!$C$17:$AC$25,26,0))</f>
        <v/>
      </c>
      <c r="G27" s="152" t="str">
        <f ca="1">IF(C27="","",VLOOKUP(C27,Calc2!$C$17:$AB$25,23,0))</f>
        <v/>
      </c>
      <c r="H27" s="136" t="str">
        <f ca="1">IFERROR(VLOOKUP($C27&amp;H$25,Calc2!$Z$64:$AB$207,3,0),"")</f>
        <v/>
      </c>
      <c r="I27" s="121"/>
      <c r="J27" s="112" t="str">
        <f ca="1">IFERROR(VLOOKUP($C27&amp;J$25,Calc2!$Z$64:$AB$207,3,0),"")</f>
        <v/>
      </c>
      <c r="K27" s="112" t="str">
        <f ca="1">IFERROR(VLOOKUP($C27&amp;K$25,Calc2!$Z$64:$AB$207,3,0),"")</f>
        <v/>
      </c>
      <c r="L27" s="112" t="str">
        <f ca="1">IFERROR(VLOOKUP($C27&amp;L$25,Calc2!$Z$64:$AB$207,3,0),"")</f>
        <v/>
      </c>
      <c r="M27" s="156" t="str">
        <f ca="1">IFERROR(VLOOKUP($C27&amp;M$25,Calc2!$Z$64:$AB$207,3,0),"")</f>
        <v/>
      </c>
      <c r="N27" s="184" t="str">
        <f t="shared" ca="1" si="2"/>
        <v/>
      </c>
    </row>
    <row r="28" spans="2:14" ht="21.95" customHeight="1" x14ac:dyDescent="0.2">
      <c r="B28" s="115" t="str">
        <f ca="1">IF($C28="","",INDEX(Vorrunde!$W$12:$W$47,MATCH($C28,Vorrunde!$X$12:$X$47,0)))</f>
        <v/>
      </c>
      <c r="C28" s="124" t="str">
        <f ca="1">IF(Calc2!$K$13=0,"",Calc2!$AH6)</f>
        <v/>
      </c>
      <c r="D28" s="128" t="str">
        <f ca="1">IF($C28="","",VLOOKUP($C28,Calc2!$C$17:$AC$25,25,0))</f>
        <v/>
      </c>
      <c r="E28" s="788" t="str">
        <f ca="1">IF($C28="","",VLOOKUP($C28,Calc2!$C$17:$AF$25,27,0)&amp;Sprache!$E$109&amp;(VLOOKUP($C28,Calc2!$C$17:$AF$25,27,0)-$F28))</f>
        <v/>
      </c>
      <c r="F28" s="112" t="str">
        <f ca="1">IF($C28="","",VLOOKUP($C28,Calc2!$C$17:$AC$25,26,0))</f>
        <v/>
      </c>
      <c r="G28" s="152" t="str">
        <f ca="1">IF(C28="","",VLOOKUP(C28,Calc2!$C$17:$AB$25,23,0))</f>
        <v/>
      </c>
      <c r="H28" s="136" t="str">
        <f ca="1">IFERROR(VLOOKUP($C28&amp;H$25,Calc2!$Z$64:$AB$207,3,0),"")</f>
        <v/>
      </c>
      <c r="I28" s="112" t="str">
        <f ca="1">IFERROR(VLOOKUP($C28&amp;I$25,Calc2!$Z$64:$AB$207,3,0),"")</f>
        <v/>
      </c>
      <c r="J28" s="121"/>
      <c r="K28" s="112" t="str">
        <f ca="1">IFERROR(VLOOKUP($C28&amp;K$25,Calc2!$Z$64:$AB$207,3,0),"")</f>
        <v/>
      </c>
      <c r="L28" s="112" t="str">
        <f ca="1">IFERROR(VLOOKUP($C28&amp;L$25,Calc2!$Z$64:$AB$207,3,0),"")</f>
        <v/>
      </c>
      <c r="M28" s="156" t="str">
        <f ca="1">IFERROR(VLOOKUP($C28&amp;M$25,Calc2!$Z$64:$AB$207,3,0),"")</f>
        <v/>
      </c>
      <c r="N28" s="184" t="str">
        <f t="shared" ca="1" si="2"/>
        <v/>
      </c>
    </row>
    <row r="29" spans="2:14" ht="21.95" customHeight="1" x14ac:dyDescent="0.2">
      <c r="B29" s="115" t="str">
        <f ca="1">IF($C29="","",INDEX(Vorrunde!$W$12:$W$47,MATCH($C29,Vorrunde!$X$12:$X$47,0)))</f>
        <v/>
      </c>
      <c r="C29" s="124" t="str">
        <f ca="1">IF(Calc2!$K$13=0,"",Calc2!$AH7)</f>
        <v/>
      </c>
      <c r="D29" s="128" t="str">
        <f ca="1">IF($C29="","",VLOOKUP($C29,Calc2!$C$17:$AC$25,25,0))</f>
        <v/>
      </c>
      <c r="E29" s="788" t="str">
        <f ca="1">IF($C29="","",VLOOKUP($C29,Calc2!$C$17:$AF$25,27,0)&amp;Sprache!$E$109&amp;(VLOOKUP($C29,Calc2!$C$17:$AF$25,27,0)-$F29))</f>
        <v/>
      </c>
      <c r="F29" s="112" t="str">
        <f ca="1">IF($C29="","",VLOOKUP($C29,Calc2!$C$17:$AC$25,26,0))</f>
        <v/>
      </c>
      <c r="G29" s="152" t="str">
        <f ca="1">IF(C29="","",VLOOKUP(C29,Calc2!$C$17:$AB$25,23,0))</f>
        <v/>
      </c>
      <c r="H29" s="136" t="str">
        <f ca="1">IFERROR(VLOOKUP($C29&amp;H$25,Calc2!$Z$64:$AB$207,3,0),"")</f>
        <v/>
      </c>
      <c r="I29" s="112" t="str">
        <f ca="1">IFERROR(VLOOKUP($C29&amp;I$25,Calc2!$Z$64:$AB$207,3,0),"")</f>
        <v/>
      </c>
      <c r="J29" s="112" t="str">
        <f ca="1">IFERROR(VLOOKUP($C29&amp;J$25,Calc2!$Z$64:$AB$207,3,0),"")</f>
        <v/>
      </c>
      <c r="K29" s="121"/>
      <c r="L29" s="112" t="str">
        <f ca="1">IFERROR(VLOOKUP($C29&amp;L$25,Calc2!$Z$64:$AB$207,3,0),"")</f>
        <v/>
      </c>
      <c r="M29" s="156" t="str">
        <f ca="1">IFERROR(VLOOKUP($C29&amp;M$25,Calc2!$Z$64:$AB$207,3,0),"")</f>
        <v/>
      </c>
      <c r="N29" s="184" t="str">
        <f t="shared" ca="1" si="2"/>
        <v/>
      </c>
    </row>
    <row r="30" spans="2:14" ht="21.95" customHeight="1" x14ac:dyDescent="0.2">
      <c r="B30" s="115" t="str">
        <f ca="1">IF($C30="","",INDEX(Vorrunde!$W$12:$W$47,MATCH($C30,Vorrunde!$X$12:$X$47,0)))</f>
        <v/>
      </c>
      <c r="C30" s="124" t="str">
        <f ca="1">IF(Calc2!$K$13=0,"",Calc2!$AH8)</f>
        <v/>
      </c>
      <c r="D30" s="128" t="str">
        <f ca="1">IF($C30="","",VLOOKUP($C30,Calc2!$C$17:$AC$25,25,0))</f>
        <v/>
      </c>
      <c r="E30" s="788" t="str">
        <f ca="1">IF($C30="","",VLOOKUP($C30,Calc2!$C$17:$AF$25,27,0)&amp;Sprache!$E$109&amp;(VLOOKUP($C30,Calc2!$C$17:$AF$25,27,0)-$F30))</f>
        <v/>
      </c>
      <c r="F30" s="112" t="str">
        <f ca="1">IF($C30="","",VLOOKUP($C30,Calc2!$C$17:$AC$25,26,0))</f>
        <v/>
      </c>
      <c r="G30" s="152" t="str">
        <f ca="1">IF(C30="","",VLOOKUP(C30,Calc2!$C$17:$AB$25,23,0))</f>
        <v/>
      </c>
      <c r="H30" s="136" t="str">
        <f ca="1">IFERROR(VLOOKUP($C30&amp;H$25,Calc2!$Z$64:$AB$207,3,0),"")</f>
        <v/>
      </c>
      <c r="I30" s="112" t="str">
        <f ca="1">IFERROR(VLOOKUP($C30&amp;I$25,Calc2!$Z$64:$AB$207,3,0),"")</f>
        <v/>
      </c>
      <c r="J30" s="112" t="str">
        <f ca="1">IFERROR(VLOOKUP($C30&amp;J$25,Calc2!$Z$64:$AB$207,3,0),"")</f>
        <v/>
      </c>
      <c r="K30" s="112" t="str">
        <f ca="1">IFERROR(VLOOKUP($C30&amp;K$25,Calc2!$Z$64:$AB$207,3,0),"")</f>
        <v/>
      </c>
      <c r="L30" s="121"/>
      <c r="M30" s="156" t="str">
        <f ca="1">IFERROR(VLOOKUP($C30&amp;M$25,Calc2!$Z$64:$AB$207,3,0),"")</f>
        <v/>
      </c>
      <c r="N30" s="184" t="str">
        <f t="shared" ca="1" si="2"/>
        <v/>
      </c>
    </row>
    <row r="31" spans="2:14" ht="21.95" customHeight="1" thickBot="1" x14ac:dyDescent="0.25">
      <c r="B31" s="116" t="str">
        <f ca="1">IF($C31="","",INDEX(Vorrunde!$W$12:$W$47,MATCH($C31,Vorrunde!$X$12:$X$47,0)))</f>
        <v/>
      </c>
      <c r="C31" s="125" t="str">
        <f ca="1">IF(Calc2!$K$13=0,"",Calc2!$AH9)</f>
        <v/>
      </c>
      <c r="D31" s="129" t="str">
        <f ca="1">IF($C31="","",VLOOKUP($C31,Calc2!$C$17:$AC$25,25,0))</f>
        <v/>
      </c>
      <c r="E31" s="789" t="str">
        <f ca="1">IF($C31="","",VLOOKUP($C31,Calc2!$C$17:$AF$25,27,0)&amp;Sprache!$E$109&amp;(VLOOKUP($C31,Calc2!$C$17:$AF$25,27,0)-$F31))</f>
        <v/>
      </c>
      <c r="F31" s="113" t="str">
        <f ca="1">IF($C31="","",VLOOKUP($C31,Calc2!$C$17:$AC$25,26,0))</f>
        <v/>
      </c>
      <c r="G31" s="153" t="str">
        <f ca="1">IF(C31="","",VLOOKUP(C31,Calc2!$C$17:$AB$25,23,0))</f>
        <v/>
      </c>
      <c r="H31" s="137" t="str">
        <f ca="1">IFERROR(VLOOKUP($C31&amp;H$25,Calc2!$Z$64:$AB$207,3,0),"")</f>
        <v/>
      </c>
      <c r="I31" s="113" t="str">
        <f ca="1">IFERROR(VLOOKUP($C31&amp;I$25,Calc2!$Z$64:$AB$207,3,0),"")</f>
        <v/>
      </c>
      <c r="J31" s="113" t="str">
        <f ca="1">IFERROR(VLOOKUP($C31&amp;J$25,Calc2!$Z$64:$AB$207,3,0),"")</f>
        <v/>
      </c>
      <c r="K31" s="113" t="str">
        <f ca="1">IFERROR(VLOOKUP($C31&amp;K$25,Calc2!$Z$64:$AB$207,3,0),"")</f>
        <v/>
      </c>
      <c r="L31" s="113" t="str">
        <f ca="1">IFERROR(VLOOKUP($C31&amp;L$25,Calc2!$Z$64:$AB$207,3,0),"")</f>
        <v/>
      </c>
      <c r="M31" s="157"/>
      <c r="N31" s="185" t="str">
        <f t="shared" ca="1" si="2"/>
        <v/>
      </c>
    </row>
    <row r="32" spans="2:14" ht="42.75" customHeight="1" thickTop="1" thickBot="1" x14ac:dyDescent="0.25"/>
    <row r="33" spans="2:14" ht="21.95" customHeight="1" thickBot="1" x14ac:dyDescent="0.25">
      <c r="H33" s="147" t="str">
        <f ca="1">IF(LEN(H34)&gt;Einstellungen!$C$33,LEFT(H34,Einstellungen!$C$33)&amp;".",H34)</f>
        <v/>
      </c>
      <c r="I33" s="148" t="str">
        <f ca="1">IF(LEN(I34)&gt;Einstellungen!$C$33,LEFT(I34,Einstellungen!$C$33)&amp;".",I34)</f>
        <v/>
      </c>
      <c r="J33" s="148" t="str">
        <f ca="1">IF(LEN(J34)&gt;Einstellungen!$C$33,LEFT(J34,Einstellungen!$C$33)&amp;".",J34)</f>
        <v/>
      </c>
      <c r="K33" s="148" t="str">
        <f ca="1">IF(LEN(K34)&gt;Einstellungen!$C$33,LEFT(K34,Einstellungen!$C$33)&amp;".",K34)</f>
        <v/>
      </c>
      <c r="L33" s="148" t="str">
        <f ca="1">IF(LEN(L34)&gt;Einstellungen!$C$33,LEFT(L34,Einstellungen!$C$33)&amp;".",L34)</f>
        <v/>
      </c>
      <c r="M33" s="149" t="str">
        <f ca="1">IF(LEN(M34)&gt;Einstellungen!$C$33,LEFT(M34,Einstellungen!$C$33)&amp;".",M34)</f>
        <v/>
      </c>
    </row>
    <row r="34" spans="2:14" ht="21.95" customHeight="1" thickTop="1" thickBot="1" x14ac:dyDescent="0.25">
      <c r="B34" s="117"/>
      <c r="C34" s="122" t="str">
        <f>Sprache!$E$10</f>
        <v>Teilnehmer bzw. Mannschaft</v>
      </c>
      <c r="D34" s="126" t="str">
        <f>Sprache!$E$91</f>
        <v>Satzpkt.</v>
      </c>
      <c r="E34" s="126" t="str">
        <f>Sprache!$E$74</f>
        <v>Bälle</v>
      </c>
      <c r="F34" s="114" t="str">
        <f>Sprache!$E$26</f>
        <v>Diff.</v>
      </c>
      <c r="G34" s="150" t="str">
        <f>Sprache!$E$49</f>
        <v>Tie-Break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IF($C35="","",INDEX(Vorrunde!$W$12:$W$47,MATCH($C35,Vorrunde!$X$12:$X$47,0)))</f>
        <v/>
      </c>
      <c r="C35" s="123" t="str">
        <f ca="1">IF(Calc2!$K$13=0,"",Calc2!$AM4)</f>
        <v/>
      </c>
      <c r="D35" s="127" t="str">
        <f ca="1">IF($C35="","",VLOOKUP($C35,Calc2!$C$17:$AC$25,25,0))</f>
        <v/>
      </c>
      <c r="E35" s="787" t="str">
        <f ca="1">IF($C35="","",VLOOKUP($C35,Calc2!$C$17:$AF$25,27,0)&amp;Sprache!$E$109&amp;(VLOOKUP($C35,Calc2!$C$17:$AF$25,27,0)-$F35))</f>
        <v/>
      </c>
      <c r="F35" s="111" t="str">
        <f ca="1">IF($C35="","",VLOOKUP($C35,Calc2!$C$17:$AC$25,26,0))</f>
        <v/>
      </c>
      <c r="G35" s="151" t="str">
        <f ca="1">IF(C35="","",VLOOKUP(C35,Calc2!$C$17:$AB$25,23,0))</f>
        <v/>
      </c>
      <c r="H35" s="135"/>
      <c r="I35" s="111" t="str">
        <f ca="1">IFERROR(VLOOKUP($C35&amp;I$34,Calc2!$Z$64:$AB$207,3,0),"")</f>
        <v/>
      </c>
      <c r="J35" s="111" t="str">
        <f ca="1">IFERROR(VLOOKUP($C35&amp;J$34,Calc2!$Z$64:$AB$207,3,0),"")</f>
        <v/>
      </c>
      <c r="K35" s="111" t="str">
        <f ca="1">IFERROR(VLOOKUP($C35&amp;K$34,Calc2!$Z$64:$AB$207,3,0),"")</f>
        <v/>
      </c>
      <c r="L35" s="111" t="str">
        <f ca="1">IFERROR(VLOOKUP($C35&amp;L$34,Calc2!$Z$64:$AB$207,3,0),"")</f>
        <v/>
      </c>
      <c r="M35" s="155" t="str">
        <f ca="1">IFERROR(VLOOKUP($C35&amp;M$34,Calc2!$Z$64:$AB$207,3,0),"")</f>
        <v/>
      </c>
      <c r="N35" s="183" t="str">
        <f t="shared" ref="N35:N40" ca="1" si="3">C35</f>
        <v/>
      </c>
    </row>
    <row r="36" spans="2:14" ht="21.95" customHeight="1" x14ac:dyDescent="0.2">
      <c r="B36" s="115" t="str">
        <f ca="1">IF($C36="","",INDEX(Vorrunde!$W$12:$W$47,MATCH($C36,Vorrunde!$X$12:$X$47,0)))</f>
        <v/>
      </c>
      <c r="C36" s="124" t="str">
        <f ca="1">IF(Calc2!$K$13=0,"",Calc2!$AM5)</f>
        <v/>
      </c>
      <c r="D36" s="128" t="str">
        <f ca="1">IF($C36="","",VLOOKUP($C36,Calc2!$C$17:$AC$25,25,0))</f>
        <v/>
      </c>
      <c r="E36" s="788" t="str">
        <f ca="1">IF($C36="","",VLOOKUP($C36,Calc2!$C$17:$AF$25,27,0)&amp;Sprache!$E$109&amp;(VLOOKUP($C36,Calc2!$C$17:$AF$25,27,0)-$F36))</f>
        <v/>
      </c>
      <c r="F36" s="112" t="str">
        <f ca="1">IF($C36="","",VLOOKUP($C36,Calc2!$C$17:$AC$25,26,0))</f>
        <v/>
      </c>
      <c r="G36" s="152" t="str">
        <f ca="1">IF(C36="","",VLOOKUP(C36,Calc2!$C$17:$AB$25,23,0))</f>
        <v/>
      </c>
      <c r="H36" s="136" t="str">
        <f ca="1">IFERROR(VLOOKUP($C36&amp;H$34,Calc2!$Z$64:$AB$207,3,0),"")</f>
        <v/>
      </c>
      <c r="I36" s="121"/>
      <c r="J36" s="112" t="str">
        <f ca="1">IFERROR(VLOOKUP($C36&amp;J$34,Calc2!$Z$64:$AB$207,3,0),"")</f>
        <v/>
      </c>
      <c r="K36" s="112" t="str">
        <f ca="1">IFERROR(VLOOKUP($C36&amp;K$34,Calc2!$Z$64:$AB$207,3,0),"")</f>
        <v/>
      </c>
      <c r="L36" s="112" t="str">
        <f ca="1">IFERROR(VLOOKUP($C36&amp;L$34,Calc2!$Z$64:$AB$207,3,0),"")</f>
        <v/>
      </c>
      <c r="M36" s="156" t="str">
        <f ca="1">IFERROR(VLOOKUP($C36&amp;M$34,Calc2!$Z$64:$AB$207,3,0),"")</f>
        <v/>
      </c>
      <c r="N36" s="184" t="str">
        <f t="shared" ca="1" si="3"/>
        <v/>
      </c>
    </row>
    <row r="37" spans="2:14" ht="21.95" customHeight="1" x14ac:dyDescent="0.2">
      <c r="B37" s="115" t="str">
        <f ca="1">IF($C37="","",INDEX(Vorrunde!$W$12:$W$47,MATCH($C37,Vorrunde!$X$12:$X$47,0)))</f>
        <v/>
      </c>
      <c r="C37" s="124" t="str">
        <f ca="1">IF(Calc2!$K$13=0,"",Calc2!$AM6)</f>
        <v/>
      </c>
      <c r="D37" s="128" t="str">
        <f ca="1">IF($C37="","",VLOOKUP($C37,Calc2!$C$17:$AC$25,25,0))</f>
        <v/>
      </c>
      <c r="E37" s="788" t="str">
        <f ca="1">IF($C37="","",VLOOKUP($C37,Calc2!$C$17:$AF$25,27,0)&amp;Sprache!$E$109&amp;(VLOOKUP($C37,Calc2!$C$17:$AF$25,27,0)-$F37))</f>
        <v/>
      </c>
      <c r="F37" s="112" t="str">
        <f ca="1">IF($C37="","",VLOOKUP($C37,Calc2!$C$17:$AC$25,26,0))</f>
        <v/>
      </c>
      <c r="G37" s="152" t="str">
        <f ca="1">IF(C37="","",VLOOKUP(C37,Calc2!$C$17:$AB$25,23,0))</f>
        <v/>
      </c>
      <c r="H37" s="136" t="str">
        <f ca="1">IFERROR(VLOOKUP($C37&amp;H$34,Calc2!$Z$64:$AB$207,3,0),"")</f>
        <v/>
      </c>
      <c r="I37" s="112" t="str">
        <f ca="1">IFERROR(VLOOKUP($C37&amp;I$34,Calc2!$Z$64:$AB$207,3,0),"")</f>
        <v/>
      </c>
      <c r="J37" s="121"/>
      <c r="K37" s="112" t="str">
        <f ca="1">IFERROR(VLOOKUP($C37&amp;K$34,Calc2!$Z$64:$AB$207,3,0),"")</f>
        <v/>
      </c>
      <c r="L37" s="112" t="str">
        <f ca="1">IFERROR(VLOOKUP($C37&amp;L$34,Calc2!$Z$64:$AB$207,3,0),"")</f>
        <v/>
      </c>
      <c r="M37" s="156" t="str">
        <f ca="1">IFERROR(VLOOKUP($C37&amp;M$34,Calc2!$Z$64:$AB$207,3,0),"")</f>
        <v/>
      </c>
      <c r="N37" s="184" t="str">
        <f t="shared" ca="1" si="3"/>
        <v/>
      </c>
    </row>
    <row r="38" spans="2:14" ht="21.95" customHeight="1" x14ac:dyDescent="0.2">
      <c r="B38" s="115" t="str">
        <f ca="1">IF($C38="","",INDEX(Vorrunde!$W$12:$W$47,MATCH($C38,Vorrunde!$X$12:$X$47,0)))</f>
        <v/>
      </c>
      <c r="C38" s="124" t="str">
        <f ca="1">IF(Calc2!$K$13=0,"",Calc2!$AM7)</f>
        <v/>
      </c>
      <c r="D38" s="128" t="str">
        <f ca="1">IF($C38="","",VLOOKUP($C38,Calc2!$C$17:$AC$25,25,0))</f>
        <v/>
      </c>
      <c r="E38" s="788" t="str">
        <f ca="1">IF($C38="","",VLOOKUP($C38,Calc2!$C$17:$AF$25,27,0)&amp;Sprache!$E$109&amp;(VLOOKUP($C38,Calc2!$C$17:$AF$25,27,0)-$F38))</f>
        <v/>
      </c>
      <c r="F38" s="112" t="str">
        <f ca="1">IF($C38="","",VLOOKUP($C38,Calc2!$C$17:$AC$25,26,0))</f>
        <v/>
      </c>
      <c r="G38" s="152" t="str">
        <f ca="1">IF(C38="","",VLOOKUP(C38,Calc2!$C$17:$AB$25,23,0))</f>
        <v/>
      </c>
      <c r="H38" s="136" t="str">
        <f ca="1">IFERROR(VLOOKUP($C38&amp;H$34,Calc2!$Z$64:$AB$207,3,0),"")</f>
        <v/>
      </c>
      <c r="I38" s="112" t="str">
        <f ca="1">IFERROR(VLOOKUP($C38&amp;I$34,Calc2!$Z$64:$AB$207,3,0),"")</f>
        <v/>
      </c>
      <c r="J38" s="112" t="str">
        <f ca="1">IFERROR(VLOOKUP($C38&amp;J$34,Calc2!$Z$64:$AB$207,3,0),"")</f>
        <v/>
      </c>
      <c r="K38" s="121"/>
      <c r="L38" s="112" t="str">
        <f ca="1">IFERROR(VLOOKUP($C38&amp;L$34,Calc2!$Z$64:$AB$207,3,0),"")</f>
        <v/>
      </c>
      <c r="M38" s="156" t="str">
        <f ca="1">IFERROR(VLOOKUP($C38&amp;M$34,Calc2!$Z$64:$AB$207,3,0),"")</f>
        <v/>
      </c>
      <c r="N38" s="184" t="str">
        <f t="shared" ca="1" si="3"/>
        <v/>
      </c>
    </row>
    <row r="39" spans="2:14" ht="21.95" customHeight="1" x14ac:dyDescent="0.2">
      <c r="B39" s="115" t="str">
        <f ca="1">IF($C39="","",INDEX(Vorrunde!$W$12:$W$47,MATCH($C39,Vorrunde!$X$12:$X$47,0)))</f>
        <v/>
      </c>
      <c r="C39" s="124" t="str">
        <f ca="1">IF(Calc2!$K$13=0,"",Calc2!$AM8)</f>
        <v/>
      </c>
      <c r="D39" s="128" t="str">
        <f ca="1">IF($C39="","",VLOOKUP($C39,Calc2!$C$17:$AC$25,25,0))</f>
        <v/>
      </c>
      <c r="E39" s="788" t="str">
        <f ca="1">IF($C39="","",VLOOKUP($C39,Calc2!$C$17:$AF$25,27,0)&amp;Sprache!$E$109&amp;(VLOOKUP($C39,Calc2!$C$17:$AF$25,27,0)-$F39))</f>
        <v/>
      </c>
      <c r="F39" s="112" t="str">
        <f ca="1">IF($C39="","",VLOOKUP($C39,Calc2!$C$17:$AC$25,26,0))</f>
        <v/>
      </c>
      <c r="G39" s="152" t="str">
        <f ca="1">IF(C39="","",VLOOKUP(C39,Calc2!$C$17:$AB$25,23,0))</f>
        <v/>
      </c>
      <c r="H39" s="136" t="str">
        <f ca="1">IFERROR(VLOOKUP($C39&amp;H$34,Calc2!$Z$64:$AB$207,3,0),"")</f>
        <v/>
      </c>
      <c r="I39" s="112" t="str">
        <f ca="1">IFERROR(VLOOKUP($C39&amp;I$34,Calc2!$Z$64:$AB$207,3,0),"")</f>
        <v/>
      </c>
      <c r="J39" s="112" t="str">
        <f ca="1">IFERROR(VLOOKUP($C39&amp;J$34,Calc2!$Z$64:$AB$207,3,0),"")</f>
        <v/>
      </c>
      <c r="K39" s="112" t="str">
        <f ca="1">IFERROR(VLOOKUP($C39&amp;K$34,Calc2!$Z$64:$AB$207,3,0),"")</f>
        <v/>
      </c>
      <c r="L39" s="121"/>
      <c r="M39" s="156" t="str">
        <f ca="1">IFERROR(VLOOKUP($C39&amp;M$34,Calc2!$Z$64:$AB$207,3,0),"")</f>
        <v/>
      </c>
      <c r="N39" s="184" t="str">
        <f t="shared" ca="1" si="3"/>
        <v/>
      </c>
    </row>
    <row r="40" spans="2:14" ht="21.95" customHeight="1" thickBot="1" x14ac:dyDescent="0.25">
      <c r="B40" s="116" t="str">
        <f ca="1">IF($C40="","",INDEX(Vorrunde!$W$12:$W$47,MATCH($C40,Vorrunde!$X$12:$X$47,0)))</f>
        <v/>
      </c>
      <c r="C40" s="125" t="str">
        <f ca="1">IF(Calc2!$K$13=0,"",Calc2!$AM9)</f>
        <v/>
      </c>
      <c r="D40" s="129" t="str">
        <f ca="1">IF($C40="","",VLOOKUP($C40,Calc2!$C$17:$AC$25,25,0))</f>
        <v/>
      </c>
      <c r="E40" s="789" t="str">
        <f ca="1">IF($C40="","",VLOOKUP($C40,Calc2!$C$17:$AF$25,27,0)&amp;Sprache!$E$109&amp;(VLOOKUP($C40,Calc2!$C$17:$AF$25,27,0)-$F40))</f>
        <v/>
      </c>
      <c r="F40" s="113" t="str">
        <f ca="1">IF($C40="","",VLOOKUP($C40,Calc2!$C$17:$AC$25,26,0))</f>
        <v/>
      </c>
      <c r="G40" s="153" t="str">
        <f ca="1">IF(C40="","",VLOOKUP(C40,Calc2!$C$17:$AB$25,23,0))</f>
        <v/>
      </c>
      <c r="H40" s="137" t="str">
        <f ca="1">IFERROR(VLOOKUP($C40&amp;H$34,Calc2!$Z$64:$AB$207,3,0),"")</f>
        <v/>
      </c>
      <c r="I40" s="113" t="str">
        <f ca="1">IFERROR(VLOOKUP($C40&amp;I$34,Calc2!$Z$64:$AB$207,3,0),"")</f>
        <v/>
      </c>
      <c r="J40" s="113" t="str">
        <f ca="1">IFERROR(VLOOKUP($C40&amp;J$34,Calc2!$Z$64:$AB$207,3,0),"")</f>
        <v/>
      </c>
      <c r="K40" s="113" t="str">
        <f ca="1">IFERROR(VLOOKUP($C40&amp;K$34,Calc2!$Z$64:$AB$207,3,0),"")</f>
        <v/>
      </c>
      <c r="L40" s="113" t="str">
        <f ca="1">IFERROR(VLOOKUP($C40&amp;L$34,Calc2!$Z$64:$AB$207,3,0),"")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466F-0846-48FB-B824-C8BE09121049}">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00" t="str">
        <f>Sprache!$E$7</f>
        <v>Direkte Vergleiche</v>
      </c>
      <c r="C2" s="1000"/>
      <c r="D2" s="1000"/>
      <c r="E2" s="1000"/>
      <c r="F2" s="1000"/>
      <c r="G2" s="1000"/>
      <c r="H2" s="1000"/>
      <c r="I2" s="1000"/>
      <c r="J2" s="1000"/>
      <c r="K2" s="1000"/>
      <c r="L2" s="1000"/>
      <c r="M2" s="1000"/>
    </row>
    <row r="3" spans="2:14" ht="42.75" customHeight="1" x14ac:dyDescent="0.2">
      <c r="B3" s="1001" t="str">
        <f>Sprache!$E$56&amp;" C"</f>
        <v>Vorrunde Gruppe C</v>
      </c>
      <c r="C3" s="1001"/>
      <c r="D3" s="1001"/>
      <c r="E3" s="1001"/>
      <c r="F3" s="1001"/>
      <c r="G3" s="1001"/>
      <c r="H3" s="1001"/>
      <c r="I3" s="1001"/>
      <c r="J3" s="1001"/>
      <c r="K3" s="1001"/>
      <c r="L3" s="1001"/>
      <c r="M3" s="1001"/>
    </row>
    <row r="4" spans="2:14" ht="17.25" customHeight="1" x14ac:dyDescent="0.2">
      <c r="B4" s="1002" t="str">
        <f>Sprache!$E$107</f>
        <v>Rote Schrift bedeutet, dass die Rangfolge auch mit dem direkten Vergleich nicht geklärt ist. Ein Entscheidungsspiel oder Los muss hier entscheiden.</v>
      </c>
      <c r="C4" s="1002"/>
      <c r="D4" s="1002"/>
      <c r="E4" s="1002"/>
      <c r="F4" s="1002"/>
      <c r="G4" s="1002"/>
      <c r="H4" s="1002"/>
      <c r="I4" s="1002"/>
      <c r="J4" s="1002"/>
      <c r="K4" s="1002"/>
      <c r="L4" s="1002"/>
      <c r="M4" s="1002"/>
      <c r="N4" s="1002"/>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IF(LEN(H7)&gt;Einstellungen!$C$33,LEFT(H7,Einstellungen!$C$33)&amp;".",H7)</f>
        <v/>
      </c>
      <c r="I6" s="148" t="str">
        <f ca="1">IF(LEN(I7)&gt;Einstellungen!$C$33,LEFT(I7,Einstellungen!$C$33)&amp;".",I7)</f>
        <v/>
      </c>
      <c r="J6" s="148" t="str">
        <f ca="1">IF(LEN(J7)&gt;Einstellungen!$C$33,LEFT(J7,Einstellungen!$C$33)&amp;".",J7)</f>
        <v/>
      </c>
      <c r="K6" s="148" t="str">
        <f ca="1">IF(LEN(K7)&gt;Einstellungen!$C$33,LEFT(K7,Einstellungen!$C$33)&amp;".",K7)</f>
        <v/>
      </c>
      <c r="L6" s="148" t="str">
        <f ca="1">IF(LEN(L7)&gt;Einstellungen!$C$33,LEFT(L7,Einstellungen!$C$33)&amp;".",L7)</f>
        <v/>
      </c>
      <c r="M6" s="149" t="str">
        <f ca="1">IF(LEN(M7)&gt;Einstellungen!$C$33,LEFT(M7,Einstellungen!$C$33)&amp;".",M7)</f>
        <v/>
      </c>
    </row>
    <row r="7" spans="2:14" ht="21.95" customHeight="1" thickTop="1" thickBot="1" x14ac:dyDescent="0.25">
      <c r="B7" s="117"/>
      <c r="C7" s="122" t="str">
        <f>Sprache!$E$10</f>
        <v>Teilnehmer bzw. Mannschaft</v>
      </c>
      <c r="D7" s="126" t="str">
        <f>Sprache!$E$91</f>
        <v>Satzpkt.</v>
      </c>
      <c r="E7" s="126" t="str">
        <f>Sprache!$E$74</f>
        <v>Bälle</v>
      </c>
      <c r="F7" s="114" t="str">
        <f>Sprache!$E$26</f>
        <v>Diff.</v>
      </c>
      <c r="G7" s="150" t="str">
        <f>Sprache!$E$49</f>
        <v>Tie-Break</v>
      </c>
      <c r="H7" s="130" t="str">
        <f ca="1">C8</f>
        <v/>
      </c>
      <c r="I7" s="131" t="str">
        <f ca="1">C9</f>
        <v/>
      </c>
      <c r="J7" s="131" t="str">
        <f ca="1">C10</f>
        <v/>
      </c>
      <c r="K7" s="131" t="str">
        <f ca="1">C11</f>
        <v/>
      </c>
      <c r="L7" s="131" t="str">
        <f ca="1">C12</f>
        <v/>
      </c>
      <c r="M7" s="154" t="str">
        <f ca="1">C13</f>
        <v/>
      </c>
    </row>
    <row r="8" spans="2:14" ht="21.95" customHeight="1" x14ac:dyDescent="0.2">
      <c r="B8" s="115" t="str">
        <f ca="1">IF($C8="","",INDEX(Vorrunde!$W$12:$W$47,MATCH($C8,Vorrunde!$X$12:$X$47,0)))</f>
        <v/>
      </c>
      <c r="C8" s="123" t="str">
        <f ca="1">IF(Calc3!$K$13=0,"",Calc3!$X4)</f>
        <v/>
      </c>
      <c r="D8" s="127" t="str">
        <f ca="1">IF($C8="","",VLOOKUP($C8,Calc3!$C$17:$AC$25,25,0))</f>
        <v/>
      </c>
      <c r="E8" s="787" t="str">
        <f ca="1">IF($C8="","",VLOOKUP($C8,Calc3!$C$17:$AF$25,27,0)&amp;Sprache!$E$109&amp;(VLOOKUP($C8,Calc3!$C$17:$AF$25,27,0)-$F8))</f>
        <v/>
      </c>
      <c r="F8" s="111" t="str">
        <f ca="1">IF($C8="","",VLOOKUP($C8,Calc3!$C$17:$AC$25,26,0))</f>
        <v/>
      </c>
      <c r="G8" s="151" t="str">
        <f ca="1">IF(C8="","",VLOOKUP(C8,Calc3!$C$17:$AB$25,23,0))</f>
        <v/>
      </c>
      <c r="H8" s="135"/>
      <c r="I8" s="111" t="str">
        <f ca="1">IFERROR(VLOOKUP($C8&amp;I$7,Calc3!$Z$64:$AB$207,3,0),"")</f>
        <v/>
      </c>
      <c r="J8" s="111" t="str">
        <f ca="1">IFERROR(VLOOKUP($C8&amp;J$7,Calc3!$Z$64:$AB$207,3,0),"")</f>
        <v/>
      </c>
      <c r="K8" s="111" t="str">
        <f ca="1">IFERROR(VLOOKUP($C8&amp;K$7,Calc3!$Z$64:$AB$207,3,0),"")</f>
        <v/>
      </c>
      <c r="L8" s="111" t="str">
        <f ca="1">IFERROR(VLOOKUP($C8&amp;L$7,Calc3!$Z$64:$AB$207,3,0),"")</f>
        <v/>
      </c>
      <c r="M8" s="155" t="str">
        <f ca="1">IFERROR(VLOOKUP($C8&amp;M$7,Calc3!$Z$64:$AB$207,3,0),"")</f>
        <v/>
      </c>
      <c r="N8" s="183" t="str">
        <f t="shared" ref="N8:N13" ca="1" si="0">C8</f>
        <v/>
      </c>
    </row>
    <row r="9" spans="2:14" ht="21.95" customHeight="1" x14ac:dyDescent="0.2">
      <c r="B9" s="115" t="str">
        <f ca="1">IF($C9="","",INDEX(Vorrunde!$W$12:$W$47,MATCH($C9,Vorrunde!$X$12:$X$47,0)))</f>
        <v/>
      </c>
      <c r="C9" s="124" t="str">
        <f ca="1">IF(Calc3!$K$13=0,"",Calc3!$X5)</f>
        <v/>
      </c>
      <c r="D9" s="128" t="str">
        <f ca="1">IF($C9="","",VLOOKUP($C9,Calc3!$C$17:$AC$25,25,0))</f>
        <v/>
      </c>
      <c r="E9" s="788" t="str">
        <f ca="1">IF($C9="","",VLOOKUP($C9,Calc3!$C$17:$AF$25,27,0)&amp;Sprache!$E$109&amp;(VLOOKUP($C9,Calc3!$C$17:$AF$25,27,0)-$F9))</f>
        <v/>
      </c>
      <c r="F9" s="112" t="str">
        <f ca="1">IF($C9="","",VLOOKUP($C9,Calc3!$C$17:$AC$25,26,0))</f>
        <v/>
      </c>
      <c r="G9" s="152" t="str">
        <f ca="1">IF(C9="","",VLOOKUP(C9,Calc3!$C$17:$AB$25,23,0))</f>
        <v/>
      </c>
      <c r="H9" s="136" t="str">
        <f ca="1">IFERROR(VLOOKUP($C9&amp;H$7,Calc3!$Z$64:$AB$207,3,0),"")</f>
        <v/>
      </c>
      <c r="I9" s="121"/>
      <c r="J9" s="112" t="str">
        <f ca="1">IFERROR(VLOOKUP($C9&amp;J$7,Calc3!$Z$64:$AB$207,3,0),"")</f>
        <v/>
      </c>
      <c r="K9" s="112" t="str">
        <f ca="1">IFERROR(VLOOKUP($C9&amp;K$7,Calc3!$Z$64:$AB$207,3,0),"")</f>
        <v/>
      </c>
      <c r="L9" s="112" t="str">
        <f ca="1">IFERROR(VLOOKUP($C9&amp;L$7,Calc3!$Z$64:$AB$207,3,0),"")</f>
        <v/>
      </c>
      <c r="M9" s="156" t="str">
        <f ca="1">IFERROR(VLOOKUP($C9&amp;M$7,Calc3!$Z$64:$AB$207,3,0),"")</f>
        <v/>
      </c>
      <c r="N9" s="184" t="str">
        <f t="shared" ca="1" si="0"/>
        <v/>
      </c>
    </row>
    <row r="10" spans="2:14" ht="21.95" customHeight="1" x14ac:dyDescent="0.2">
      <c r="B10" s="115" t="str">
        <f ca="1">IF($C10="","",INDEX(Vorrunde!$W$12:$W$47,MATCH($C10,Vorrunde!$X$12:$X$47,0)))</f>
        <v/>
      </c>
      <c r="C10" s="124" t="str">
        <f ca="1">IF(Calc3!$K$13=0,"",Calc3!$X6)</f>
        <v/>
      </c>
      <c r="D10" s="128" t="str">
        <f ca="1">IF($C10="","",VLOOKUP($C10,Calc3!$C$17:$AC$25,25,0))</f>
        <v/>
      </c>
      <c r="E10" s="788" t="str">
        <f ca="1">IF($C10="","",VLOOKUP($C10,Calc3!$C$17:$AF$25,27,0)&amp;Sprache!$E$109&amp;(VLOOKUP($C10,Calc3!$C$17:$AF$25,27,0)-$F10))</f>
        <v/>
      </c>
      <c r="F10" s="112" t="str">
        <f ca="1">IF($C10="","",VLOOKUP($C10,Calc3!$C$17:$AC$25,26,0))</f>
        <v/>
      </c>
      <c r="G10" s="152" t="str">
        <f ca="1">IF(C10="","",VLOOKUP(C10,Calc3!$C$17:$AB$25,23,0))</f>
        <v/>
      </c>
      <c r="H10" s="136" t="str">
        <f ca="1">IFERROR(VLOOKUP($C10&amp;H$7,Calc3!$Z$64:$AB$207,3,0),"")</f>
        <v/>
      </c>
      <c r="I10" s="112" t="str">
        <f ca="1">IFERROR(VLOOKUP($C10&amp;I$7,Calc3!$Z$64:$AB$207,3,0),"")</f>
        <v/>
      </c>
      <c r="J10" s="121"/>
      <c r="K10" s="112" t="str">
        <f ca="1">IFERROR(VLOOKUP($C10&amp;K$7,Calc3!$Z$64:$AB$207,3,0),"")</f>
        <v/>
      </c>
      <c r="L10" s="112" t="str">
        <f ca="1">IFERROR(VLOOKUP($C10&amp;L$7,Calc3!$Z$64:$AB$207,3,0),"")</f>
        <v/>
      </c>
      <c r="M10" s="156" t="str">
        <f ca="1">IFERROR(VLOOKUP($C10&amp;M$7,Calc3!$Z$64:$AB$207,3,0),"")</f>
        <v/>
      </c>
      <c r="N10" s="184" t="str">
        <f t="shared" ca="1" si="0"/>
        <v/>
      </c>
    </row>
    <row r="11" spans="2:14" ht="21.95" customHeight="1" x14ac:dyDescent="0.2">
      <c r="B11" s="115" t="str">
        <f ca="1">IF($C11="","",INDEX(Vorrunde!$W$12:$W$47,MATCH($C11,Vorrunde!$X$12:$X$47,0)))</f>
        <v/>
      </c>
      <c r="C11" s="124" t="str">
        <f ca="1">IF(Calc3!$K$13=0,"",Calc3!$X7)</f>
        <v/>
      </c>
      <c r="D11" s="128" t="str">
        <f ca="1">IF($C11="","",VLOOKUP($C11,Calc3!$C$17:$AC$25,25,0))</f>
        <v/>
      </c>
      <c r="E11" s="788" t="str">
        <f ca="1">IF($C11="","",VLOOKUP($C11,Calc3!$C$17:$AF$25,27,0)&amp;Sprache!$E$109&amp;(VLOOKUP($C11,Calc3!$C$17:$AF$25,27,0)-$F11))</f>
        <v/>
      </c>
      <c r="F11" s="112" t="str">
        <f ca="1">IF($C11="","",VLOOKUP($C11,Calc3!$C$17:$AC$25,26,0))</f>
        <v/>
      </c>
      <c r="G11" s="152" t="str">
        <f ca="1">IF(C11="","",VLOOKUP(C11,Calc3!$C$17:$AB$25,23,0))</f>
        <v/>
      </c>
      <c r="H11" s="136" t="str">
        <f ca="1">IFERROR(VLOOKUP($C11&amp;H$7,Calc3!$Z$64:$AB$207,3,0),"")</f>
        <v/>
      </c>
      <c r="I11" s="112" t="str">
        <f ca="1">IFERROR(VLOOKUP($C11&amp;I$7,Calc3!$Z$64:$AB$207,3,0),"")</f>
        <v/>
      </c>
      <c r="J11" s="112" t="str">
        <f ca="1">IFERROR(VLOOKUP($C11&amp;J$7,Calc3!$Z$64:$AB$207,3,0),"")</f>
        <v/>
      </c>
      <c r="K11" s="121"/>
      <c r="L11" s="112" t="str">
        <f ca="1">IFERROR(VLOOKUP($C11&amp;L$7,Calc3!$Z$64:$AB$207,3,0),"")</f>
        <v/>
      </c>
      <c r="M11" s="156" t="str">
        <f ca="1">IFERROR(VLOOKUP($C11&amp;M$7,Calc3!$Z$64:$AB$207,3,0),"")</f>
        <v/>
      </c>
      <c r="N11" s="184" t="str">
        <f t="shared" ca="1" si="0"/>
        <v/>
      </c>
    </row>
    <row r="12" spans="2:14" ht="21.95" customHeight="1" x14ac:dyDescent="0.2">
      <c r="B12" s="115" t="str">
        <f ca="1">IF($C12="","",INDEX(Vorrunde!$W$12:$W$47,MATCH($C12,Vorrunde!$X$12:$X$47,0)))</f>
        <v/>
      </c>
      <c r="C12" s="124" t="str">
        <f ca="1">IF(Calc3!$K$13=0,"",Calc3!$X8)</f>
        <v/>
      </c>
      <c r="D12" s="128" t="str">
        <f ca="1">IF($C12="","",VLOOKUP($C12,Calc3!$C$17:$AC$25,25,0))</f>
        <v/>
      </c>
      <c r="E12" s="788" t="str">
        <f ca="1">IF($C12="","",VLOOKUP($C12,Calc3!$C$17:$AF$25,27,0)&amp;Sprache!$E$109&amp;(VLOOKUP($C12,Calc3!$C$17:$AF$25,27,0)-$F12))</f>
        <v/>
      </c>
      <c r="F12" s="112" t="str">
        <f ca="1">IF($C12="","",VLOOKUP($C12,Calc3!$C$17:$AC$25,26,0))</f>
        <v/>
      </c>
      <c r="G12" s="152" t="str">
        <f ca="1">IF(C12="","",VLOOKUP(C12,Calc3!$C$17:$AB$25,23,0))</f>
        <v/>
      </c>
      <c r="H12" s="136" t="str">
        <f ca="1">IFERROR(VLOOKUP($C12&amp;H$7,Calc3!$Z$64:$AB$207,3,0),"")</f>
        <v/>
      </c>
      <c r="I12" s="112" t="str">
        <f ca="1">IFERROR(VLOOKUP($C12&amp;I$7,Calc3!$Z$64:$AB$207,3,0),"")</f>
        <v/>
      </c>
      <c r="J12" s="112" t="str">
        <f ca="1">IFERROR(VLOOKUP($C12&amp;J$7,Calc3!$Z$64:$AB$207,3,0),"")</f>
        <v/>
      </c>
      <c r="K12" s="112" t="str">
        <f ca="1">IFERROR(VLOOKUP($C12&amp;K$7,Calc3!$Z$64:$AB$207,3,0),"")</f>
        <v/>
      </c>
      <c r="L12" s="121"/>
      <c r="M12" s="156" t="str">
        <f ca="1">IFERROR(VLOOKUP($C12&amp;M$7,Calc3!$Z$64:$AB$207,3,0),"")</f>
        <v/>
      </c>
      <c r="N12" s="184" t="str">
        <f t="shared" ca="1" si="0"/>
        <v/>
      </c>
    </row>
    <row r="13" spans="2:14" ht="21.95" customHeight="1" thickBot="1" x14ac:dyDescent="0.25">
      <c r="B13" s="116" t="str">
        <f ca="1">IF($C13="","",INDEX(Vorrunde!$W$12:$W$47,MATCH($C13,Vorrunde!$X$12:$X$47,0)))</f>
        <v/>
      </c>
      <c r="C13" s="125" t="str">
        <f ca="1">IF(Calc3!$K$13=0,"",Calc3!$X9)</f>
        <v/>
      </c>
      <c r="D13" s="129" t="str">
        <f ca="1">IF($C13="","",VLOOKUP($C13,Calc3!$C$17:$AC$25,25,0))</f>
        <v/>
      </c>
      <c r="E13" s="789" t="str">
        <f ca="1">IF($C13="","",VLOOKUP($C13,Calc3!$C$17:$AF$25,27,0)&amp;Sprache!$E$109&amp;(VLOOKUP($C13,Calc3!$C$17:$AF$25,27,0)-$F13))</f>
        <v/>
      </c>
      <c r="F13" s="113" t="str">
        <f ca="1">IF($C13="","",VLOOKUP($C13,Calc3!$C$17:$AC$25,26,0))</f>
        <v/>
      </c>
      <c r="G13" s="153" t="str">
        <f ca="1">IF(C13="","",VLOOKUP(C13,Calc3!$C$17:$AB$25,23,0))</f>
        <v/>
      </c>
      <c r="H13" s="137" t="str">
        <f ca="1">IFERROR(VLOOKUP($C13&amp;H$7,Calc3!$Z$64:$AB$207,3,0),"")</f>
        <v/>
      </c>
      <c r="I13" s="113" t="str">
        <f ca="1">IFERROR(VLOOKUP($C13&amp;I$7,Calc3!$Z$64:$AB$207,3,0),"")</f>
        <v/>
      </c>
      <c r="J13" s="113" t="str">
        <f ca="1">IFERROR(VLOOKUP($C13&amp;J$7,Calc3!$Z$64:$AB$207,3,0),"")</f>
        <v/>
      </c>
      <c r="K13" s="113" t="str">
        <f ca="1">IFERROR(VLOOKUP($C13&amp;K$7,Calc3!$Z$64:$AB$207,3,0),"")</f>
        <v/>
      </c>
      <c r="L13" s="113" t="str">
        <f ca="1">IFERROR(VLOOKUP($C13&amp;L$7,Calc3!$Z$64:$AB$207,3,0),"")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IF(LEN(H16)&gt;Einstellungen!$C$33,LEFT(H16,Einstellungen!$C$33)&amp;".",H16)</f>
        <v/>
      </c>
      <c r="I15" s="148" t="str">
        <f ca="1">IF(LEN(I16)&gt;Einstellungen!$C$33,LEFT(I16,Einstellungen!$C$33)&amp;".",I16)</f>
        <v/>
      </c>
      <c r="J15" s="148" t="str">
        <f ca="1">IF(LEN(J16)&gt;Einstellungen!$C$33,LEFT(J16,Einstellungen!$C$33)&amp;".",J16)</f>
        <v/>
      </c>
      <c r="K15" s="148" t="str">
        <f ca="1">IF(LEN(K16)&gt;Einstellungen!$C$33,LEFT(K16,Einstellungen!$C$33)&amp;".",K16)</f>
        <v/>
      </c>
      <c r="L15" s="148" t="str">
        <f ca="1">IF(LEN(L16)&gt;Einstellungen!$C$33,LEFT(L16,Einstellungen!$C$33)&amp;".",L16)</f>
        <v/>
      </c>
      <c r="M15" s="149" t="str">
        <f ca="1">IF(LEN(M16)&gt;Einstellungen!$C$33,LEFT(M16,Einstellungen!$C$33)&amp;".",M16)</f>
        <v/>
      </c>
    </row>
    <row r="16" spans="2:14" ht="21.95" customHeight="1" thickTop="1" thickBot="1" x14ac:dyDescent="0.25">
      <c r="B16" s="117"/>
      <c r="C16" s="122" t="str">
        <f>Sprache!$E$10</f>
        <v>Teilnehmer bzw. Mannschaft</v>
      </c>
      <c r="D16" s="126" t="str">
        <f>Sprache!$E$91</f>
        <v>Satzpkt.</v>
      </c>
      <c r="E16" s="126" t="str">
        <f>Sprache!$E$74</f>
        <v>Bälle</v>
      </c>
      <c r="F16" s="114" t="str">
        <f>Sprache!$E$26</f>
        <v>Diff.</v>
      </c>
      <c r="G16" s="150" t="str">
        <f>Sprache!$E$49</f>
        <v>Tie-Break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IF($C17="","",INDEX(Vorrunde!$W$12:$W$47,MATCH($C17,Vorrunde!$X$12:$X$47,0)))</f>
        <v/>
      </c>
      <c r="C17" s="123" t="str">
        <f ca="1">IF(Calc3!$K$13=0,"",Calc3!$AC4)</f>
        <v/>
      </c>
      <c r="D17" s="127" t="str">
        <f ca="1">IF($C17="","",VLOOKUP($C17,Calc3!$C$17:$AC$25,25,0))</f>
        <v/>
      </c>
      <c r="E17" s="787" t="str">
        <f ca="1">IF($C17="","",VLOOKUP($C17,Calc3!$C$17:$AF$25,27,0)&amp;Sprache!$E$109&amp;(VLOOKUP($C17,Calc3!$C$17:$AF$25,27,0)-$F17))</f>
        <v/>
      </c>
      <c r="F17" s="111" t="str">
        <f ca="1">IF($C17="","",VLOOKUP($C17,Calc3!$C$17:$AC$25,26,0))</f>
        <v/>
      </c>
      <c r="G17" s="151" t="str">
        <f ca="1">IF(C17="","",VLOOKUP(C17,Calc3!$C$17:$AB$25,23,0))</f>
        <v/>
      </c>
      <c r="H17" s="135"/>
      <c r="I17" s="111" t="str">
        <f ca="1">IFERROR(VLOOKUP($C17&amp;I$16,Calc3!$Z$64:$AB$207,3,0),"")</f>
        <v/>
      </c>
      <c r="J17" s="111" t="str">
        <f ca="1">IFERROR(VLOOKUP($C17&amp;J$16,Calc3!$Z$64:$AB$207,3,0),"")</f>
        <v/>
      </c>
      <c r="K17" s="111" t="str">
        <f ca="1">IFERROR(VLOOKUP($C17&amp;K$16,Calc3!$Z$64:$AB$207,3,0),"")</f>
        <v/>
      </c>
      <c r="L17" s="111" t="str">
        <f ca="1">IFERROR(VLOOKUP($C17&amp;L$16,Calc3!$Z$64:$AB$207,3,0),"")</f>
        <v/>
      </c>
      <c r="M17" s="155" t="str">
        <f ca="1">IFERROR(VLOOKUP($C17&amp;M$16,Calc3!$Z$64:$AB$207,3,0),"")</f>
        <v/>
      </c>
      <c r="N17" s="183" t="str">
        <f t="shared" ref="N17:N22" ca="1" si="1">C17</f>
        <v/>
      </c>
    </row>
    <row r="18" spans="2:14" ht="21.95" customHeight="1" x14ac:dyDescent="0.2">
      <c r="B18" s="115" t="str">
        <f ca="1">IF($C18="","",INDEX(Vorrunde!$W$12:$W$47,MATCH($C18,Vorrunde!$X$12:$X$47,0)))</f>
        <v/>
      </c>
      <c r="C18" s="124" t="str">
        <f ca="1">IF(Calc3!$K$13=0,"",Calc3!$AC5)</f>
        <v/>
      </c>
      <c r="D18" s="128" t="str">
        <f ca="1">IF($C18="","",VLOOKUP($C18,Calc3!$C$17:$AC$25,25,0))</f>
        <v/>
      </c>
      <c r="E18" s="788" t="str">
        <f ca="1">IF($C18="","",VLOOKUP($C18,Calc3!$C$17:$AF$25,27,0)&amp;Sprache!$E$109&amp;(VLOOKUP($C18,Calc3!$C$17:$AF$25,27,0)-$F18))</f>
        <v/>
      </c>
      <c r="F18" s="112" t="str">
        <f ca="1">IF($C18="","",VLOOKUP($C18,Calc3!$C$17:$AC$25,26,0))</f>
        <v/>
      </c>
      <c r="G18" s="152" t="str">
        <f ca="1">IF(C18="","",VLOOKUP(C18,Calc3!$C$17:$AB$25,23,0))</f>
        <v/>
      </c>
      <c r="H18" s="136" t="str">
        <f ca="1">IFERROR(VLOOKUP($C18&amp;H$16,Calc3!$Z$64:$AB$207,3,0),"")</f>
        <v/>
      </c>
      <c r="I18" s="121"/>
      <c r="J18" s="112" t="str">
        <f ca="1">IFERROR(VLOOKUP($C18&amp;J$16,Calc3!$Z$64:$AB$207,3,0),"")</f>
        <v/>
      </c>
      <c r="K18" s="112" t="str">
        <f ca="1">IFERROR(VLOOKUP($C18&amp;K$16,Calc3!$Z$64:$AB$207,3,0),"")</f>
        <v/>
      </c>
      <c r="L18" s="112" t="str">
        <f ca="1">IFERROR(VLOOKUP($C18&amp;L$16,Calc3!$Z$64:$AB$207,3,0),"")</f>
        <v/>
      </c>
      <c r="M18" s="156" t="str">
        <f ca="1">IFERROR(VLOOKUP($C18&amp;M$16,Calc3!$Z$64:$AB$207,3,0),"")</f>
        <v/>
      </c>
      <c r="N18" s="184" t="str">
        <f t="shared" ca="1" si="1"/>
        <v/>
      </c>
    </row>
    <row r="19" spans="2:14" ht="21.95" customHeight="1" x14ac:dyDescent="0.2">
      <c r="B19" s="115" t="str">
        <f ca="1">IF($C19="","",INDEX(Vorrunde!$W$12:$W$47,MATCH($C19,Vorrunde!$X$12:$X$47,0)))</f>
        <v/>
      </c>
      <c r="C19" s="124" t="str">
        <f ca="1">IF(Calc3!$K$13=0,"",Calc3!$AC6)</f>
        <v/>
      </c>
      <c r="D19" s="128" t="str">
        <f ca="1">IF($C19="","",VLOOKUP($C19,Calc3!$C$17:$AC$25,25,0))</f>
        <v/>
      </c>
      <c r="E19" s="788" t="str">
        <f ca="1">IF($C19="","",VLOOKUP($C19,Calc3!$C$17:$AF$25,27,0)&amp;Sprache!$E$109&amp;(VLOOKUP($C19,Calc3!$C$17:$AF$25,27,0)-$F19))</f>
        <v/>
      </c>
      <c r="F19" s="112" t="str">
        <f ca="1">IF($C19="","",VLOOKUP($C19,Calc3!$C$17:$AC$25,26,0))</f>
        <v/>
      </c>
      <c r="G19" s="152" t="str">
        <f ca="1">IF(C19="","",VLOOKUP(C19,Calc3!$C$17:$AB$25,23,0))</f>
        <v/>
      </c>
      <c r="H19" s="136" t="str">
        <f ca="1">IFERROR(VLOOKUP($C19&amp;H$16,Calc3!$Z$64:$AB$207,3,0),"")</f>
        <v/>
      </c>
      <c r="I19" s="112" t="str">
        <f ca="1">IFERROR(VLOOKUP($C19&amp;I$16,Calc3!$Z$64:$AB$207,3,0),"")</f>
        <v/>
      </c>
      <c r="J19" s="121"/>
      <c r="K19" s="112" t="str">
        <f ca="1">IFERROR(VLOOKUP($C19&amp;K$16,Calc3!$Z$64:$AB$207,3,0),"")</f>
        <v/>
      </c>
      <c r="L19" s="112" t="str">
        <f ca="1">IFERROR(VLOOKUP($C19&amp;L$16,Calc3!$Z$64:$AB$207,3,0),"")</f>
        <v/>
      </c>
      <c r="M19" s="156" t="str">
        <f ca="1">IFERROR(VLOOKUP($C19&amp;M$16,Calc3!$Z$64:$AB$207,3,0),"")</f>
        <v/>
      </c>
      <c r="N19" s="184" t="str">
        <f t="shared" ca="1" si="1"/>
        <v/>
      </c>
    </row>
    <row r="20" spans="2:14" ht="21.95" customHeight="1" x14ac:dyDescent="0.2">
      <c r="B20" s="115" t="str">
        <f ca="1">IF($C20="","",INDEX(Vorrunde!$W$12:$W$47,MATCH($C20,Vorrunde!$X$12:$X$47,0)))</f>
        <v/>
      </c>
      <c r="C20" s="124" t="str">
        <f ca="1">IF(Calc3!$K$13=0,"",Calc3!$AC7)</f>
        <v/>
      </c>
      <c r="D20" s="128" t="str">
        <f ca="1">IF($C20="","",VLOOKUP($C20,Calc3!$C$17:$AC$25,25,0))</f>
        <v/>
      </c>
      <c r="E20" s="788" t="str">
        <f ca="1">IF($C20="","",VLOOKUP($C20,Calc3!$C$17:$AF$25,27,0)&amp;Sprache!$E$109&amp;(VLOOKUP($C20,Calc3!$C$17:$AF$25,27,0)-$F20))</f>
        <v/>
      </c>
      <c r="F20" s="112" t="str">
        <f ca="1">IF($C20="","",VLOOKUP($C20,Calc3!$C$17:$AC$25,26,0))</f>
        <v/>
      </c>
      <c r="G20" s="152" t="str">
        <f ca="1">IF(C20="","",VLOOKUP(C20,Calc3!$C$17:$AB$25,23,0))</f>
        <v/>
      </c>
      <c r="H20" s="136" t="str">
        <f ca="1">IFERROR(VLOOKUP($C20&amp;H$16,Calc3!$Z$64:$AB$207,3,0),"")</f>
        <v/>
      </c>
      <c r="I20" s="112" t="str">
        <f ca="1">IFERROR(VLOOKUP($C20&amp;I$16,Calc3!$Z$64:$AB$207,3,0),"")</f>
        <v/>
      </c>
      <c r="J20" s="112" t="str">
        <f ca="1">IFERROR(VLOOKUP($C20&amp;J$16,Calc3!$Z$64:$AB$207,3,0),"")</f>
        <v/>
      </c>
      <c r="K20" s="121"/>
      <c r="L20" s="112" t="str">
        <f ca="1">IFERROR(VLOOKUP($C20&amp;L$16,Calc3!$Z$64:$AB$207,3,0),"")</f>
        <v/>
      </c>
      <c r="M20" s="156" t="str">
        <f ca="1">IFERROR(VLOOKUP($C20&amp;M$16,Calc3!$Z$64:$AB$207,3,0),"")</f>
        <v/>
      </c>
      <c r="N20" s="184" t="str">
        <f t="shared" ca="1" si="1"/>
        <v/>
      </c>
    </row>
    <row r="21" spans="2:14" ht="21.95" customHeight="1" x14ac:dyDescent="0.2">
      <c r="B21" s="115" t="str">
        <f ca="1">IF($C21="","",INDEX(Vorrunde!$W$12:$W$47,MATCH($C21,Vorrunde!$X$12:$X$47,0)))</f>
        <v/>
      </c>
      <c r="C21" s="124" t="str">
        <f ca="1">IF(Calc3!$K$13=0,"",Calc3!$AC8)</f>
        <v/>
      </c>
      <c r="D21" s="128" t="str">
        <f ca="1">IF($C21="","",VLOOKUP($C21,Calc3!$C$17:$AC$25,25,0))</f>
        <v/>
      </c>
      <c r="E21" s="788" t="str">
        <f ca="1">IF($C21="","",VLOOKUP($C21,Calc3!$C$17:$AF$25,27,0)&amp;Sprache!$E$109&amp;(VLOOKUP($C21,Calc3!$C$17:$AF$25,27,0)-$F21))</f>
        <v/>
      </c>
      <c r="F21" s="112" t="str">
        <f ca="1">IF($C21="","",VLOOKUP($C21,Calc3!$C$17:$AC$25,26,0))</f>
        <v/>
      </c>
      <c r="G21" s="152" t="str">
        <f ca="1">IF(C21="","",VLOOKUP(C21,Calc3!$C$17:$AB$25,23,0))</f>
        <v/>
      </c>
      <c r="H21" s="136" t="str">
        <f ca="1">IFERROR(VLOOKUP($C21&amp;H$16,Calc3!$Z$64:$AB$207,3,0),"")</f>
        <v/>
      </c>
      <c r="I21" s="112" t="str">
        <f ca="1">IFERROR(VLOOKUP($C21&amp;I$16,Calc3!$Z$64:$AB$207,3,0),"")</f>
        <v/>
      </c>
      <c r="J21" s="112" t="str">
        <f ca="1">IFERROR(VLOOKUP($C21&amp;J$16,Calc3!$Z$64:$AB$207,3,0),"")</f>
        <v/>
      </c>
      <c r="K21" s="112" t="str">
        <f ca="1">IFERROR(VLOOKUP($C21&amp;K$16,Calc3!$Z$64:$AB$207,3,0),"")</f>
        <v/>
      </c>
      <c r="L21" s="121"/>
      <c r="M21" s="156" t="str">
        <f ca="1">IFERROR(VLOOKUP($C21&amp;M$16,Calc3!$Z$64:$AB$207,3,0),"")</f>
        <v/>
      </c>
      <c r="N21" s="184" t="str">
        <f t="shared" ca="1" si="1"/>
        <v/>
      </c>
    </row>
    <row r="22" spans="2:14" ht="21.95" customHeight="1" thickBot="1" x14ac:dyDescent="0.25">
      <c r="B22" s="116" t="str">
        <f ca="1">IF($C22="","",INDEX(Vorrunde!$W$12:$W$47,MATCH($C22,Vorrunde!$X$12:$X$47,0)))</f>
        <v/>
      </c>
      <c r="C22" s="125" t="str">
        <f ca="1">IF(Calc3!$K$13=0,"",Calc3!$AC9)</f>
        <v/>
      </c>
      <c r="D22" s="129" t="str">
        <f ca="1">IF($C22="","",VLOOKUP($C22,Calc3!$C$17:$AC$25,25,0))</f>
        <v/>
      </c>
      <c r="E22" s="789" t="str">
        <f ca="1">IF($C22="","",VLOOKUP($C22,Calc3!$C$17:$AF$25,27,0)&amp;Sprache!$E$109&amp;(VLOOKUP($C22,Calc3!$C$17:$AF$25,27,0)-$F22))</f>
        <v/>
      </c>
      <c r="F22" s="113" t="str">
        <f ca="1">IF($C22="","",VLOOKUP($C22,Calc3!$C$17:$AC$25,26,0))</f>
        <v/>
      </c>
      <c r="G22" s="153" t="str">
        <f ca="1">IF(C22="","",VLOOKUP(C22,Calc3!$C$17:$AB$25,23,0))</f>
        <v/>
      </c>
      <c r="H22" s="137" t="str">
        <f ca="1">IFERROR(VLOOKUP($C22&amp;H$16,Calc3!$Z$64:$AB$207,3,0),"")</f>
        <v/>
      </c>
      <c r="I22" s="113" t="str">
        <f ca="1">IFERROR(VLOOKUP($C22&amp;I$16,Calc3!$Z$64:$AB$207,3,0),"")</f>
        <v/>
      </c>
      <c r="J22" s="113" t="str">
        <f ca="1">IFERROR(VLOOKUP($C22&amp;J$16,Calc3!$Z$64:$AB$207,3,0),"")</f>
        <v/>
      </c>
      <c r="K22" s="113" t="str">
        <f ca="1">IFERROR(VLOOKUP($C22&amp;K$16,Calc3!$Z$64:$AB$207,3,0),"")</f>
        <v/>
      </c>
      <c r="L22" s="113" t="str">
        <f ca="1">IFERROR(VLOOKUP($C22&amp;L$16,Calc3!$Z$64:$AB$207,3,0),"")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IF(LEN(H25)&gt;Einstellungen!$C$33,LEFT(H25,Einstellungen!$C$33)&amp;".",H25)</f>
        <v/>
      </c>
      <c r="I24" s="148" t="str">
        <f ca="1">IF(LEN(I25)&gt;Einstellungen!$C$33,LEFT(I25,Einstellungen!$C$33)&amp;".",I25)</f>
        <v/>
      </c>
      <c r="J24" s="148" t="str">
        <f ca="1">IF(LEN(J25)&gt;Einstellungen!$C$33,LEFT(J25,Einstellungen!$C$33)&amp;".",J25)</f>
        <v/>
      </c>
      <c r="K24" s="148" t="str">
        <f ca="1">IF(LEN(K25)&gt;Einstellungen!$C$33,LEFT(K25,Einstellungen!$C$33)&amp;".",K25)</f>
        <v/>
      </c>
      <c r="L24" s="148" t="str">
        <f ca="1">IF(LEN(L25)&gt;Einstellungen!$C$33,LEFT(L25,Einstellungen!$C$33)&amp;".",L25)</f>
        <v/>
      </c>
      <c r="M24" s="149" t="str">
        <f ca="1">IF(LEN(M25)&gt;Einstellungen!$C$33,LEFT(M25,Einstellungen!$C$33)&amp;".",M25)</f>
        <v/>
      </c>
    </row>
    <row r="25" spans="2:14" ht="21.95" customHeight="1" thickTop="1" thickBot="1" x14ac:dyDescent="0.25">
      <c r="B25" s="117"/>
      <c r="C25" s="122" t="str">
        <f>Sprache!$E$10</f>
        <v>Teilnehmer bzw. Mannschaft</v>
      </c>
      <c r="D25" s="126" t="str">
        <f>Sprache!$E$91</f>
        <v>Satzpkt.</v>
      </c>
      <c r="E25" s="126" t="str">
        <f>Sprache!$E$74</f>
        <v>Bälle</v>
      </c>
      <c r="F25" s="114" t="str">
        <f>Sprache!$E$26</f>
        <v>Diff.</v>
      </c>
      <c r="G25" s="150" t="str">
        <f>Sprache!$E$49</f>
        <v>Tie-Break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IF($C26="","",INDEX(Vorrunde!$W$12:$W$47,MATCH($C26,Vorrunde!$X$12:$X$47,0)))</f>
        <v/>
      </c>
      <c r="C26" s="123" t="str">
        <f ca="1">IF(Calc3!$K$13=0,"",Calc3!$AH4)</f>
        <v/>
      </c>
      <c r="D26" s="127" t="str">
        <f ca="1">IF($C26="","",VLOOKUP($C26,Calc3!$C$17:$AC$25,25,0))</f>
        <v/>
      </c>
      <c r="E26" s="787" t="str">
        <f ca="1">IF($C26="","",VLOOKUP($C26,Calc3!$C$17:$AF$25,27,0)&amp;Sprache!$E$109&amp;(VLOOKUP($C26,Calc3!$C$17:$AF$25,27,0)-$F26))</f>
        <v/>
      </c>
      <c r="F26" s="111" t="str">
        <f ca="1">IF($C26="","",VLOOKUP($C26,Calc3!$C$17:$AC$25,26,0))</f>
        <v/>
      </c>
      <c r="G26" s="151" t="str">
        <f ca="1">IF(C26="","",VLOOKUP(C26,Calc3!$C$17:$AB$25,23,0))</f>
        <v/>
      </c>
      <c r="H26" s="135"/>
      <c r="I26" s="111" t="str">
        <f ca="1">IFERROR(VLOOKUP($C26&amp;I$25,Calc3!$Z$64:$AB$207,3,0),"")</f>
        <v/>
      </c>
      <c r="J26" s="111" t="str">
        <f ca="1">IFERROR(VLOOKUP($C26&amp;J$25,Calc3!$Z$64:$AB$207,3,0),"")</f>
        <v/>
      </c>
      <c r="K26" s="111" t="str">
        <f ca="1">IFERROR(VLOOKUP($C26&amp;K$25,Calc3!$Z$64:$AB$207,3,0),"")</f>
        <v/>
      </c>
      <c r="L26" s="111" t="str">
        <f ca="1">IFERROR(VLOOKUP($C26&amp;L$25,Calc3!$Z$64:$AB$207,3,0),"")</f>
        <v/>
      </c>
      <c r="M26" s="155" t="str">
        <f ca="1">IFERROR(VLOOKUP($C26&amp;M$25,Calc3!$Z$64:$AB$207,3,0),"")</f>
        <v/>
      </c>
      <c r="N26" s="183" t="str">
        <f t="shared" ref="N26:N31" ca="1" si="2">C26</f>
        <v/>
      </c>
    </row>
    <row r="27" spans="2:14" ht="21.95" customHeight="1" x14ac:dyDescent="0.2">
      <c r="B27" s="115" t="str">
        <f ca="1">IF($C27="","",INDEX(Vorrunde!$W$12:$W$47,MATCH($C27,Vorrunde!$X$12:$X$47,0)))</f>
        <v/>
      </c>
      <c r="C27" s="124" t="str">
        <f ca="1">IF(Calc3!$K$13=0,"",Calc3!$AH5)</f>
        <v/>
      </c>
      <c r="D27" s="128" t="str">
        <f ca="1">IF($C27="","",VLOOKUP($C27,Calc3!$C$17:$AC$25,25,0))</f>
        <v/>
      </c>
      <c r="E27" s="788" t="str">
        <f ca="1">IF($C27="","",VLOOKUP($C27,Calc3!$C$17:$AF$25,27,0)&amp;Sprache!$E$109&amp;(VLOOKUP($C27,Calc3!$C$17:$AF$25,27,0)-$F27))</f>
        <v/>
      </c>
      <c r="F27" s="112" t="str">
        <f ca="1">IF($C27="","",VLOOKUP($C27,Calc3!$C$17:$AC$25,26,0))</f>
        <v/>
      </c>
      <c r="G27" s="152" t="str">
        <f ca="1">IF(C27="","",VLOOKUP(C27,Calc3!$C$17:$AB$25,23,0))</f>
        <v/>
      </c>
      <c r="H27" s="136" t="str">
        <f ca="1">IFERROR(VLOOKUP($C27&amp;H$25,Calc3!$Z$64:$AB$207,3,0),"")</f>
        <v/>
      </c>
      <c r="I27" s="121"/>
      <c r="J27" s="112" t="str">
        <f ca="1">IFERROR(VLOOKUP($C27&amp;J$25,Calc3!$Z$64:$AB$207,3,0),"")</f>
        <v/>
      </c>
      <c r="K27" s="112" t="str">
        <f ca="1">IFERROR(VLOOKUP($C27&amp;K$25,Calc3!$Z$64:$AB$207,3,0),"")</f>
        <v/>
      </c>
      <c r="L27" s="112" t="str">
        <f ca="1">IFERROR(VLOOKUP($C27&amp;L$25,Calc3!$Z$64:$AB$207,3,0),"")</f>
        <v/>
      </c>
      <c r="M27" s="156" t="str">
        <f ca="1">IFERROR(VLOOKUP($C27&amp;M$25,Calc3!$Z$64:$AB$207,3,0),"")</f>
        <v/>
      </c>
      <c r="N27" s="184" t="str">
        <f t="shared" ca="1" si="2"/>
        <v/>
      </c>
    </row>
    <row r="28" spans="2:14" ht="21.95" customHeight="1" x14ac:dyDescent="0.2">
      <c r="B28" s="115" t="str">
        <f ca="1">IF($C28="","",INDEX(Vorrunde!$W$12:$W$47,MATCH($C28,Vorrunde!$X$12:$X$47,0)))</f>
        <v/>
      </c>
      <c r="C28" s="124" t="str">
        <f ca="1">IF(Calc3!$K$13=0,"",Calc3!$AH6)</f>
        <v/>
      </c>
      <c r="D28" s="128" t="str">
        <f ca="1">IF($C28="","",VLOOKUP($C28,Calc3!$C$17:$AC$25,25,0))</f>
        <v/>
      </c>
      <c r="E28" s="788" t="str">
        <f ca="1">IF($C28="","",VLOOKUP($C28,Calc3!$C$17:$AF$25,27,0)&amp;Sprache!$E$109&amp;(VLOOKUP($C28,Calc3!$C$17:$AF$25,27,0)-$F28))</f>
        <v/>
      </c>
      <c r="F28" s="112" t="str">
        <f ca="1">IF($C28="","",VLOOKUP($C28,Calc3!$C$17:$AC$25,26,0))</f>
        <v/>
      </c>
      <c r="G28" s="152" t="str">
        <f ca="1">IF(C28="","",VLOOKUP(C28,Calc3!$C$17:$AB$25,23,0))</f>
        <v/>
      </c>
      <c r="H28" s="136" t="str">
        <f ca="1">IFERROR(VLOOKUP($C28&amp;H$25,Calc3!$Z$64:$AB$207,3,0),"")</f>
        <v/>
      </c>
      <c r="I28" s="112" t="str">
        <f ca="1">IFERROR(VLOOKUP($C28&amp;I$25,Calc3!$Z$64:$AB$207,3,0),"")</f>
        <v/>
      </c>
      <c r="J28" s="121"/>
      <c r="K28" s="112" t="str">
        <f ca="1">IFERROR(VLOOKUP($C28&amp;K$25,Calc3!$Z$64:$AB$207,3,0),"")</f>
        <v/>
      </c>
      <c r="L28" s="112" t="str">
        <f ca="1">IFERROR(VLOOKUP($C28&amp;L$25,Calc3!$Z$64:$AB$207,3,0),"")</f>
        <v/>
      </c>
      <c r="M28" s="156" t="str">
        <f ca="1">IFERROR(VLOOKUP($C28&amp;M$25,Calc3!$Z$64:$AB$207,3,0),"")</f>
        <v/>
      </c>
      <c r="N28" s="184" t="str">
        <f t="shared" ca="1" si="2"/>
        <v/>
      </c>
    </row>
    <row r="29" spans="2:14" ht="21.95" customHeight="1" x14ac:dyDescent="0.2">
      <c r="B29" s="115" t="str">
        <f ca="1">IF($C29="","",INDEX(Vorrunde!$W$12:$W$47,MATCH($C29,Vorrunde!$X$12:$X$47,0)))</f>
        <v/>
      </c>
      <c r="C29" s="124" t="str">
        <f ca="1">IF(Calc3!$K$13=0,"",Calc3!$AH7)</f>
        <v/>
      </c>
      <c r="D29" s="128" t="str">
        <f ca="1">IF($C29="","",VLOOKUP($C29,Calc3!$C$17:$AC$25,25,0))</f>
        <v/>
      </c>
      <c r="E29" s="788" t="str">
        <f ca="1">IF($C29="","",VLOOKUP($C29,Calc3!$C$17:$AF$25,27,0)&amp;Sprache!$E$109&amp;(VLOOKUP($C29,Calc3!$C$17:$AF$25,27,0)-$F29))</f>
        <v/>
      </c>
      <c r="F29" s="112" t="str">
        <f ca="1">IF($C29="","",VLOOKUP($C29,Calc3!$C$17:$AC$25,26,0))</f>
        <v/>
      </c>
      <c r="G29" s="152" t="str">
        <f ca="1">IF(C29="","",VLOOKUP(C29,Calc3!$C$17:$AB$25,23,0))</f>
        <v/>
      </c>
      <c r="H29" s="136" t="str">
        <f ca="1">IFERROR(VLOOKUP($C29&amp;H$25,Calc3!$Z$64:$AB$207,3,0),"")</f>
        <v/>
      </c>
      <c r="I29" s="112" t="str">
        <f ca="1">IFERROR(VLOOKUP($C29&amp;I$25,Calc3!$Z$64:$AB$207,3,0),"")</f>
        <v/>
      </c>
      <c r="J29" s="112" t="str">
        <f ca="1">IFERROR(VLOOKUP($C29&amp;J$25,Calc3!$Z$64:$AB$207,3,0),"")</f>
        <v/>
      </c>
      <c r="K29" s="121"/>
      <c r="L29" s="112" t="str">
        <f ca="1">IFERROR(VLOOKUP($C29&amp;L$25,Calc3!$Z$64:$AB$207,3,0),"")</f>
        <v/>
      </c>
      <c r="M29" s="156" t="str">
        <f ca="1">IFERROR(VLOOKUP($C29&amp;M$25,Calc3!$Z$64:$AB$207,3,0),"")</f>
        <v/>
      </c>
      <c r="N29" s="184" t="str">
        <f t="shared" ca="1" si="2"/>
        <v/>
      </c>
    </row>
    <row r="30" spans="2:14" ht="21.95" customHeight="1" x14ac:dyDescent="0.2">
      <c r="B30" s="115" t="str">
        <f ca="1">IF($C30="","",INDEX(Vorrunde!$W$12:$W$47,MATCH($C30,Vorrunde!$X$12:$X$47,0)))</f>
        <v/>
      </c>
      <c r="C30" s="124" t="str">
        <f ca="1">IF(Calc3!$K$13=0,"",Calc3!$AH8)</f>
        <v/>
      </c>
      <c r="D30" s="128" t="str">
        <f ca="1">IF($C30="","",VLOOKUP($C30,Calc3!$C$17:$AC$25,25,0))</f>
        <v/>
      </c>
      <c r="E30" s="788" t="str">
        <f ca="1">IF($C30="","",VLOOKUP($C30,Calc3!$C$17:$AF$25,27,0)&amp;Sprache!$E$109&amp;(VLOOKUP($C30,Calc3!$C$17:$AF$25,27,0)-$F30))</f>
        <v/>
      </c>
      <c r="F30" s="112" t="str">
        <f ca="1">IF($C30="","",VLOOKUP($C30,Calc3!$C$17:$AC$25,26,0))</f>
        <v/>
      </c>
      <c r="G30" s="152" t="str">
        <f ca="1">IF(C30="","",VLOOKUP(C30,Calc3!$C$17:$AB$25,23,0))</f>
        <v/>
      </c>
      <c r="H30" s="136" t="str">
        <f ca="1">IFERROR(VLOOKUP($C30&amp;H$25,Calc3!$Z$64:$AB$207,3,0),"")</f>
        <v/>
      </c>
      <c r="I30" s="112" t="str">
        <f ca="1">IFERROR(VLOOKUP($C30&amp;I$25,Calc3!$Z$64:$AB$207,3,0),"")</f>
        <v/>
      </c>
      <c r="J30" s="112" t="str">
        <f ca="1">IFERROR(VLOOKUP($C30&amp;J$25,Calc3!$Z$64:$AB$207,3,0),"")</f>
        <v/>
      </c>
      <c r="K30" s="112" t="str">
        <f ca="1">IFERROR(VLOOKUP($C30&amp;K$25,Calc3!$Z$64:$AB$207,3,0),"")</f>
        <v/>
      </c>
      <c r="L30" s="121"/>
      <c r="M30" s="156" t="str">
        <f ca="1">IFERROR(VLOOKUP($C30&amp;M$25,Calc3!$Z$64:$AB$207,3,0),"")</f>
        <v/>
      </c>
      <c r="N30" s="184" t="str">
        <f t="shared" ca="1" si="2"/>
        <v/>
      </c>
    </row>
    <row r="31" spans="2:14" ht="21.95" customHeight="1" thickBot="1" x14ac:dyDescent="0.25">
      <c r="B31" s="116" t="str">
        <f ca="1">IF($C31="","",INDEX(Vorrunde!$W$12:$W$47,MATCH($C31,Vorrunde!$X$12:$X$47,0)))</f>
        <v/>
      </c>
      <c r="C31" s="125" t="str">
        <f ca="1">IF(Calc3!$K$13=0,"",Calc3!$AH9)</f>
        <v/>
      </c>
      <c r="D31" s="129" t="str">
        <f ca="1">IF($C31="","",VLOOKUP($C31,Calc3!$C$17:$AC$25,25,0))</f>
        <v/>
      </c>
      <c r="E31" s="789" t="str">
        <f ca="1">IF($C31="","",VLOOKUP($C31,Calc3!$C$17:$AF$25,27,0)&amp;Sprache!$E$109&amp;(VLOOKUP($C31,Calc3!$C$17:$AF$25,27,0)-$F31))</f>
        <v/>
      </c>
      <c r="F31" s="113" t="str">
        <f ca="1">IF($C31="","",VLOOKUP($C31,Calc3!$C$17:$AC$25,26,0))</f>
        <v/>
      </c>
      <c r="G31" s="153" t="str">
        <f ca="1">IF(C31="","",VLOOKUP(C31,Calc3!$C$17:$AB$25,23,0))</f>
        <v/>
      </c>
      <c r="H31" s="137" t="str">
        <f ca="1">IFERROR(VLOOKUP($C31&amp;H$25,Calc3!$Z$64:$AB$207,3,0),"")</f>
        <v/>
      </c>
      <c r="I31" s="113" t="str">
        <f ca="1">IFERROR(VLOOKUP($C31&amp;I$25,Calc3!$Z$64:$AB$207,3,0),"")</f>
        <v/>
      </c>
      <c r="J31" s="113" t="str">
        <f ca="1">IFERROR(VLOOKUP($C31&amp;J$25,Calc3!$Z$64:$AB$207,3,0),"")</f>
        <v/>
      </c>
      <c r="K31" s="113" t="str">
        <f ca="1">IFERROR(VLOOKUP($C31&amp;K$25,Calc3!$Z$64:$AB$207,3,0),"")</f>
        <v/>
      </c>
      <c r="L31" s="113" t="str">
        <f ca="1">IFERROR(VLOOKUP($C31&amp;L$25,Calc3!$Z$64:$AB$207,3,0),"")</f>
        <v/>
      </c>
      <c r="M31" s="157"/>
      <c r="N31" s="185" t="str">
        <f t="shared" ca="1" si="2"/>
        <v/>
      </c>
    </row>
    <row r="32" spans="2:14" ht="42.75" customHeight="1" thickTop="1" thickBot="1" x14ac:dyDescent="0.25"/>
    <row r="33" spans="2:14" ht="21.95" customHeight="1" thickBot="1" x14ac:dyDescent="0.25">
      <c r="H33" s="147" t="str">
        <f ca="1">IF(LEN(H34)&gt;Einstellungen!$C$33,LEFT(H34,Einstellungen!$C$33)&amp;".",H34)</f>
        <v/>
      </c>
      <c r="I33" s="148" t="str">
        <f ca="1">IF(LEN(I34)&gt;Einstellungen!$C$33,LEFT(I34,Einstellungen!$C$33)&amp;".",I34)</f>
        <v/>
      </c>
      <c r="J33" s="148" t="str">
        <f ca="1">IF(LEN(J34)&gt;Einstellungen!$C$33,LEFT(J34,Einstellungen!$C$33)&amp;".",J34)</f>
        <v/>
      </c>
      <c r="K33" s="148" t="str">
        <f ca="1">IF(LEN(K34)&gt;Einstellungen!$C$33,LEFT(K34,Einstellungen!$C$33)&amp;".",K34)</f>
        <v/>
      </c>
      <c r="L33" s="148" t="str">
        <f ca="1">IF(LEN(L34)&gt;Einstellungen!$C$33,LEFT(L34,Einstellungen!$C$33)&amp;".",L34)</f>
        <v/>
      </c>
      <c r="M33" s="149" t="str">
        <f ca="1">IF(LEN(M34)&gt;Einstellungen!$C$33,LEFT(M34,Einstellungen!$C$33)&amp;".",M34)</f>
        <v/>
      </c>
    </row>
    <row r="34" spans="2:14" ht="21.95" customHeight="1" thickTop="1" thickBot="1" x14ac:dyDescent="0.25">
      <c r="B34" s="117"/>
      <c r="C34" s="122" t="str">
        <f>Sprache!$E$10</f>
        <v>Teilnehmer bzw. Mannschaft</v>
      </c>
      <c r="D34" s="126" t="str">
        <f>Sprache!$E$91</f>
        <v>Satzpkt.</v>
      </c>
      <c r="E34" s="126" t="str">
        <f>Sprache!$E$74</f>
        <v>Bälle</v>
      </c>
      <c r="F34" s="114" t="str">
        <f>Sprache!$E$26</f>
        <v>Diff.</v>
      </c>
      <c r="G34" s="150" t="str">
        <f>Sprache!$E$49</f>
        <v>Tie-Break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IF($C35="","",INDEX(Vorrunde!$W$12:$W$47,MATCH($C35,Vorrunde!$X$12:$X$47,0)))</f>
        <v/>
      </c>
      <c r="C35" s="123" t="str">
        <f ca="1">IF(Calc3!$K$13=0,"",Calc3!$AM4)</f>
        <v/>
      </c>
      <c r="D35" s="127" t="str">
        <f ca="1">IF($C35="","",VLOOKUP($C35,Calc3!$C$17:$AC$25,25,0))</f>
        <v/>
      </c>
      <c r="E35" s="787" t="str">
        <f ca="1">IF($C35="","",VLOOKUP($C35,Calc3!$C$17:$AF$25,27,0)&amp;Sprache!$E$109&amp;(VLOOKUP($C35,Calc3!$C$17:$AF$25,27,0)-$F35))</f>
        <v/>
      </c>
      <c r="F35" s="111" t="str">
        <f ca="1">IF($C35="","",VLOOKUP($C35,Calc3!$C$17:$AC$25,26,0))</f>
        <v/>
      </c>
      <c r="G35" s="151" t="str">
        <f ca="1">IF(C35="","",VLOOKUP(C35,Calc3!$C$17:$AB$25,23,0))</f>
        <v/>
      </c>
      <c r="H35" s="135"/>
      <c r="I35" s="111" t="str">
        <f ca="1">IFERROR(VLOOKUP($C35&amp;I$34,Calc3!$Z$64:$AB$207,3,0),"")</f>
        <v/>
      </c>
      <c r="J35" s="111" t="str">
        <f ca="1">IFERROR(VLOOKUP($C35&amp;J$34,Calc3!$Z$64:$AB$207,3,0),"")</f>
        <v/>
      </c>
      <c r="K35" s="111" t="str">
        <f ca="1">IFERROR(VLOOKUP($C35&amp;K$34,Calc3!$Z$64:$AB$207,3,0),"")</f>
        <v/>
      </c>
      <c r="L35" s="111" t="str">
        <f ca="1">IFERROR(VLOOKUP($C35&amp;L$34,Calc3!$Z$64:$AB$207,3,0),"")</f>
        <v/>
      </c>
      <c r="M35" s="155" t="str">
        <f ca="1">IFERROR(VLOOKUP($C35&amp;M$34,Calc3!$Z$64:$AB$207,3,0),"")</f>
        <v/>
      </c>
      <c r="N35" s="183" t="str">
        <f t="shared" ref="N35:N40" ca="1" si="3">C35</f>
        <v/>
      </c>
    </row>
    <row r="36" spans="2:14" ht="21.95" customHeight="1" x14ac:dyDescent="0.2">
      <c r="B36" s="115" t="str">
        <f ca="1">IF($C36="","",INDEX(Vorrunde!$W$12:$W$47,MATCH($C36,Vorrunde!$X$12:$X$47,0)))</f>
        <v/>
      </c>
      <c r="C36" s="124" t="str">
        <f ca="1">IF(Calc3!$K$13=0,"",Calc3!$AM5)</f>
        <v/>
      </c>
      <c r="D36" s="128" t="str">
        <f ca="1">IF($C36="","",VLOOKUP($C36,Calc3!$C$17:$AC$25,25,0))</f>
        <v/>
      </c>
      <c r="E36" s="788" t="str">
        <f ca="1">IF($C36="","",VLOOKUP($C36,Calc3!$C$17:$AF$25,27,0)&amp;Sprache!$E$109&amp;(VLOOKUP($C36,Calc3!$C$17:$AF$25,27,0)-$F36))</f>
        <v/>
      </c>
      <c r="F36" s="112" t="str">
        <f ca="1">IF($C36="","",VLOOKUP($C36,Calc3!$C$17:$AC$25,26,0))</f>
        <v/>
      </c>
      <c r="G36" s="152" t="str">
        <f ca="1">IF(C36="","",VLOOKUP(C36,Calc3!$C$17:$AB$25,23,0))</f>
        <v/>
      </c>
      <c r="H36" s="136" t="str">
        <f ca="1">IFERROR(VLOOKUP($C36&amp;H$34,Calc3!$Z$64:$AB$207,3,0),"")</f>
        <v/>
      </c>
      <c r="I36" s="121"/>
      <c r="J36" s="112" t="str">
        <f ca="1">IFERROR(VLOOKUP($C36&amp;J$34,Calc3!$Z$64:$AB$207,3,0),"")</f>
        <v/>
      </c>
      <c r="K36" s="112" t="str">
        <f ca="1">IFERROR(VLOOKUP($C36&amp;K$34,Calc3!$Z$64:$AB$207,3,0),"")</f>
        <v/>
      </c>
      <c r="L36" s="112" t="str">
        <f ca="1">IFERROR(VLOOKUP($C36&amp;L$34,Calc3!$Z$64:$AB$207,3,0),"")</f>
        <v/>
      </c>
      <c r="M36" s="156" t="str">
        <f ca="1">IFERROR(VLOOKUP($C36&amp;M$34,Calc3!$Z$64:$AB$207,3,0),"")</f>
        <v/>
      </c>
      <c r="N36" s="184" t="str">
        <f t="shared" ca="1" si="3"/>
        <v/>
      </c>
    </row>
    <row r="37" spans="2:14" ht="21.95" customHeight="1" x14ac:dyDescent="0.2">
      <c r="B37" s="115" t="str">
        <f ca="1">IF($C37="","",INDEX(Vorrunde!$W$12:$W$47,MATCH($C37,Vorrunde!$X$12:$X$47,0)))</f>
        <v/>
      </c>
      <c r="C37" s="124" t="str">
        <f ca="1">IF(Calc3!$K$13=0,"",Calc3!$AM6)</f>
        <v/>
      </c>
      <c r="D37" s="128" t="str">
        <f ca="1">IF($C37="","",VLOOKUP($C37,Calc3!$C$17:$AC$25,25,0))</f>
        <v/>
      </c>
      <c r="E37" s="788" t="str">
        <f ca="1">IF($C37="","",VLOOKUP($C37,Calc3!$C$17:$AF$25,27,0)&amp;Sprache!$E$109&amp;(VLOOKUP($C37,Calc3!$C$17:$AF$25,27,0)-$F37))</f>
        <v/>
      </c>
      <c r="F37" s="112" t="str">
        <f ca="1">IF($C37="","",VLOOKUP($C37,Calc3!$C$17:$AC$25,26,0))</f>
        <v/>
      </c>
      <c r="G37" s="152" t="str">
        <f ca="1">IF(C37="","",VLOOKUP(C37,Calc3!$C$17:$AB$25,23,0))</f>
        <v/>
      </c>
      <c r="H37" s="136" t="str">
        <f ca="1">IFERROR(VLOOKUP($C37&amp;H$34,Calc3!$Z$64:$AB$207,3,0),"")</f>
        <v/>
      </c>
      <c r="I37" s="112" t="str">
        <f ca="1">IFERROR(VLOOKUP($C37&amp;I$34,Calc3!$Z$64:$AB$207,3,0),"")</f>
        <v/>
      </c>
      <c r="J37" s="121"/>
      <c r="K37" s="112" t="str">
        <f ca="1">IFERROR(VLOOKUP($C37&amp;K$34,Calc3!$Z$64:$AB$207,3,0),"")</f>
        <v/>
      </c>
      <c r="L37" s="112" t="str">
        <f ca="1">IFERROR(VLOOKUP($C37&amp;L$34,Calc3!$Z$64:$AB$207,3,0),"")</f>
        <v/>
      </c>
      <c r="M37" s="156" t="str">
        <f ca="1">IFERROR(VLOOKUP($C37&amp;M$34,Calc3!$Z$64:$AB$207,3,0),"")</f>
        <v/>
      </c>
      <c r="N37" s="184" t="str">
        <f t="shared" ca="1" si="3"/>
        <v/>
      </c>
    </row>
    <row r="38" spans="2:14" ht="21.95" customHeight="1" x14ac:dyDescent="0.2">
      <c r="B38" s="115" t="str">
        <f ca="1">IF($C38="","",INDEX(Vorrunde!$W$12:$W$47,MATCH($C38,Vorrunde!$X$12:$X$47,0)))</f>
        <v/>
      </c>
      <c r="C38" s="124" t="str">
        <f ca="1">IF(Calc3!$K$13=0,"",Calc3!$AM7)</f>
        <v/>
      </c>
      <c r="D38" s="128" t="str">
        <f ca="1">IF($C38="","",VLOOKUP($C38,Calc3!$C$17:$AC$25,25,0))</f>
        <v/>
      </c>
      <c r="E38" s="788" t="str">
        <f ca="1">IF($C38="","",VLOOKUP($C38,Calc3!$C$17:$AF$25,27,0)&amp;Sprache!$E$109&amp;(VLOOKUP($C38,Calc3!$C$17:$AF$25,27,0)-$F38))</f>
        <v/>
      </c>
      <c r="F38" s="112" t="str">
        <f ca="1">IF($C38="","",VLOOKUP($C38,Calc3!$C$17:$AC$25,26,0))</f>
        <v/>
      </c>
      <c r="G38" s="152" t="str">
        <f ca="1">IF(C38="","",VLOOKUP(C38,Calc3!$C$17:$AB$25,23,0))</f>
        <v/>
      </c>
      <c r="H38" s="136" t="str">
        <f ca="1">IFERROR(VLOOKUP($C38&amp;H$34,Calc3!$Z$64:$AB$207,3,0),"")</f>
        <v/>
      </c>
      <c r="I38" s="112" t="str">
        <f ca="1">IFERROR(VLOOKUP($C38&amp;I$34,Calc3!$Z$64:$AB$207,3,0),"")</f>
        <v/>
      </c>
      <c r="J38" s="112" t="str">
        <f ca="1">IFERROR(VLOOKUP($C38&amp;J$34,Calc3!$Z$64:$AB$207,3,0),"")</f>
        <v/>
      </c>
      <c r="K38" s="121"/>
      <c r="L38" s="112" t="str">
        <f ca="1">IFERROR(VLOOKUP($C38&amp;L$34,Calc3!$Z$64:$AB$207,3,0),"")</f>
        <v/>
      </c>
      <c r="M38" s="156" t="str">
        <f ca="1">IFERROR(VLOOKUP($C38&amp;M$34,Calc3!$Z$64:$AB$207,3,0),"")</f>
        <v/>
      </c>
      <c r="N38" s="184" t="str">
        <f t="shared" ca="1" si="3"/>
        <v/>
      </c>
    </row>
    <row r="39" spans="2:14" ht="21.95" customHeight="1" x14ac:dyDescent="0.2">
      <c r="B39" s="115" t="str">
        <f ca="1">IF($C39="","",INDEX(Vorrunde!$W$12:$W$47,MATCH($C39,Vorrunde!$X$12:$X$47,0)))</f>
        <v/>
      </c>
      <c r="C39" s="124" t="str">
        <f ca="1">IF(Calc3!$K$13=0,"",Calc3!$AM8)</f>
        <v/>
      </c>
      <c r="D39" s="128" t="str">
        <f ca="1">IF($C39="","",VLOOKUP($C39,Calc3!$C$17:$AC$25,25,0))</f>
        <v/>
      </c>
      <c r="E39" s="788" t="str">
        <f ca="1">IF($C39="","",VLOOKUP($C39,Calc3!$C$17:$AF$25,27,0)&amp;Sprache!$E$109&amp;(VLOOKUP($C39,Calc3!$C$17:$AF$25,27,0)-$F39))</f>
        <v/>
      </c>
      <c r="F39" s="112" t="str">
        <f ca="1">IF($C39="","",VLOOKUP($C39,Calc3!$C$17:$AC$25,26,0))</f>
        <v/>
      </c>
      <c r="G39" s="152" t="str">
        <f ca="1">IF(C39="","",VLOOKUP(C39,Calc3!$C$17:$AB$25,23,0))</f>
        <v/>
      </c>
      <c r="H39" s="136" t="str">
        <f ca="1">IFERROR(VLOOKUP($C39&amp;H$34,Calc3!$Z$64:$AB$207,3,0),"")</f>
        <v/>
      </c>
      <c r="I39" s="112" t="str">
        <f ca="1">IFERROR(VLOOKUP($C39&amp;I$34,Calc3!$Z$64:$AB$207,3,0),"")</f>
        <v/>
      </c>
      <c r="J39" s="112" t="str">
        <f ca="1">IFERROR(VLOOKUP($C39&amp;J$34,Calc3!$Z$64:$AB$207,3,0),"")</f>
        <v/>
      </c>
      <c r="K39" s="112" t="str">
        <f ca="1">IFERROR(VLOOKUP($C39&amp;K$34,Calc3!$Z$64:$AB$207,3,0),"")</f>
        <v/>
      </c>
      <c r="L39" s="121"/>
      <c r="M39" s="156" t="str">
        <f ca="1">IFERROR(VLOOKUP($C39&amp;M$34,Calc3!$Z$64:$AB$207,3,0),"")</f>
        <v/>
      </c>
      <c r="N39" s="184" t="str">
        <f t="shared" ca="1" si="3"/>
        <v/>
      </c>
    </row>
    <row r="40" spans="2:14" ht="21.95" customHeight="1" thickBot="1" x14ac:dyDescent="0.25">
      <c r="B40" s="116" t="str">
        <f ca="1">IF($C40="","",INDEX(Vorrunde!$W$12:$W$47,MATCH($C40,Vorrunde!$X$12:$X$47,0)))</f>
        <v/>
      </c>
      <c r="C40" s="125" t="str">
        <f ca="1">IF(Calc3!$K$13=0,"",Calc3!$AM9)</f>
        <v/>
      </c>
      <c r="D40" s="129" t="str">
        <f ca="1">IF($C40="","",VLOOKUP($C40,Calc3!$C$17:$AC$25,25,0))</f>
        <v/>
      </c>
      <c r="E40" s="789" t="str">
        <f ca="1">IF($C40="","",VLOOKUP($C40,Calc3!$C$17:$AF$25,27,0)&amp;Sprache!$E$109&amp;(VLOOKUP($C40,Calc3!$C$17:$AF$25,27,0)-$F40))</f>
        <v/>
      </c>
      <c r="F40" s="113" t="str">
        <f ca="1">IF($C40="","",VLOOKUP($C40,Calc3!$C$17:$AC$25,26,0))</f>
        <v/>
      </c>
      <c r="G40" s="153" t="str">
        <f ca="1">IF(C40="","",VLOOKUP(C40,Calc3!$C$17:$AB$25,23,0))</f>
        <v/>
      </c>
      <c r="H40" s="137" t="str">
        <f ca="1">IFERROR(VLOOKUP($C40&amp;H$34,Calc3!$Z$64:$AB$207,3,0),"")</f>
        <v/>
      </c>
      <c r="I40" s="113" t="str">
        <f ca="1">IFERROR(VLOOKUP($C40&amp;I$34,Calc3!$Z$64:$AB$207,3,0),"")</f>
        <v/>
      </c>
      <c r="J40" s="113" t="str">
        <f ca="1">IFERROR(VLOOKUP($C40&amp;J$34,Calc3!$Z$64:$AB$207,3,0),"")</f>
        <v/>
      </c>
      <c r="K40" s="113" t="str">
        <f ca="1">IFERROR(VLOOKUP($C40&amp;K$34,Calc3!$Z$64:$AB$207,3,0),"")</f>
        <v/>
      </c>
      <c r="L40" s="113" t="str">
        <f ca="1">IFERROR(VLOOKUP($C40&amp;L$34,Calc3!$Z$64:$AB$207,3,0),"")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E0DD-4DDE-46A4-996C-B49335693B82}">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00" t="str">
        <f>Sprache!$E$7</f>
        <v>Direkte Vergleiche</v>
      </c>
      <c r="C2" s="1000"/>
      <c r="D2" s="1000"/>
      <c r="E2" s="1000"/>
      <c r="F2" s="1000"/>
      <c r="G2" s="1000"/>
      <c r="H2" s="1000"/>
      <c r="I2" s="1000"/>
      <c r="J2" s="1000"/>
      <c r="K2" s="1000"/>
      <c r="L2" s="1000"/>
      <c r="M2" s="1000"/>
    </row>
    <row r="3" spans="2:14" ht="42.75" customHeight="1" x14ac:dyDescent="0.2">
      <c r="B3" s="1001" t="str">
        <f>Sprache!$E$56&amp;" D"</f>
        <v>Vorrunde Gruppe D</v>
      </c>
      <c r="C3" s="1001"/>
      <c r="D3" s="1001"/>
      <c r="E3" s="1001"/>
      <c r="F3" s="1001"/>
      <c r="G3" s="1001"/>
      <c r="H3" s="1001"/>
      <c r="I3" s="1001"/>
      <c r="J3" s="1001"/>
      <c r="K3" s="1001"/>
      <c r="L3" s="1001"/>
      <c r="M3" s="1001"/>
    </row>
    <row r="4" spans="2:14" ht="17.25" customHeight="1" x14ac:dyDescent="0.2">
      <c r="B4" s="1002" t="str">
        <f>Sprache!$E$107</f>
        <v>Rote Schrift bedeutet, dass die Rangfolge auch mit dem direkten Vergleich nicht geklärt ist. Ein Entscheidungsspiel oder Los muss hier entscheiden.</v>
      </c>
      <c r="C4" s="1002"/>
      <c r="D4" s="1002"/>
      <c r="E4" s="1002"/>
      <c r="F4" s="1002"/>
      <c r="G4" s="1002"/>
      <c r="H4" s="1002"/>
      <c r="I4" s="1002"/>
      <c r="J4" s="1002"/>
      <c r="K4" s="1002"/>
      <c r="L4" s="1002"/>
      <c r="M4" s="1002"/>
      <c r="N4" s="1002"/>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IF(LEN(H7)&gt;Einstellungen!$C$33,LEFT(H7,Einstellungen!$C$33)&amp;".",H7)</f>
        <v/>
      </c>
      <c r="I6" s="148" t="str">
        <f ca="1">IF(LEN(I7)&gt;Einstellungen!$C$33,LEFT(I7,Einstellungen!$C$33)&amp;".",I7)</f>
        <v/>
      </c>
      <c r="J6" s="148" t="str">
        <f ca="1">IF(LEN(J7)&gt;Einstellungen!$C$33,LEFT(J7,Einstellungen!$C$33)&amp;".",J7)</f>
        <v/>
      </c>
      <c r="K6" s="148" t="str">
        <f ca="1">IF(LEN(K7)&gt;Einstellungen!$C$33,LEFT(K7,Einstellungen!$C$33)&amp;".",K7)</f>
        <v/>
      </c>
      <c r="L6" s="148" t="str">
        <f ca="1">IF(LEN(L7)&gt;Einstellungen!$C$33,LEFT(L7,Einstellungen!$C$33)&amp;".",L7)</f>
        <v/>
      </c>
      <c r="M6" s="149" t="str">
        <f ca="1">IF(LEN(M7)&gt;Einstellungen!$C$33,LEFT(M7,Einstellungen!$C$33)&amp;".",M7)</f>
        <v/>
      </c>
    </row>
    <row r="7" spans="2:14" ht="21.95" customHeight="1" thickTop="1" thickBot="1" x14ac:dyDescent="0.25">
      <c r="B7" s="117"/>
      <c r="C7" s="122" t="str">
        <f>Sprache!$E$10</f>
        <v>Teilnehmer bzw. Mannschaft</v>
      </c>
      <c r="D7" s="126" t="str">
        <f>Sprache!$E$91</f>
        <v>Satzpkt.</v>
      </c>
      <c r="E7" s="126" t="str">
        <f>Sprache!$E$74</f>
        <v>Bälle</v>
      </c>
      <c r="F7" s="114" t="str">
        <f>Sprache!$E$26</f>
        <v>Diff.</v>
      </c>
      <c r="G7" s="150" t="str">
        <f>Sprache!$E$49</f>
        <v>Tie-Break</v>
      </c>
      <c r="H7" s="130" t="str">
        <f ca="1">C8</f>
        <v/>
      </c>
      <c r="I7" s="131" t="str">
        <f ca="1">C9</f>
        <v/>
      </c>
      <c r="J7" s="131" t="str">
        <f ca="1">C10</f>
        <v/>
      </c>
      <c r="K7" s="131" t="str">
        <f ca="1">C11</f>
        <v/>
      </c>
      <c r="L7" s="131" t="str">
        <f ca="1">C12</f>
        <v/>
      </c>
      <c r="M7" s="154" t="str">
        <f ca="1">C13</f>
        <v/>
      </c>
    </row>
    <row r="8" spans="2:14" ht="21.95" customHeight="1" x14ac:dyDescent="0.2">
      <c r="B8" s="115" t="str">
        <f ca="1">IF($C8="","",INDEX(Vorrunde!$W$12:$W$47,MATCH($C8,Vorrunde!$X$12:$X$47,0)))</f>
        <v/>
      </c>
      <c r="C8" s="123" t="str">
        <f ca="1">IF(Calc4!$K$13=0,"",Calc4!$X4)</f>
        <v/>
      </c>
      <c r="D8" s="127" t="str">
        <f ca="1">IF($C8="","",VLOOKUP($C8,Calc4!$C$17:$AC$25,25,0))</f>
        <v/>
      </c>
      <c r="E8" s="787" t="str">
        <f ca="1">IF($C8="","",VLOOKUP($C8,Calc4!$C$17:$AF$25,27,0)&amp;Sprache!$E$109&amp;(VLOOKUP($C8,Calc4!$C$17:$AF$25,27,0)-$F8))</f>
        <v/>
      </c>
      <c r="F8" s="111" t="str">
        <f ca="1">IF($C8="","",VLOOKUP($C8,Calc4!$C$17:$AC$25,26,0))</f>
        <v/>
      </c>
      <c r="G8" s="151" t="str">
        <f ca="1">IF(C8="","",VLOOKUP(C8,Calc4!$C$17:$AB$25,23,0))</f>
        <v/>
      </c>
      <c r="H8" s="135"/>
      <c r="I8" s="111" t="str">
        <f ca="1">IFERROR(VLOOKUP($C8&amp;I$7,Calc4!$Z$64:$AB$207,3,0),"")</f>
        <v/>
      </c>
      <c r="J8" s="111" t="str">
        <f ca="1">IFERROR(VLOOKUP($C8&amp;J$7,Calc4!$Z$64:$AB$207,3,0),"")</f>
        <v/>
      </c>
      <c r="K8" s="111" t="str">
        <f ca="1">IFERROR(VLOOKUP($C8&amp;K$7,Calc4!$Z$64:$AB$207,3,0),"")</f>
        <v/>
      </c>
      <c r="L8" s="111" t="str">
        <f ca="1">IFERROR(VLOOKUP($C8&amp;L$7,Calc4!$Z$64:$AB$207,3,0),"")</f>
        <v/>
      </c>
      <c r="M8" s="155" t="str">
        <f ca="1">IFERROR(VLOOKUP($C8&amp;M$7,Calc4!$Z$64:$AB$207,3,0),"")</f>
        <v/>
      </c>
      <c r="N8" s="183" t="str">
        <f t="shared" ref="N8:N13" ca="1" si="0">C8</f>
        <v/>
      </c>
    </row>
    <row r="9" spans="2:14" ht="21.95" customHeight="1" x14ac:dyDescent="0.2">
      <c r="B9" s="115" t="str">
        <f ca="1">IF($C9="","",INDEX(Vorrunde!$W$12:$W$47,MATCH($C9,Vorrunde!$X$12:$X$47,0)))</f>
        <v/>
      </c>
      <c r="C9" s="124" t="str">
        <f ca="1">IF(Calc4!$K$13=0,"",Calc4!$X5)</f>
        <v/>
      </c>
      <c r="D9" s="128" t="str">
        <f ca="1">IF($C9="","",VLOOKUP($C9,Calc4!$C$17:$AC$25,25,0))</f>
        <v/>
      </c>
      <c r="E9" s="788" t="str">
        <f ca="1">IF($C9="","",VLOOKUP($C9,Calc4!$C$17:$AF$25,27,0)&amp;Sprache!$E$109&amp;(VLOOKUP($C9,Calc4!$C$17:$AF$25,27,0)-$F9))</f>
        <v/>
      </c>
      <c r="F9" s="112" t="str">
        <f ca="1">IF($C9="","",VLOOKUP($C9,Calc4!$C$17:$AC$25,26,0))</f>
        <v/>
      </c>
      <c r="G9" s="152" t="str">
        <f ca="1">IF(C9="","",VLOOKUP(C9,Calc4!$C$17:$AB$25,23,0))</f>
        <v/>
      </c>
      <c r="H9" s="136" t="str">
        <f ca="1">IFERROR(VLOOKUP($C9&amp;H$7,Calc4!$Z$64:$AB$207,3,0),"")</f>
        <v/>
      </c>
      <c r="I9" s="121"/>
      <c r="J9" s="112" t="str">
        <f ca="1">IFERROR(VLOOKUP($C9&amp;J$7,Calc4!$Z$64:$AB$207,3,0),"")</f>
        <v/>
      </c>
      <c r="K9" s="112" t="str">
        <f ca="1">IFERROR(VLOOKUP($C9&amp;K$7,Calc4!$Z$64:$AB$207,3,0),"")</f>
        <v/>
      </c>
      <c r="L9" s="112" t="str">
        <f ca="1">IFERROR(VLOOKUP($C9&amp;L$7,Calc4!$Z$64:$AB$207,3,0),"")</f>
        <v/>
      </c>
      <c r="M9" s="156" t="str">
        <f ca="1">IFERROR(VLOOKUP($C9&amp;M$7,Calc4!$Z$64:$AB$207,3,0),"")</f>
        <v/>
      </c>
      <c r="N9" s="184" t="str">
        <f t="shared" ca="1" si="0"/>
        <v/>
      </c>
    </row>
    <row r="10" spans="2:14" ht="21.95" customHeight="1" x14ac:dyDescent="0.2">
      <c r="B10" s="115" t="str">
        <f ca="1">IF($C10="","",INDEX(Vorrunde!$W$12:$W$47,MATCH($C10,Vorrunde!$X$12:$X$47,0)))</f>
        <v/>
      </c>
      <c r="C10" s="124" t="str">
        <f ca="1">IF(Calc4!$K$13=0,"",Calc4!$X6)</f>
        <v/>
      </c>
      <c r="D10" s="128" t="str">
        <f ca="1">IF($C10="","",VLOOKUP($C10,Calc4!$C$17:$AC$25,25,0))</f>
        <v/>
      </c>
      <c r="E10" s="788" t="str">
        <f ca="1">IF($C10="","",VLOOKUP($C10,Calc4!$C$17:$AF$25,27,0)&amp;Sprache!$E$109&amp;(VLOOKUP($C10,Calc4!$C$17:$AF$25,27,0)-$F10))</f>
        <v/>
      </c>
      <c r="F10" s="112" t="str">
        <f ca="1">IF($C10="","",VLOOKUP($C10,Calc4!$C$17:$AC$25,26,0))</f>
        <v/>
      </c>
      <c r="G10" s="152" t="str">
        <f ca="1">IF(C10="","",VLOOKUP(C10,Calc4!$C$17:$AB$25,23,0))</f>
        <v/>
      </c>
      <c r="H10" s="136" t="str">
        <f ca="1">IFERROR(VLOOKUP($C10&amp;H$7,Calc4!$Z$64:$AB$207,3,0),"")</f>
        <v/>
      </c>
      <c r="I10" s="112" t="str">
        <f ca="1">IFERROR(VLOOKUP($C10&amp;I$7,Calc4!$Z$64:$AB$207,3,0),"")</f>
        <v/>
      </c>
      <c r="J10" s="121"/>
      <c r="K10" s="112" t="str">
        <f ca="1">IFERROR(VLOOKUP($C10&amp;K$7,Calc4!$Z$64:$AB$207,3,0),"")</f>
        <v/>
      </c>
      <c r="L10" s="112" t="str">
        <f ca="1">IFERROR(VLOOKUP($C10&amp;L$7,Calc4!$Z$64:$AB$207,3,0),"")</f>
        <v/>
      </c>
      <c r="M10" s="156" t="str">
        <f ca="1">IFERROR(VLOOKUP($C10&amp;M$7,Calc4!$Z$64:$AB$207,3,0),"")</f>
        <v/>
      </c>
      <c r="N10" s="184" t="str">
        <f t="shared" ca="1" si="0"/>
        <v/>
      </c>
    </row>
    <row r="11" spans="2:14" ht="21.95" customHeight="1" x14ac:dyDescent="0.2">
      <c r="B11" s="115" t="str">
        <f ca="1">IF($C11="","",INDEX(Vorrunde!$W$12:$W$47,MATCH($C11,Vorrunde!$X$12:$X$47,0)))</f>
        <v/>
      </c>
      <c r="C11" s="124" t="str">
        <f ca="1">IF(Calc4!$K$13=0,"",Calc4!$X7)</f>
        <v/>
      </c>
      <c r="D11" s="128" t="str">
        <f ca="1">IF($C11="","",VLOOKUP($C11,Calc4!$C$17:$AC$25,25,0))</f>
        <v/>
      </c>
      <c r="E11" s="788" t="str">
        <f ca="1">IF($C11="","",VLOOKUP($C11,Calc4!$C$17:$AF$25,27,0)&amp;Sprache!$E$109&amp;(VLOOKUP($C11,Calc4!$C$17:$AF$25,27,0)-$F11))</f>
        <v/>
      </c>
      <c r="F11" s="112" t="str">
        <f ca="1">IF($C11="","",VLOOKUP($C11,Calc4!$C$17:$AC$25,26,0))</f>
        <v/>
      </c>
      <c r="G11" s="152" t="str">
        <f ca="1">IF(C11="","",VLOOKUP(C11,Calc4!$C$17:$AB$25,23,0))</f>
        <v/>
      </c>
      <c r="H11" s="136" t="str">
        <f ca="1">IFERROR(VLOOKUP($C11&amp;H$7,Calc4!$Z$64:$AB$207,3,0),"")</f>
        <v/>
      </c>
      <c r="I11" s="112" t="str">
        <f ca="1">IFERROR(VLOOKUP($C11&amp;I$7,Calc4!$Z$64:$AB$207,3,0),"")</f>
        <v/>
      </c>
      <c r="J11" s="112" t="str">
        <f ca="1">IFERROR(VLOOKUP($C11&amp;J$7,Calc4!$Z$64:$AB$207,3,0),"")</f>
        <v/>
      </c>
      <c r="K11" s="121"/>
      <c r="L11" s="112" t="str">
        <f ca="1">IFERROR(VLOOKUP($C11&amp;L$7,Calc4!$Z$64:$AB$207,3,0),"")</f>
        <v/>
      </c>
      <c r="M11" s="156" t="str">
        <f ca="1">IFERROR(VLOOKUP($C11&amp;M$7,Calc4!$Z$64:$AB$207,3,0),"")</f>
        <v/>
      </c>
      <c r="N11" s="184" t="str">
        <f t="shared" ca="1" si="0"/>
        <v/>
      </c>
    </row>
    <row r="12" spans="2:14" ht="21.95" customHeight="1" x14ac:dyDescent="0.2">
      <c r="B12" s="115" t="str">
        <f ca="1">IF($C12="","",INDEX(Vorrunde!$W$12:$W$47,MATCH($C12,Vorrunde!$X$12:$X$47,0)))</f>
        <v/>
      </c>
      <c r="C12" s="124" t="str">
        <f ca="1">IF(Calc4!$K$13=0,"",Calc4!$X8)</f>
        <v/>
      </c>
      <c r="D12" s="128" t="str">
        <f ca="1">IF($C12="","",VLOOKUP($C12,Calc4!$C$17:$AC$25,25,0))</f>
        <v/>
      </c>
      <c r="E12" s="788" t="str">
        <f ca="1">IF($C12="","",VLOOKUP($C12,Calc4!$C$17:$AF$25,27,0)&amp;Sprache!$E$109&amp;(VLOOKUP($C12,Calc4!$C$17:$AF$25,27,0)-$F12))</f>
        <v/>
      </c>
      <c r="F12" s="112" t="str">
        <f ca="1">IF($C12="","",VLOOKUP($C12,Calc4!$C$17:$AC$25,26,0))</f>
        <v/>
      </c>
      <c r="G12" s="152" t="str">
        <f ca="1">IF(C12="","",VLOOKUP(C12,Calc4!$C$17:$AB$25,23,0))</f>
        <v/>
      </c>
      <c r="H12" s="136" t="str">
        <f ca="1">IFERROR(VLOOKUP($C12&amp;H$7,Calc4!$Z$64:$AB$207,3,0),"")</f>
        <v/>
      </c>
      <c r="I12" s="112" t="str">
        <f ca="1">IFERROR(VLOOKUP($C12&amp;I$7,Calc4!$Z$64:$AB$207,3,0),"")</f>
        <v/>
      </c>
      <c r="J12" s="112" t="str">
        <f ca="1">IFERROR(VLOOKUP($C12&amp;J$7,Calc4!$Z$64:$AB$207,3,0),"")</f>
        <v/>
      </c>
      <c r="K12" s="112" t="str">
        <f ca="1">IFERROR(VLOOKUP($C12&amp;K$7,Calc4!$Z$64:$AB$207,3,0),"")</f>
        <v/>
      </c>
      <c r="L12" s="121"/>
      <c r="M12" s="156" t="str">
        <f ca="1">IFERROR(VLOOKUP($C12&amp;M$7,Calc4!$Z$64:$AB$207,3,0),"")</f>
        <v/>
      </c>
      <c r="N12" s="184" t="str">
        <f t="shared" ca="1" si="0"/>
        <v/>
      </c>
    </row>
    <row r="13" spans="2:14" ht="21.95" customHeight="1" thickBot="1" x14ac:dyDescent="0.25">
      <c r="B13" s="116" t="str">
        <f ca="1">IF($C13="","",INDEX(Vorrunde!$W$12:$W$47,MATCH($C13,Vorrunde!$X$12:$X$47,0)))</f>
        <v/>
      </c>
      <c r="C13" s="125" t="str">
        <f ca="1">IF(Calc4!$K$13=0,"",Calc4!$X9)</f>
        <v/>
      </c>
      <c r="D13" s="129" t="str">
        <f ca="1">IF($C13="","",VLOOKUP($C13,Calc4!$C$17:$AC$25,25,0))</f>
        <v/>
      </c>
      <c r="E13" s="789" t="str">
        <f ca="1">IF($C13="","",VLOOKUP($C13,Calc4!$C$17:$AF$25,27,0)&amp;Sprache!$E$109&amp;(VLOOKUP($C13,Calc4!$C$17:$AF$25,27,0)-$F13))</f>
        <v/>
      </c>
      <c r="F13" s="113" t="str">
        <f ca="1">IF($C13="","",VLOOKUP($C13,Calc4!$C$17:$AC$25,26,0))</f>
        <v/>
      </c>
      <c r="G13" s="153" t="str">
        <f ca="1">IF(C13="","",VLOOKUP(C13,Calc4!$C$17:$AB$25,23,0))</f>
        <v/>
      </c>
      <c r="H13" s="137" t="str">
        <f ca="1">IFERROR(VLOOKUP($C13&amp;H$7,Calc4!$Z$64:$AB$207,3,0),"")</f>
        <v/>
      </c>
      <c r="I13" s="113" t="str">
        <f ca="1">IFERROR(VLOOKUP($C13&amp;I$7,Calc4!$Z$64:$AB$207,3,0),"")</f>
        <v/>
      </c>
      <c r="J13" s="113" t="str">
        <f ca="1">IFERROR(VLOOKUP($C13&amp;J$7,Calc4!$Z$64:$AB$207,3,0),"")</f>
        <v/>
      </c>
      <c r="K13" s="113" t="str">
        <f ca="1">IFERROR(VLOOKUP($C13&amp;K$7,Calc4!$Z$64:$AB$207,3,0),"")</f>
        <v/>
      </c>
      <c r="L13" s="113" t="str">
        <f ca="1">IFERROR(VLOOKUP($C13&amp;L$7,Calc4!$Z$64:$AB$207,3,0),"")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IF(LEN(H16)&gt;Einstellungen!$C$33,LEFT(H16,Einstellungen!$C$33)&amp;".",H16)</f>
        <v/>
      </c>
      <c r="I15" s="148" t="str">
        <f ca="1">IF(LEN(I16)&gt;Einstellungen!$C$33,LEFT(I16,Einstellungen!$C$33)&amp;".",I16)</f>
        <v/>
      </c>
      <c r="J15" s="148" t="str">
        <f ca="1">IF(LEN(J16)&gt;Einstellungen!$C$33,LEFT(J16,Einstellungen!$C$33)&amp;".",J16)</f>
        <v/>
      </c>
      <c r="K15" s="148" t="str">
        <f ca="1">IF(LEN(K16)&gt;Einstellungen!$C$33,LEFT(K16,Einstellungen!$C$33)&amp;".",K16)</f>
        <v/>
      </c>
      <c r="L15" s="148" t="str">
        <f ca="1">IF(LEN(L16)&gt;Einstellungen!$C$33,LEFT(L16,Einstellungen!$C$33)&amp;".",L16)</f>
        <v/>
      </c>
      <c r="M15" s="149" t="str">
        <f ca="1">IF(LEN(M16)&gt;Einstellungen!$C$33,LEFT(M16,Einstellungen!$C$33)&amp;".",M16)</f>
        <v/>
      </c>
    </row>
    <row r="16" spans="2:14" ht="21.95" customHeight="1" thickTop="1" thickBot="1" x14ac:dyDescent="0.25">
      <c r="B16" s="117"/>
      <c r="C16" s="122" t="str">
        <f>Sprache!$E$10</f>
        <v>Teilnehmer bzw. Mannschaft</v>
      </c>
      <c r="D16" s="126" t="str">
        <f>Sprache!$E$91</f>
        <v>Satzpkt.</v>
      </c>
      <c r="E16" s="126" t="str">
        <f>Sprache!$E$74</f>
        <v>Bälle</v>
      </c>
      <c r="F16" s="114" t="str">
        <f>Sprache!$E$26</f>
        <v>Diff.</v>
      </c>
      <c r="G16" s="150" t="str">
        <f>Sprache!$E$49</f>
        <v>Tie-Break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IF($C17="","",INDEX(Vorrunde!$W$12:$W$47,MATCH($C17,Vorrunde!$X$12:$X$47,0)))</f>
        <v/>
      </c>
      <c r="C17" s="123" t="str">
        <f ca="1">IF(Calc4!$K$13=0,"",Calc4!$AC4)</f>
        <v/>
      </c>
      <c r="D17" s="127" t="str">
        <f ca="1">IF($C17="","",VLOOKUP($C17,Calc4!$C$17:$AC$25,25,0))</f>
        <v/>
      </c>
      <c r="E17" s="787" t="str">
        <f ca="1">IF($C17="","",VLOOKUP($C17,Calc4!$C$17:$AF$25,27,0)&amp;Sprache!$E$109&amp;(VLOOKUP($C17,Calc4!$C$17:$AF$25,27,0)-$F17))</f>
        <v/>
      </c>
      <c r="F17" s="111" t="str">
        <f ca="1">IF($C17="","",VLOOKUP($C17,Calc4!$C$17:$AC$25,26,0))</f>
        <v/>
      </c>
      <c r="G17" s="151" t="str">
        <f ca="1">IF(C17="","",VLOOKUP(C17,Calc4!$C$17:$AB$25,23,0))</f>
        <v/>
      </c>
      <c r="H17" s="135"/>
      <c r="I17" s="111" t="str">
        <f ca="1">IFERROR(VLOOKUP($C17&amp;I$16,Calc4!$Z$64:$AB$207,3,0),"")</f>
        <v/>
      </c>
      <c r="J17" s="111" t="str">
        <f ca="1">IFERROR(VLOOKUP($C17&amp;J$16,Calc4!$Z$64:$AB$207,3,0),"")</f>
        <v/>
      </c>
      <c r="K17" s="111" t="str">
        <f ca="1">IFERROR(VLOOKUP($C17&amp;K$16,Calc4!$Z$64:$AB$207,3,0),"")</f>
        <v/>
      </c>
      <c r="L17" s="111" t="str">
        <f ca="1">IFERROR(VLOOKUP($C17&amp;L$16,Calc4!$Z$64:$AB$207,3,0),"")</f>
        <v/>
      </c>
      <c r="M17" s="155" t="str">
        <f ca="1">IFERROR(VLOOKUP($C17&amp;M$16,Calc4!$Z$64:$AB$207,3,0),"")</f>
        <v/>
      </c>
      <c r="N17" s="183" t="str">
        <f t="shared" ref="N17:N22" ca="1" si="1">C17</f>
        <v/>
      </c>
    </row>
    <row r="18" spans="2:14" ht="21.95" customHeight="1" x14ac:dyDescent="0.2">
      <c r="B18" s="115" t="str">
        <f ca="1">IF($C18="","",INDEX(Vorrunde!$W$12:$W$47,MATCH($C18,Vorrunde!$X$12:$X$47,0)))</f>
        <v/>
      </c>
      <c r="C18" s="124" t="str">
        <f ca="1">IF(Calc4!$K$13=0,"",Calc4!$AC5)</f>
        <v/>
      </c>
      <c r="D18" s="128" t="str">
        <f ca="1">IF($C18="","",VLOOKUP($C18,Calc4!$C$17:$AC$25,25,0))</f>
        <v/>
      </c>
      <c r="E18" s="788" t="str">
        <f ca="1">IF($C18="","",VLOOKUP($C18,Calc4!$C$17:$AF$25,27,0)&amp;Sprache!$E$109&amp;(VLOOKUP($C18,Calc4!$C$17:$AF$25,27,0)-$F18))</f>
        <v/>
      </c>
      <c r="F18" s="112" t="str">
        <f ca="1">IF($C18="","",VLOOKUP($C18,Calc4!$C$17:$AC$25,26,0))</f>
        <v/>
      </c>
      <c r="G18" s="152" t="str">
        <f ca="1">IF(C18="","",VLOOKUP(C18,Calc4!$C$17:$AB$25,23,0))</f>
        <v/>
      </c>
      <c r="H18" s="136" t="str">
        <f ca="1">IFERROR(VLOOKUP($C18&amp;H$16,Calc4!$Z$64:$AB$207,3,0),"")</f>
        <v/>
      </c>
      <c r="I18" s="121"/>
      <c r="J18" s="112" t="str">
        <f ca="1">IFERROR(VLOOKUP($C18&amp;J$16,Calc4!$Z$64:$AB$207,3,0),"")</f>
        <v/>
      </c>
      <c r="K18" s="112" t="str">
        <f ca="1">IFERROR(VLOOKUP($C18&amp;K$16,Calc4!$Z$64:$AB$207,3,0),"")</f>
        <v/>
      </c>
      <c r="L18" s="112" t="str">
        <f ca="1">IFERROR(VLOOKUP($C18&amp;L$16,Calc4!$Z$64:$AB$207,3,0),"")</f>
        <v/>
      </c>
      <c r="M18" s="156" t="str">
        <f ca="1">IFERROR(VLOOKUP($C18&amp;M$16,Calc4!$Z$64:$AB$207,3,0),"")</f>
        <v/>
      </c>
      <c r="N18" s="184" t="str">
        <f t="shared" ca="1" si="1"/>
        <v/>
      </c>
    </row>
    <row r="19" spans="2:14" ht="21.95" customHeight="1" x14ac:dyDescent="0.2">
      <c r="B19" s="115" t="str">
        <f ca="1">IF($C19="","",INDEX(Vorrunde!$W$12:$W$47,MATCH($C19,Vorrunde!$X$12:$X$47,0)))</f>
        <v/>
      </c>
      <c r="C19" s="124" t="str">
        <f ca="1">IF(Calc4!$K$13=0,"",Calc4!$AC6)</f>
        <v/>
      </c>
      <c r="D19" s="128" t="str">
        <f ca="1">IF($C19="","",VLOOKUP($C19,Calc4!$C$17:$AC$25,25,0))</f>
        <v/>
      </c>
      <c r="E19" s="788" t="str">
        <f ca="1">IF($C19="","",VLOOKUP($C19,Calc4!$C$17:$AF$25,27,0)&amp;Sprache!$E$109&amp;(VLOOKUP($C19,Calc4!$C$17:$AF$25,27,0)-$F19))</f>
        <v/>
      </c>
      <c r="F19" s="112" t="str">
        <f ca="1">IF($C19="","",VLOOKUP($C19,Calc4!$C$17:$AC$25,26,0))</f>
        <v/>
      </c>
      <c r="G19" s="152" t="str">
        <f ca="1">IF(C19="","",VLOOKUP(C19,Calc4!$C$17:$AB$25,23,0))</f>
        <v/>
      </c>
      <c r="H19" s="136" t="str">
        <f ca="1">IFERROR(VLOOKUP($C19&amp;H$16,Calc4!$Z$64:$AB$207,3,0),"")</f>
        <v/>
      </c>
      <c r="I19" s="112" t="str">
        <f ca="1">IFERROR(VLOOKUP($C19&amp;I$16,Calc4!$Z$64:$AB$207,3,0),"")</f>
        <v/>
      </c>
      <c r="J19" s="121"/>
      <c r="K19" s="112" t="str">
        <f ca="1">IFERROR(VLOOKUP($C19&amp;K$16,Calc4!$Z$64:$AB$207,3,0),"")</f>
        <v/>
      </c>
      <c r="L19" s="112" t="str">
        <f ca="1">IFERROR(VLOOKUP($C19&amp;L$16,Calc4!$Z$64:$AB$207,3,0),"")</f>
        <v/>
      </c>
      <c r="M19" s="156" t="str">
        <f ca="1">IFERROR(VLOOKUP($C19&amp;M$16,Calc4!$Z$64:$AB$207,3,0),"")</f>
        <v/>
      </c>
      <c r="N19" s="184" t="str">
        <f t="shared" ca="1" si="1"/>
        <v/>
      </c>
    </row>
    <row r="20" spans="2:14" ht="21.95" customHeight="1" x14ac:dyDescent="0.2">
      <c r="B20" s="115" t="str">
        <f ca="1">IF($C20="","",INDEX(Vorrunde!$W$12:$W$47,MATCH($C20,Vorrunde!$X$12:$X$47,0)))</f>
        <v/>
      </c>
      <c r="C20" s="124" t="str">
        <f ca="1">IF(Calc4!$K$13=0,"",Calc4!$AC7)</f>
        <v/>
      </c>
      <c r="D20" s="128" t="str">
        <f ca="1">IF($C20="","",VLOOKUP($C20,Calc4!$C$17:$AC$25,25,0))</f>
        <v/>
      </c>
      <c r="E20" s="788" t="str">
        <f ca="1">IF($C20="","",VLOOKUP($C20,Calc4!$C$17:$AF$25,27,0)&amp;Sprache!$E$109&amp;(VLOOKUP($C20,Calc4!$C$17:$AF$25,27,0)-$F20))</f>
        <v/>
      </c>
      <c r="F20" s="112" t="str">
        <f ca="1">IF($C20="","",VLOOKUP($C20,Calc4!$C$17:$AC$25,26,0))</f>
        <v/>
      </c>
      <c r="G20" s="152" t="str">
        <f ca="1">IF(C20="","",VLOOKUP(C20,Calc4!$C$17:$AB$25,23,0))</f>
        <v/>
      </c>
      <c r="H20" s="136" t="str">
        <f ca="1">IFERROR(VLOOKUP($C20&amp;H$16,Calc4!$Z$64:$AB$207,3,0),"")</f>
        <v/>
      </c>
      <c r="I20" s="112" t="str">
        <f ca="1">IFERROR(VLOOKUP($C20&amp;I$16,Calc4!$Z$64:$AB$207,3,0),"")</f>
        <v/>
      </c>
      <c r="J20" s="112" t="str">
        <f ca="1">IFERROR(VLOOKUP($C20&amp;J$16,Calc4!$Z$64:$AB$207,3,0),"")</f>
        <v/>
      </c>
      <c r="K20" s="121"/>
      <c r="L20" s="112" t="str">
        <f ca="1">IFERROR(VLOOKUP($C20&amp;L$16,Calc4!$Z$64:$AB$207,3,0),"")</f>
        <v/>
      </c>
      <c r="M20" s="156" t="str">
        <f ca="1">IFERROR(VLOOKUP($C20&amp;M$16,Calc4!$Z$64:$AB$207,3,0),"")</f>
        <v/>
      </c>
      <c r="N20" s="184" t="str">
        <f t="shared" ca="1" si="1"/>
        <v/>
      </c>
    </row>
    <row r="21" spans="2:14" ht="21.95" customHeight="1" x14ac:dyDescent="0.2">
      <c r="B21" s="115" t="str">
        <f ca="1">IF($C21="","",INDEX(Vorrunde!$W$12:$W$47,MATCH($C21,Vorrunde!$X$12:$X$47,0)))</f>
        <v/>
      </c>
      <c r="C21" s="124" t="str">
        <f ca="1">IF(Calc4!$K$13=0,"",Calc4!$AC8)</f>
        <v/>
      </c>
      <c r="D21" s="128" t="str">
        <f ca="1">IF($C21="","",VLOOKUP($C21,Calc4!$C$17:$AC$25,25,0))</f>
        <v/>
      </c>
      <c r="E21" s="788" t="str">
        <f ca="1">IF($C21="","",VLOOKUP($C21,Calc4!$C$17:$AF$25,27,0)&amp;Sprache!$E$109&amp;(VLOOKUP($C21,Calc4!$C$17:$AF$25,27,0)-$F21))</f>
        <v/>
      </c>
      <c r="F21" s="112" t="str">
        <f ca="1">IF($C21="","",VLOOKUP($C21,Calc4!$C$17:$AC$25,26,0))</f>
        <v/>
      </c>
      <c r="G21" s="152" t="str">
        <f ca="1">IF(C21="","",VLOOKUP(C21,Calc4!$C$17:$AB$25,23,0))</f>
        <v/>
      </c>
      <c r="H21" s="136" t="str">
        <f ca="1">IFERROR(VLOOKUP($C21&amp;H$16,Calc4!$Z$64:$AB$207,3,0),"")</f>
        <v/>
      </c>
      <c r="I21" s="112" t="str">
        <f ca="1">IFERROR(VLOOKUP($C21&amp;I$16,Calc4!$Z$64:$AB$207,3,0),"")</f>
        <v/>
      </c>
      <c r="J21" s="112" t="str">
        <f ca="1">IFERROR(VLOOKUP($C21&amp;J$16,Calc4!$Z$64:$AB$207,3,0),"")</f>
        <v/>
      </c>
      <c r="K21" s="112" t="str">
        <f ca="1">IFERROR(VLOOKUP($C21&amp;K$16,Calc4!$Z$64:$AB$207,3,0),"")</f>
        <v/>
      </c>
      <c r="L21" s="121"/>
      <c r="M21" s="156" t="str">
        <f ca="1">IFERROR(VLOOKUP($C21&amp;M$16,Calc4!$Z$64:$AB$207,3,0),"")</f>
        <v/>
      </c>
      <c r="N21" s="184" t="str">
        <f t="shared" ca="1" si="1"/>
        <v/>
      </c>
    </row>
    <row r="22" spans="2:14" ht="21.95" customHeight="1" thickBot="1" x14ac:dyDescent="0.25">
      <c r="B22" s="116" t="str">
        <f ca="1">IF($C22="","",INDEX(Vorrunde!$W$12:$W$47,MATCH($C22,Vorrunde!$X$12:$X$47,0)))</f>
        <v/>
      </c>
      <c r="C22" s="125" t="str">
        <f ca="1">IF(Calc4!$K$13=0,"",Calc4!$AC9)</f>
        <v/>
      </c>
      <c r="D22" s="129" t="str">
        <f ca="1">IF($C22="","",VLOOKUP($C22,Calc4!$C$17:$AC$25,25,0))</f>
        <v/>
      </c>
      <c r="E22" s="789" t="str">
        <f ca="1">IF($C22="","",VLOOKUP($C22,Calc4!$C$17:$AF$25,27,0)&amp;Sprache!$E$109&amp;(VLOOKUP($C22,Calc4!$C$17:$AF$25,27,0)-$F22))</f>
        <v/>
      </c>
      <c r="F22" s="113" t="str">
        <f ca="1">IF($C22="","",VLOOKUP($C22,Calc4!$C$17:$AC$25,26,0))</f>
        <v/>
      </c>
      <c r="G22" s="153" t="str">
        <f ca="1">IF(C22="","",VLOOKUP(C22,Calc4!$C$17:$AB$25,23,0))</f>
        <v/>
      </c>
      <c r="H22" s="137" t="str">
        <f ca="1">IFERROR(VLOOKUP($C22&amp;H$16,Calc4!$Z$64:$AB$207,3,0),"")</f>
        <v/>
      </c>
      <c r="I22" s="113" t="str">
        <f ca="1">IFERROR(VLOOKUP($C22&amp;I$16,Calc4!$Z$64:$AB$207,3,0),"")</f>
        <v/>
      </c>
      <c r="J22" s="113" t="str">
        <f ca="1">IFERROR(VLOOKUP($C22&amp;J$16,Calc4!$Z$64:$AB$207,3,0),"")</f>
        <v/>
      </c>
      <c r="K22" s="113" t="str">
        <f ca="1">IFERROR(VLOOKUP($C22&amp;K$16,Calc4!$Z$64:$AB$207,3,0),"")</f>
        <v/>
      </c>
      <c r="L22" s="113" t="str">
        <f ca="1">IFERROR(VLOOKUP($C22&amp;L$16,Calc4!$Z$64:$AB$207,3,0),"")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IF(LEN(H25)&gt;Einstellungen!$C$33,LEFT(H25,Einstellungen!$C$33)&amp;".",H25)</f>
        <v/>
      </c>
      <c r="I24" s="148" t="str">
        <f ca="1">IF(LEN(I25)&gt;Einstellungen!$C$33,LEFT(I25,Einstellungen!$C$33)&amp;".",I25)</f>
        <v/>
      </c>
      <c r="J24" s="148" t="str">
        <f ca="1">IF(LEN(J25)&gt;Einstellungen!$C$33,LEFT(J25,Einstellungen!$C$33)&amp;".",J25)</f>
        <v/>
      </c>
      <c r="K24" s="148" t="str">
        <f ca="1">IF(LEN(K25)&gt;Einstellungen!$C$33,LEFT(K25,Einstellungen!$C$33)&amp;".",K25)</f>
        <v/>
      </c>
      <c r="L24" s="148" t="str">
        <f ca="1">IF(LEN(L25)&gt;Einstellungen!$C$33,LEFT(L25,Einstellungen!$C$33)&amp;".",L25)</f>
        <v/>
      </c>
      <c r="M24" s="149" t="str">
        <f ca="1">IF(LEN(M25)&gt;Einstellungen!$C$33,LEFT(M25,Einstellungen!$C$33)&amp;".",M25)</f>
        <v/>
      </c>
    </row>
    <row r="25" spans="2:14" ht="21.95" customHeight="1" thickTop="1" thickBot="1" x14ac:dyDescent="0.25">
      <c r="B25" s="117"/>
      <c r="C25" s="122" t="str">
        <f>Sprache!$E$10</f>
        <v>Teilnehmer bzw. Mannschaft</v>
      </c>
      <c r="D25" s="126" t="str">
        <f>Sprache!$E$91</f>
        <v>Satzpkt.</v>
      </c>
      <c r="E25" s="126" t="str">
        <f>Sprache!$E$74</f>
        <v>Bälle</v>
      </c>
      <c r="F25" s="114" t="str">
        <f>Sprache!$E$26</f>
        <v>Diff.</v>
      </c>
      <c r="G25" s="150" t="str">
        <f>Sprache!$E$49</f>
        <v>Tie-Break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IF($C26="","",INDEX(Vorrunde!$W$12:$W$47,MATCH($C26,Vorrunde!$X$12:$X$47,0)))</f>
        <v/>
      </c>
      <c r="C26" s="123" t="str">
        <f ca="1">IF(Calc4!$K$13=0,"",Calc4!$AH4)</f>
        <v/>
      </c>
      <c r="D26" s="127" t="str">
        <f ca="1">IF($C26="","",VLOOKUP($C26,Calc4!$C$17:$AC$25,25,0))</f>
        <v/>
      </c>
      <c r="E26" s="787" t="str">
        <f ca="1">IF($C26="","",VLOOKUP($C26,Calc4!$C$17:$AF$25,27,0)&amp;Sprache!$E$109&amp;(VLOOKUP($C26,Calc4!$C$17:$AF$25,27,0)-$F26))</f>
        <v/>
      </c>
      <c r="F26" s="111" t="str">
        <f ca="1">IF($C26="","",VLOOKUP($C26,Calc4!$C$17:$AC$25,26,0))</f>
        <v/>
      </c>
      <c r="G26" s="151" t="str">
        <f ca="1">IF(C26="","",VLOOKUP(C26,Calc4!$C$17:$AB$25,23,0))</f>
        <v/>
      </c>
      <c r="H26" s="135"/>
      <c r="I26" s="111" t="str">
        <f ca="1">IFERROR(VLOOKUP($C26&amp;I$25,Calc4!$Z$64:$AB$207,3,0),"")</f>
        <v/>
      </c>
      <c r="J26" s="111" t="str">
        <f ca="1">IFERROR(VLOOKUP($C26&amp;J$25,Calc4!$Z$64:$AB$207,3,0),"")</f>
        <v/>
      </c>
      <c r="K26" s="111" t="str">
        <f ca="1">IFERROR(VLOOKUP($C26&amp;K$25,Calc4!$Z$64:$AB$207,3,0),"")</f>
        <v/>
      </c>
      <c r="L26" s="111" t="str">
        <f ca="1">IFERROR(VLOOKUP($C26&amp;L$25,Calc4!$Z$64:$AB$207,3,0),"")</f>
        <v/>
      </c>
      <c r="M26" s="155" t="str">
        <f ca="1">IFERROR(VLOOKUP($C26&amp;M$25,Calc4!$Z$64:$AB$207,3,0),"")</f>
        <v/>
      </c>
      <c r="N26" s="183" t="str">
        <f t="shared" ref="N26:N31" ca="1" si="2">C26</f>
        <v/>
      </c>
    </row>
    <row r="27" spans="2:14" ht="21.95" customHeight="1" x14ac:dyDescent="0.2">
      <c r="B27" s="115" t="str">
        <f ca="1">IF($C27="","",INDEX(Vorrunde!$W$12:$W$47,MATCH($C27,Vorrunde!$X$12:$X$47,0)))</f>
        <v/>
      </c>
      <c r="C27" s="124" t="str">
        <f ca="1">IF(Calc4!$K$13=0,"",Calc4!$AH5)</f>
        <v/>
      </c>
      <c r="D27" s="128" t="str">
        <f ca="1">IF($C27="","",VLOOKUP($C27,Calc4!$C$17:$AC$25,25,0))</f>
        <v/>
      </c>
      <c r="E27" s="788" t="str">
        <f ca="1">IF($C27="","",VLOOKUP($C27,Calc4!$C$17:$AF$25,27,0)&amp;Sprache!$E$109&amp;(VLOOKUP($C27,Calc4!$C$17:$AF$25,27,0)-$F27))</f>
        <v/>
      </c>
      <c r="F27" s="112" t="str">
        <f ca="1">IF($C27="","",VLOOKUP($C27,Calc4!$C$17:$AC$25,26,0))</f>
        <v/>
      </c>
      <c r="G27" s="152" t="str">
        <f ca="1">IF(C27="","",VLOOKUP(C27,Calc4!$C$17:$AB$25,23,0))</f>
        <v/>
      </c>
      <c r="H27" s="136" t="str">
        <f ca="1">IFERROR(VLOOKUP($C27&amp;H$25,Calc4!$Z$64:$AB$207,3,0),"")</f>
        <v/>
      </c>
      <c r="I27" s="121"/>
      <c r="J27" s="112" t="str">
        <f ca="1">IFERROR(VLOOKUP($C27&amp;J$25,Calc4!$Z$64:$AB$207,3,0),"")</f>
        <v/>
      </c>
      <c r="K27" s="112" t="str">
        <f ca="1">IFERROR(VLOOKUP($C27&amp;K$25,Calc4!$Z$64:$AB$207,3,0),"")</f>
        <v/>
      </c>
      <c r="L27" s="112" t="str">
        <f ca="1">IFERROR(VLOOKUP($C27&amp;L$25,Calc4!$Z$64:$AB$207,3,0),"")</f>
        <v/>
      </c>
      <c r="M27" s="156" t="str">
        <f ca="1">IFERROR(VLOOKUP($C27&amp;M$25,Calc4!$Z$64:$AB$207,3,0),"")</f>
        <v/>
      </c>
      <c r="N27" s="184" t="str">
        <f t="shared" ca="1" si="2"/>
        <v/>
      </c>
    </row>
    <row r="28" spans="2:14" ht="21.95" customHeight="1" x14ac:dyDescent="0.2">
      <c r="B28" s="115" t="str">
        <f ca="1">IF($C28="","",INDEX(Vorrunde!$W$12:$W$47,MATCH($C28,Vorrunde!$X$12:$X$47,0)))</f>
        <v/>
      </c>
      <c r="C28" s="124" t="str">
        <f ca="1">IF(Calc4!$K$13=0,"",Calc4!$AH6)</f>
        <v/>
      </c>
      <c r="D28" s="128" t="str">
        <f ca="1">IF($C28="","",VLOOKUP($C28,Calc4!$C$17:$AC$25,25,0))</f>
        <v/>
      </c>
      <c r="E28" s="788" t="str">
        <f ca="1">IF($C28="","",VLOOKUP($C28,Calc4!$C$17:$AF$25,27,0)&amp;Sprache!$E$109&amp;(VLOOKUP($C28,Calc4!$C$17:$AF$25,27,0)-$F28))</f>
        <v/>
      </c>
      <c r="F28" s="112" t="str">
        <f ca="1">IF($C28="","",VLOOKUP($C28,Calc4!$C$17:$AC$25,26,0))</f>
        <v/>
      </c>
      <c r="G28" s="152" t="str">
        <f ca="1">IF(C28="","",VLOOKUP(C28,Calc4!$C$17:$AB$25,23,0))</f>
        <v/>
      </c>
      <c r="H28" s="136" t="str">
        <f ca="1">IFERROR(VLOOKUP($C28&amp;H$25,Calc4!$Z$64:$AB$207,3,0),"")</f>
        <v/>
      </c>
      <c r="I28" s="112" t="str">
        <f ca="1">IFERROR(VLOOKUP($C28&amp;I$25,Calc4!$Z$64:$AB$207,3,0),"")</f>
        <v/>
      </c>
      <c r="J28" s="121"/>
      <c r="K28" s="112" t="str">
        <f ca="1">IFERROR(VLOOKUP($C28&amp;K$25,Calc4!$Z$64:$AB$207,3,0),"")</f>
        <v/>
      </c>
      <c r="L28" s="112" t="str">
        <f ca="1">IFERROR(VLOOKUP($C28&amp;L$25,Calc4!$Z$64:$AB$207,3,0),"")</f>
        <v/>
      </c>
      <c r="M28" s="156" t="str">
        <f ca="1">IFERROR(VLOOKUP($C28&amp;M$25,Calc4!$Z$64:$AB$207,3,0),"")</f>
        <v/>
      </c>
      <c r="N28" s="184" t="str">
        <f t="shared" ca="1" si="2"/>
        <v/>
      </c>
    </row>
    <row r="29" spans="2:14" ht="21.95" customHeight="1" x14ac:dyDescent="0.2">
      <c r="B29" s="115" t="str">
        <f ca="1">IF($C29="","",INDEX(Vorrunde!$W$12:$W$47,MATCH($C29,Vorrunde!$X$12:$X$47,0)))</f>
        <v/>
      </c>
      <c r="C29" s="124" t="str">
        <f ca="1">IF(Calc4!$K$13=0,"",Calc4!$AH7)</f>
        <v/>
      </c>
      <c r="D29" s="128" t="str">
        <f ca="1">IF($C29="","",VLOOKUP($C29,Calc4!$C$17:$AC$25,25,0))</f>
        <v/>
      </c>
      <c r="E29" s="788" t="str">
        <f ca="1">IF($C29="","",VLOOKUP($C29,Calc4!$C$17:$AF$25,27,0)&amp;Sprache!$E$109&amp;(VLOOKUP($C29,Calc4!$C$17:$AF$25,27,0)-$F29))</f>
        <v/>
      </c>
      <c r="F29" s="112" t="str">
        <f ca="1">IF($C29="","",VLOOKUP($C29,Calc4!$C$17:$AC$25,26,0))</f>
        <v/>
      </c>
      <c r="G29" s="152" t="str">
        <f ca="1">IF(C29="","",VLOOKUP(C29,Calc4!$C$17:$AB$25,23,0))</f>
        <v/>
      </c>
      <c r="H29" s="136" t="str">
        <f ca="1">IFERROR(VLOOKUP($C29&amp;H$25,Calc4!$Z$64:$AB$207,3,0),"")</f>
        <v/>
      </c>
      <c r="I29" s="112" t="str">
        <f ca="1">IFERROR(VLOOKUP($C29&amp;I$25,Calc4!$Z$64:$AB$207,3,0),"")</f>
        <v/>
      </c>
      <c r="J29" s="112" t="str">
        <f ca="1">IFERROR(VLOOKUP($C29&amp;J$25,Calc4!$Z$64:$AB$207,3,0),"")</f>
        <v/>
      </c>
      <c r="K29" s="121"/>
      <c r="L29" s="112" t="str">
        <f ca="1">IFERROR(VLOOKUP($C29&amp;L$25,Calc4!$Z$64:$AB$207,3,0),"")</f>
        <v/>
      </c>
      <c r="M29" s="156" t="str">
        <f ca="1">IFERROR(VLOOKUP($C29&amp;M$25,Calc4!$Z$64:$AB$207,3,0),"")</f>
        <v/>
      </c>
      <c r="N29" s="184" t="str">
        <f t="shared" ca="1" si="2"/>
        <v/>
      </c>
    </row>
    <row r="30" spans="2:14" ht="21.95" customHeight="1" x14ac:dyDescent="0.2">
      <c r="B30" s="115" t="str">
        <f ca="1">IF($C30="","",INDEX(Vorrunde!$W$12:$W$47,MATCH($C30,Vorrunde!$X$12:$X$47,0)))</f>
        <v/>
      </c>
      <c r="C30" s="124" t="str">
        <f ca="1">IF(Calc4!$K$13=0,"",Calc4!$AH8)</f>
        <v/>
      </c>
      <c r="D30" s="128" t="str">
        <f ca="1">IF($C30="","",VLOOKUP($C30,Calc4!$C$17:$AC$25,25,0))</f>
        <v/>
      </c>
      <c r="E30" s="788" t="str">
        <f ca="1">IF($C30="","",VLOOKUP($C30,Calc4!$C$17:$AF$25,27,0)&amp;Sprache!$E$109&amp;(VLOOKUP($C30,Calc4!$C$17:$AF$25,27,0)-$F30))</f>
        <v/>
      </c>
      <c r="F30" s="112" t="str">
        <f ca="1">IF($C30="","",VLOOKUP($C30,Calc4!$C$17:$AC$25,26,0))</f>
        <v/>
      </c>
      <c r="G30" s="152" t="str">
        <f ca="1">IF(C30="","",VLOOKUP(C30,Calc4!$C$17:$AB$25,23,0))</f>
        <v/>
      </c>
      <c r="H30" s="136" t="str">
        <f ca="1">IFERROR(VLOOKUP($C30&amp;H$25,Calc4!$Z$64:$AB$207,3,0),"")</f>
        <v/>
      </c>
      <c r="I30" s="112" t="str">
        <f ca="1">IFERROR(VLOOKUP($C30&amp;I$25,Calc4!$Z$64:$AB$207,3,0),"")</f>
        <v/>
      </c>
      <c r="J30" s="112" t="str">
        <f ca="1">IFERROR(VLOOKUP($C30&amp;J$25,Calc4!$Z$64:$AB$207,3,0),"")</f>
        <v/>
      </c>
      <c r="K30" s="112" t="str">
        <f ca="1">IFERROR(VLOOKUP($C30&amp;K$25,Calc4!$Z$64:$AB$207,3,0),"")</f>
        <v/>
      </c>
      <c r="L30" s="121"/>
      <c r="M30" s="156" t="str">
        <f ca="1">IFERROR(VLOOKUP($C30&amp;M$25,Calc4!$Z$64:$AB$207,3,0),"")</f>
        <v/>
      </c>
      <c r="N30" s="184" t="str">
        <f t="shared" ca="1" si="2"/>
        <v/>
      </c>
    </row>
    <row r="31" spans="2:14" ht="21.95" customHeight="1" thickBot="1" x14ac:dyDescent="0.25">
      <c r="B31" s="116" t="str">
        <f ca="1">IF($C31="","",INDEX(Vorrunde!$W$12:$W$47,MATCH($C31,Vorrunde!$X$12:$X$47,0)))</f>
        <v/>
      </c>
      <c r="C31" s="125" t="str">
        <f ca="1">IF(Calc4!$K$13=0,"",Calc4!$AH9)</f>
        <v/>
      </c>
      <c r="D31" s="129" t="str">
        <f ca="1">IF($C31="","",VLOOKUP($C31,Calc4!$C$17:$AC$25,25,0))</f>
        <v/>
      </c>
      <c r="E31" s="789" t="str">
        <f ca="1">IF($C31="","",VLOOKUP($C31,Calc4!$C$17:$AF$25,27,0)&amp;Sprache!$E$109&amp;(VLOOKUP($C31,Calc4!$C$17:$AF$25,27,0)-$F31))</f>
        <v/>
      </c>
      <c r="F31" s="113" t="str">
        <f ca="1">IF($C31="","",VLOOKUP($C31,Calc4!$C$17:$AC$25,26,0))</f>
        <v/>
      </c>
      <c r="G31" s="153" t="str">
        <f ca="1">IF(C31="","",VLOOKUP(C31,Calc4!$C$17:$AB$25,23,0))</f>
        <v/>
      </c>
      <c r="H31" s="137" t="str">
        <f ca="1">IFERROR(VLOOKUP($C31&amp;H$25,Calc4!$Z$64:$AB$207,3,0),"")</f>
        <v/>
      </c>
      <c r="I31" s="113" t="str">
        <f ca="1">IFERROR(VLOOKUP($C31&amp;I$25,Calc4!$Z$64:$AB$207,3,0),"")</f>
        <v/>
      </c>
      <c r="J31" s="113" t="str">
        <f ca="1">IFERROR(VLOOKUP($C31&amp;J$25,Calc4!$Z$64:$AB$207,3,0),"")</f>
        <v/>
      </c>
      <c r="K31" s="113" t="str">
        <f ca="1">IFERROR(VLOOKUP($C31&amp;K$25,Calc4!$Z$64:$AB$207,3,0),"")</f>
        <v/>
      </c>
      <c r="L31" s="113" t="str">
        <f ca="1">IFERROR(VLOOKUP($C31&amp;L$25,Calc4!$Z$64:$AB$207,3,0),"")</f>
        <v/>
      </c>
      <c r="M31" s="157"/>
      <c r="N31" s="185" t="str">
        <f t="shared" ca="1" si="2"/>
        <v/>
      </c>
    </row>
    <row r="32" spans="2:14" ht="42.75" customHeight="1" thickTop="1" thickBot="1" x14ac:dyDescent="0.25"/>
    <row r="33" spans="2:14" ht="21.95" customHeight="1" thickBot="1" x14ac:dyDescent="0.25">
      <c r="H33" s="147" t="str">
        <f ca="1">IF(LEN(H34)&gt;Einstellungen!$C$33,LEFT(H34,Einstellungen!$C$33)&amp;".",H34)</f>
        <v/>
      </c>
      <c r="I33" s="148" t="str">
        <f ca="1">IF(LEN(I34)&gt;Einstellungen!$C$33,LEFT(I34,Einstellungen!$C$33)&amp;".",I34)</f>
        <v/>
      </c>
      <c r="J33" s="148" t="str">
        <f ca="1">IF(LEN(J34)&gt;Einstellungen!$C$33,LEFT(J34,Einstellungen!$C$33)&amp;".",J34)</f>
        <v/>
      </c>
      <c r="K33" s="148" t="str">
        <f ca="1">IF(LEN(K34)&gt;Einstellungen!$C$33,LEFT(K34,Einstellungen!$C$33)&amp;".",K34)</f>
        <v/>
      </c>
      <c r="L33" s="148" t="str">
        <f ca="1">IF(LEN(L34)&gt;Einstellungen!$C$33,LEFT(L34,Einstellungen!$C$33)&amp;".",L34)</f>
        <v/>
      </c>
      <c r="M33" s="149" t="str">
        <f ca="1">IF(LEN(M34)&gt;Einstellungen!$C$33,LEFT(M34,Einstellungen!$C$33)&amp;".",M34)</f>
        <v/>
      </c>
    </row>
    <row r="34" spans="2:14" ht="21.95" customHeight="1" thickTop="1" thickBot="1" x14ac:dyDescent="0.25">
      <c r="B34" s="117"/>
      <c r="C34" s="122" t="str">
        <f>Sprache!$E$10</f>
        <v>Teilnehmer bzw. Mannschaft</v>
      </c>
      <c r="D34" s="126" t="str">
        <f>Sprache!$E$91</f>
        <v>Satzpkt.</v>
      </c>
      <c r="E34" s="126" t="str">
        <f>Sprache!$E$74</f>
        <v>Bälle</v>
      </c>
      <c r="F34" s="114" t="str">
        <f>Sprache!$E$26</f>
        <v>Diff.</v>
      </c>
      <c r="G34" s="150" t="str">
        <f>Sprache!$E$49</f>
        <v>Tie-Break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IF($C35="","",INDEX(Vorrunde!$W$12:$W$47,MATCH($C35,Vorrunde!$X$12:$X$47,0)))</f>
        <v/>
      </c>
      <c r="C35" s="123" t="str">
        <f ca="1">IF(Calc4!$K$13=0,"",Calc4!$AM4)</f>
        <v/>
      </c>
      <c r="D35" s="127" t="str">
        <f ca="1">IF($C35="","",VLOOKUP($C35,Calc4!$C$17:$AC$25,25,0))</f>
        <v/>
      </c>
      <c r="E35" s="787" t="str">
        <f ca="1">IF($C35="","",VLOOKUP($C35,Calc4!$C$17:$AF$25,27,0)&amp;Sprache!$E$109&amp;(VLOOKUP($C35,Calc4!$C$17:$AF$25,27,0)-$F35))</f>
        <v/>
      </c>
      <c r="F35" s="111" t="str">
        <f ca="1">IF($C35="","",VLOOKUP($C35,Calc4!$C$17:$AC$25,26,0))</f>
        <v/>
      </c>
      <c r="G35" s="151" t="str">
        <f ca="1">IF(C35="","",VLOOKUP(C35,Calc4!$C$17:$AB$25,23,0))</f>
        <v/>
      </c>
      <c r="H35" s="135"/>
      <c r="I35" s="111" t="str">
        <f ca="1">IFERROR(VLOOKUP($C35&amp;I$34,Calc4!$Z$64:$AB$207,3,0),"")</f>
        <v/>
      </c>
      <c r="J35" s="111" t="str">
        <f ca="1">IFERROR(VLOOKUP($C35&amp;J$34,Calc4!$Z$64:$AB$207,3,0),"")</f>
        <v/>
      </c>
      <c r="K35" s="111" t="str">
        <f ca="1">IFERROR(VLOOKUP($C35&amp;K$34,Calc4!$Z$64:$AB$207,3,0),"")</f>
        <v/>
      </c>
      <c r="L35" s="111" t="str">
        <f ca="1">IFERROR(VLOOKUP($C35&amp;L$34,Calc4!$Z$64:$AB$207,3,0),"")</f>
        <v/>
      </c>
      <c r="M35" s="155" t="str">
        <f ca="1">IFERROR(VLOOKUP($C35&amp;M$34,Calc4!$Z$64:$AB$207,3,0),"")</f>
        <v/>
      </c>
      <c r="N35" s="183" t="str">
        <f t="shared" ref="N35:N40" ca="1" si="3">C35</f>
        <v/>
      </c>
    </row>
    <row r="36" spans="2:14" ht="21.95" customHeight="1" x14ac:dyDescent="0.2">
      <c r="B36" s="115" t="str">
        <f ca="1">IF($C36="","",INDEX(Vorrunde!$W$12:$W$47,MATCH($C36,Vorrunde!$X$12:$X$47,0)))</f>
        <v/>
      </c>
      <c r="C36" s="124" t="str">
        <f ca="1">IF(Calc4!$K$13=0,"",Calc4!$AM5)</f>
        <v/>
      </c>
      <c r="D36" s="128" t="str">
        <f ca="1">IF($C36="","",VLOOKUP($C36,Calc4!$C$17:$AC$25,25,0))</f>
        <v/>
      </c>
      <c r="E36" s="788" t="str">
        <f ca="1">IF($C36="","",VLOOKUP($C36,Calc4!$C$17:$AF$25,27,0)&amp;Sprache!$E$109&amp;(VLOOKUP($C36,Calc4!$C$17:$AF$25,27,0)-$F36))</f>
        <v/>
      </c>
      <c r="F36" s="112" t="str">
        <f ca="1">IF($C36="","",VLOOKUP($C36,Calc4!$C$17:$AC$25,26,0))</f>
        <v/>
      </c>
      <c r="G36" s="152" t="str">
        <f ca="1">IF(C36="","",VLOOKUP(C36,Calc4!$C$17:$AB$25,23,0))</f>
        <v/>
      </c>
      <c r="H36" s="136" t="str">
        <f ca="1">IFERROR(VLOOKUP($C36&amp;H$34,Calc4!$Z$64:$AB$207,3,0),"")</f>
        <v/>
      </c>
      <c r="I36" s="121"/>
      <c r="J36" s="112" t="str">
        <f ca="1">IFERROR(VLOOKUP($C36&amp;J$34,Calc4!$Z$64:$AB$207,3,0),"")</f>
        <v/>
      </c>
      <c r="K36" s="112" t="str">
        <f ca="1">IFERROR(VLOOKUP($C36&amp;K$34,Calc4!$Z$64:$AB$207,3,0),"")</f>
        <v/>
      </c>
      <c r="L36" s="112" t="str">
        <f ca="1">IFERROR(VLOOKUP($C36&amp;L$34,Calc4!$Z$64:$AB$207,3,0),"")</f>
        <v/>
      </c>
      <c r="M36" s="156" t="str">
        <f ca="1">IFERROR(VLOOKUP($C36&amp;M$34,Calc4!$Z$64:$AB$207,3,0),"")</f>
        <v/>
      </c>
      <c r="N36" s="184" t="str">
        <f t="shared" ca="1" si="3"/>
        <v/>
      </c>
    </row>
    <row r="37" spans="2:14" ht="21.95" customHeight="1" x14ac:dyDescent="0.2">
      <c r="B37" s="115" t="str">
        <f ca="1">IF($C37="","",INDEX(Vorrunde!$W$12:$W$47,MATCH($C37,Vorrunde!$X$12:$X$47,0)))</f>
        <v/>
      </c>
      <c r="C37" s="124" t="str">
        <f ca="1">IF(Calc4!$K$13=0,"",Calc4!$AM6)</f>
        <v/>
      </c>
      <c r="D37" s="128" t="str">
        <f ca="1">IF($C37="","",VLOOKUP($C37,Calc4!$C$17:$AC$25,25,0))</f>
        <v/>
      </c>
      <c r="E37" s="788" t="str">
        <f ca="1">IF($C37="","",VLOOKUP($C37,Calc4!$C$17:$AF$25,27,0)&amp;Sprache!$E$109&amp;(VLOOKUP($C37,Calc4!$C$17:$AF$25,27,0)-$F37))</f>
        <v/>
      </c>
      <c r="F37" s="112" t="str">
        <f ca="1">IF($C37="","",VLOOKUP($C37,Calc4!$C$17:$AC$25,26,0))</f>
        <v/>
      </c>
      <c r="G37" s="152" t="str">
        <f ca="1">IF(C37="","",VLOOKUP(C37,Calc4!$C$17:$AB$25,23,0))</f>
        <v/>
      </c>
      <c r="H37" s="136" t="str">
        <f ca="1">IFERROR(VLOOKUP($C37&amp;H$34,Calc4!$Z$64:$AB$207,3,0),"")</f>
        <v/>
      </c>
      <c r="I37" s="112" t="str">
        <f ca="1">IFERROR(VLOOKUP($C37&amp;I$34,Calc4!$Z$64:$AB$207,3,0),"")</f>
        <v/>
      </c>
      <c r="J37" s="121"/>
      <c r="K37" s="112" t="str">
        <f ca="1">IFERROR(VLOOKUP($C37&amp;K$34,Calc4!$Z$64:$AB$207,3,0),"")</f>
        <v/>
      </c>
      <c r="L37" s="112" t="str">
        <f ca="1">IFERROR(VLOOKUP($C37&amp;L$34,Calc4!$Z$64:$AB$207,3,0),"")</f>
        <v/>
      </c>
      <c r="M37" s="156" t="str">
        <f ca="1">IFERROR(VLOOKUP($C37&amp;M$34,Calc4!$Z$64:$AB$207,3,0),"")</f>
        <v/>
      </c>
      <c r="N37" s="184" t="str">
        <f t="shared" ca="1" si="3"/>
        <v/>
      </c>
    </row>
    <row r="38" spans="2:14" ht="21.95" customHeight="1" x14ac:dyDescent="0.2">
      <c r="B38" s="115" t="str">
        <f ca="1">IF($C38="","",INDEX(Vorrunde!$W$12:$W$47,MATCH($C38,Vorrunde!$X$12:$X$47,0)))</f>
        <v/>
      </c>
      <c r="C38" s="124" t="str">
        <f ca="1">IF(Calc4!$K$13=0,"",Calc4!$AM7)</f>
        <v/>
      </c>
      <c r="D38" s="128" t="str">
        <f ca="1">IF($C38="","",VLOOKUP($C38,Calc4!$C$17:$AC$25,25,0))</f>
        <v/>
      </c>
      <c r="E38" s="788" t="str">
        <f ca="1">IF($C38="","",VLOOKUP($C38,Calc4!$C$17:$AF$25,27,0)&amp;Sprache!$E$109&amp;(VLOOKUP($C38,Calc4!$C$17:$AF$25,27,0)-$F38))</f>
        <v/>
      </c>
      <c r="F38" s="112" t="str">
        <f ca="1">IF($C38="","",VLOOKUP($C38,Calc4!$C$17:$AC$25,26,0))</f>
        <v/>
      </c>
      <c r="G38" s="152" t="str">
        <f ca="1">IF(C38="","",VLOOKUP(C38,Calc4!$C$17:$AB$25,23,0))</f>
        <v/>
      </c>
      <c r="H38" s="136" t="str">
        <f ca="1">IFERROR(VLOOKUP($C38&amp;H$34,Calc4!$Z$64:$AB$207,3,0),"")</f>
        <v/>
      </c>
      <c r="I38" s="112" t="str">
        <f ca="1">IFERROR(VLOOKUP($C38&amp;I$34,Calc4!$Z$64:$AB$207,3,0),"")</f>
        <v/>
      </c>
      <c r="J38" s="112" t="str">
        <f ca="1">IFERROR(VLOOKUP($C38&amp;J$34,Calc4!$Z$64:$AB$207,3,0),"")</f>
        <v/>
      </c>
      <c r="K38" s="121"/>
      <c r="L38" s="112" t="str">
        <f ca="1">IFERROR(VLOOKUP($C38&amp;L$34,Calc4!$Z$64:$AB$207,3,0),"")</f>
        <v/>
      </c>
      <c r="M38" s="156" t="str">
        <f ca="1">IFERROR(VLOOKUP($C38&amp;M$34,Calc4!$Z$64:$AB$207,3,0),"")</f>
        <v/>
      </c>
      <c r="N38" s="184" t="str">
        <f t="shared" ca="1" si="3"/>
        <v/>
      </c>
    </row>
    <row r="39" spans="2:14" ht="21.95" customHeight="1" x14ac:dyDescent="0.2">
      <c r="B39" s="115" t="str">
        <f ca="1">IF($C39="","",INDEX(Vorrunde!$W$12:$W$47,MATCH($C39,Vorrunde!$X$12:$X$47,0)))</f>
        <v/>
      </c>
      <c r="C39" s="124" t="str">
        <f ca="1">IF(Calc4!$K$13=0,"",Calc4!$AM8)</f>
        <v/>
      </c>
      <c r="D39" s="128" t="str">
        <f ca="1">IF($C39="","",VLOOKUP($C39,Calc4!$C$17:$AC$25,25,0))</f>
        <v/>
      </c>
      <c r="E39" s="788" t="str">
        <f ca="1">IF($C39="","",VLOOKUP($C39,Calc4!$C$17:$AF$25,27,0)&amp;Sprache!$E$109&amp;(VLOOKUP($C39,Calc4!$C$17:$AF$25,27,0)-$F39))</f>
        <v/>
      </c>
      <c r="F39" s="112" t="str">
        <f ca="1">IF($C39="","",VLOOKUP($C39,Calc4!$C$17:$AC$25,26,0))</f>
        <v/>
      </c>
      <c r="G39" s="152" t="str">
        <f ca="1">IF(C39="","",VLOOKUP(C39,Calc4!$C$17:$AB$25,23,0))</f>
        <v/>
      </c>
      <c r="H39" s="136" t="str">
        <f ca="1">IFERROR(VLOOKUP($C39&amp;H$34,Calc4!$Z$64:$AB$207,3,0),"")</f>
        <v/>
      </c>
      <c r="I39" s="112" t="str">
        <f ca="1">IFERROR(VLOOKUP($C39&amp;I$34,Calc4!$Z$64:$AB$207,3,0),"")</f>
        <v/>
      </c>
      <c r="J39" s="112" t="str">
        <f ca="1">IFERROR(VLOOKUP($C39&amp;J$34,Calc4!$Z$64:$AB$207,3,0),"")</f>
        <v/>
      </c>
      <c r="K39" s="112" t="str">
        <f ca="1">IFERROR(VLOOKUP($C39&amp;K$34,Calc4!$Z$64:$AB$207,3,0),"")</f>
        <v/>
      </c>
      <c r="L39" s="121"/>
      <c r="M39" s="156" t="str">
        <f ca="1">IFERROR(VLOOKUP($C39&amp;M$34,Calc4!$Z$64:$AB$207,3,0),"")</f>
        <v/>
      </c>
      <c r="N39" s="184" t="str">
        <f t="shared" ca="1" si="3"/>
        <v/>
      </c>
    </row>
    <row r="40" spans="2:14" ht="21.95" customHeight="1" thickBot="1" x14ac:dyDescent="0.25">
      <c r="B40" s="116" t="str">
        <f ca="1">IF($C40="","",INDEX(Vorrunde!$W$12:$W$47,MATCH($C40,Vorrunde!$X$12:$X$47,0)))</f>
        <v/>
      </c>
      <c r="C40" s="125" t="str">
        <f ca="1">IF(Calc4!$K$13=0,"",Calc4!$AM9)</f>
        <v/>
      </c>
      <c r="D40" s="129" t="str">
        <f ca="1">IF($C40="","",VLOOKUP($C40,Calc4!$C$17:$AC$25,25,0))</f>
        <v/>
      </c>
      <c r="E40" s="789" t="str">
        <f ca="1">IF($C40="","",VLOOKUP($C40,Calc4!$C$17:$AF$25,27,0)&amp;Sprache!$E$109&amp;(VLOOKUP($C40,Calc4!$C$17:$AF$25,27,0)-$F40))</f>
        <v/>
      </c>
      <c r="F40" s="113" t="str">
        <f ca="1">IF($C40="","",VLOOKUP($C40,Calc4!$C$17:$AC$25,26,0))</f>
        <v/>
      </c>
      <c r="G40" s="153" t="str">
        <f ca="1">IF(C40="","",VLOOKUP(C40,Calc4!$C$17:$AB$25,23,0))</f>
        <v/>
      </c>
      <c r="H40" s="137" t="str">
        <f ca="1">IFERROR(VLOOKUP($C40&amp;H$34,Calc4!$Z$64:$AB$207,3,0),"")</f>
        <v/>
      </c>
      <c r="I40" s="113" t="str">
        <f ca="1">IFERROR(VLOOKUP($C40&amp;I$34,Calc4!$Z$64:$AB$207,3,0),"")</f>
        <v/>
      </c>
      <c r="J40" s="113" t="str">
        <f ca="1">IFERROR(VLOOKUP($C40&amp;J$34,Calc4!$Z$64:$AB$207,3,0),"")</f>
        <v/>
      </c>
      <c r="K40" s="113" t="str">
        <f ca="1">IFERROR(VLOOKUP($C40&amp;K$34,Calc4!$Z$64:$AB$207,3,0),"")</f>
        <v/>
      </c>
      <c r="L40" s="113" t="str">
        <f ca="1">IFERROR(VLOOKUP($C40&amp;L$34,Calc4!$Z$64:$AB$207,3,0),"")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3"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0"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89"/>
      <c r="F1" s="850" t="str">
        <f>$E$35</f>
        <v>Sprache wählen</v>
      </c>
      <c r="G1" s="850"/>
      <c r="H1" s="850"/>
      <c r="I1" s="105"/>
      <c r="J1" s="107" t="s">
        <v>145</v>
      </c>
      <c r="K1" s="170" t="str">
        <f>_xlfn.UNICHAR(8592)</f>
        <v>←</v>
      </c>
      <c r="L1" s="169" t="str">
        <f>$E$105</f>
        <v>Hier klicken und Sprache wählen</v>
      </c>
    </row>
    <row r="2" spans="2:12" ht="11.25" customHeight="1" thickBot="1" x14ac:dyDescent="0.25">
      <c r="F2" s="1005"/>
      <c r="G2" s="1005"/>
      <c r="I2" s="71"/>
      <c r="J2" s="72"/>
    </row>
    <row r="3" spans="2:12" ht="13.5" thickTop="1" x14ac:dyDescent="0.2">
      <c r="B3" s="73" t="s">
        <v>112</v>
      </c>
      <c r="C3" s="74">
        <f>IF(AND($J$1&lt;&gt;B4,$J$1&lt;&gt;B5),1,0)</f>
        <v>0</v>
      </c>
      <c r="D3" s="1006"/>
      <c r="E3" s="1008"/>
      <c r="F3" s="1009" t="s">
        <v>112</v>
      </c>
      <c r="G3" s="1011" t="s">
        <v>145</v>
      </c>
      <c r="H3" s="1003" t="s">
        <v>111</v>
      </c>
      <c r="I3" s="75"/>
    </row>
    <row r="4" spans="2:12" ht="13.5" thickBot="1" x14ac:dyDescent="0.25">
      <c r="B4" s="73" t="s">
        <v>145</v>
      </c>
      <c r="C4" s="74">
        <f>IF($J$1=B4,1,0)</f>
        <v>1</v>
      </c>
      <c r="D4" s="1007"/>
      <c r="E4" s="1008"/>
      <c r="F4" s="1010"/>
      <c r="G4" s="1012"/>
      <c r="H4" s="1004"/>
      <c r="I4" s="76"/>
      <c r="J4" s="77"/>
    </row>
    <row r="5" spans="2:12" ht="29.25" thickTop="1" x14ac:dyDescent="0.45">
      <c r="B5" s="73" t="s">
        <v>111</v>
      </c>
      <c r="C5" s="74">
        <f>IF($J$1=B5,1,0)</f>
        <v>0</v>
      </c>
      <c r="E5" s="73"/>
      <c r="F5" s="81" t="str">
        <f>$E$36</f>
        <v>Überschriften</v>
      </c>
      <c r="G5" s="82"/>
      <c r="H5" s="83"/>
      <c r="I5" s="76"/>
      <c r="J5" s="77"/>
    </row>
    <row r="6" spans="2:12" x14ac:dyDescent="0.2">
      <c r="E6" s="73" t="str">
        <f>IF($C$3,F6,IF($C$4,G6,IF($H6&lt;&gt;"",$H6,$F6)))</f>
        <v>Tie Break Vorrunde</v>
      </c>
      <c r="F6" s="80" t="s">
        <v>385</v>
      </c>
      <c r="G6" s="78" t="s">
        <v>202</v>
      </c>
      <c r="H6" s="101"/>
    </row>
    <row r="7" spans="2:12" x14ac:dyDescent="0.2">
      <c r="E7" s="73" t="str">
        <f t="shared" ref="E7:E143" si="0">IF($C$3,F7,IF($C$4,G7,IF($H7&lt;&gt;"",$H7,$F7)))</f>
        <v>Direkte Vergleiche</v>
      </c>
      <c r="F7" s="80" t="s">
        <v>113</v>
      </c>
      <c r="G7" s="78" t="s">
        <v>12</v>
      </c>
      <c r="H7" s="79"/>
    </row>
    <row r="8" spans="2:12" x14ac:dyDescent="0.2">
      <c r="E8" s="73" t="str">
        <f t="shared" si="0"/>
        <v>Dein Datum</v>
      </c>
      <c r="F8" s="99" t="s">
        <v>140</v>
      </c>
      <c r="G8" s="98" t="s">
        <v>139</v>
      </c>
      <c r="H8" s="79"/>
    </row>
    <row r="9" spans="2:12" ht="15" customHeight="1" x14ac:dyDescent="0.45">
      <c r="E9" s="73" t="str">
        <f t="shared" si="0"/>
        <v>Nr.</v>
      </c>
      <c r="F9" s="96" t="s">
        <v>115</v>
      </c>
      <c r="G9" s="95" t="s">
        <v>0</v>
      </c>
      <c r="H9" s="79"/>
      <c r="I9" s="87"/>
    </row>
    <row r="10" spans="2:12" ht="15" customHeight="1" x14ac:dyDescent="0.45">
      <c r="E10" s="73" t="str">
        <f t="shared" si="0"/>
        <v>Teilnehmer bzw. Mannschaft</v>
      </c>
      <c r="F10" s="96" t="s">
        <v>116</v>
      </c>
      <c r="G10" s="95" t="s">
        <v>21</v>
      </c>
      <c r="H10" s="79"/>
      <c r="I10" s="87"/>
    </row>
    <row r="11" spans="2:12" ht="15" customHeight="1" x14ac:dyDescent="0.45">
      <c r="E11" s="73" t="str">
        <f t="shared" si="0"/>
        <v>Ergebnisse</v>
      </c>
      <c r="F11" s="96" t="s">
        <v>117</v>
      </c>
      <c r="G11" s="95" t="s">
        <v>22</v>
      </c>
      <c r="H11" s="79"/>
      <c r="I11" s="87"/>
    </row>
    <row r="12" spans="2:12" ht="15" customHeight="1" x14ac:dyDescent="0.45">
      <c r="E12" s="73" t="str">
        <f t="shared" si="0"/>
        <v>Tabelle</v>
      </c>
      <c r="F12" s="96" t="s">
        <v>118</v>
      </c>
      <c r="G12" s="95" t="s">
        <v>13</v>
      </c>
      <c r="H12" s="79"/>
      <c r="I12" s="87"/>
    </row>
    <row r="13" spans="2:12" ht="15" customHeight="1" x14ac:dyDescent="0.45">
      <c r="E13" s="73" t="str">
        <f t="shared" si="0"/>
        <v>Tabelle (Kopie)</v>
      </c>
      <c r="F13" s="96" t="s">
        <v>119</v>
      </c>
      <c r="G13" s="95" t="s">
        <v>52</v>
      </c>
      <c r="H13" s="79"/>
      <c r="I13" s="87"/>
    </row>
    <row r="14" spans="2:12" ht="15" customHeight="1" x14ac:dyDescent="0.45">
      <c r="E14" s="73" t="str">
        <f t="shared" si="0"/>
        <v>Spielpaarung</v>
      </c>
      <c r="F14" s="96" t="s">
        <v>122</v>
      </c>
      <c r="G14" s="95" t="s">
        <v>1</v>
      </c>
      <c r="H14" s="79"/>
      <c r="I14" s="87"/>
    </row>
    <row r="15" spans="2:12" ht="15" customHeight="1" x14ac:dyDescent="0.45">
      <c r="E15" s="73" t="str">
        <f t="shared" si="0"/>
        <v>Ergebnis</v>
      </c>
      <c r="F15" s="96" t="s">
        <v>123</v>
      </c>
      <c r="G15" s="95" t="s">
        <v>2</v>
      </c>
      <c r="H15" s="79"/>
      <c r="I15" s="87"/>
    </row>
    <row r="16" spans="2:12" ht="15" customHeight="1" x14ac:dyDescent="0.45">
      <c r="E16" s="73" t="str">
        <f t="shared" si="0"/>
        <v>Gruppe</v>
      </c>
      <c r="F16" s="96" t="s">
        <v>182</v>
      </c>
      <c r="G16" s="95" t="s">
        <v>181</v>
      </c>
      <c r="H16" s="79"/>
      <c r="I16" s="87"/>
    </row>
    <row r="17" spans="5:13" ht="15" customHeight="1" x14ac:dyDescent="0.45">
      <c r="E17" s="73" t="str">
        <f t="shared" si="0"/>
        <v>Grp</v>
      </c>
      <c r="F17" s="96" t="s">
        <v>183</v>
      </c>
      <c r="G17" s="95" t="s">
        <v>183</v>
      </c>
      <c r="H17" s="79"/>
      <c r="I17" s="87"/>
    </row>
    <row r="18" spans="5:13" ht="15" customHeight="1" x14ac:dyDescent="0.45">
      <c r="E18" s="73" t="str">
        <f t="shared" si="0"/>
        <v>Vorrunde</v>
      </c>
      <c r="F18" s="96" t="s">
        <v>198</v>
      </c>
      <c r="G18" s="95" t="s">
        <v>196</v>
      </c>
      <c r="H18" s="79"/>
      <c r="I18" s="87"/>
    </row>
    <row r="19" spans="5:13" ht="15" customHeight="1" x14ac:dyDescent="0.45">
      <c r="E19" s="73" t="str">
        <f t="shared" si="0"/>
        <v>Endrunde</v>
      </c>
      <c r="F19" s="96" t="s">
        <v>199</v>
      </c>
      <c r="G19" s="95" t="s">
        <v>197</v>
      </c>
      <c r="H19" s="79"/>
      <c r="I19" s="87"/>
    </row>
    <row r="20" spans="5:13" ht="15" x14ac:dyDescent="0.25">
      <c r="E20" s="73" t="str">
        <f t="shared" si="0"/>
        <v>Zusätzl. Pause (min)</v>
      </c>
      <c r="F20" s="99" t="s">
        <v>204</v>
      </c>
      <c r="G20" s="98" t="s">
        <v>203</v>
      </c>
      <c r="H20" s="79"/>
      <c r="I20" s="88"/>
      <c r="J20" s="88"/>
      <c r="K20" s="88"/>
      <c r="L20" s="88"/>
      <c r="M20" s="88"/>
    </row>
    <row r="21" spans="5:13" ht="15" x14ac:dyDescent="0.25">
      <c r="E21" s="73" t="str">
        <f t="shared" si="0"/>
        <v>SP</v>
      </c>
      <c r="F21" s="99" t="s">
        <v>102</v>
      </c>
      <c r="G21" s="98" t="s">
        <v>124</v>
      </c>
      <c r="H21" s="79"/>
      <c r="I21" s="88"/>
      <c r="J21" s="88"/>
      <c r="K21" s="88"/>
      <c r="L21" s="88"/>
      <c r="M21" s="88"/>
    </row>
    <row r="22" spans="5:13" ht="15" x14ac:dyDescent="0.25">
      <c r="E22" s="73" t="str">
        <f t="shared" si="0"/>
        <v>G</v>
      </c>
      <c r="F22" s="99" t="s">
        <v>103</v>
      </c>
      <c r="G22" s="98" t="s">
        <v>125</v>
      </c>
      <c r="H22" s="79"/>
      <c r="I22" s="88"/>
      <c r="J22" s="88"/>
      <c r="K22" s="88"/>
      <c r="L22" s="88"/>
      <c r="M22" s="88"/>
    </row>
    <row r="23" spans="5:13" ht="15" x14ac:dyDescent="0.25">
      <c r="E23" s="73" t="str">
        <f t="shared" si="0"/>
        <v>U</v>
      </c>
      <c r="F23" s="99" t="s">
        <v>104</v>
      </c>
      <c r="G23" s="98" t="s">
        <v>126</v>
      </c>
      <c r="H23" s="79"/>
      <c r="I23" s="88"/>
      <c r="J23" s="88"/>
      <c r="K23" s="88"/>
      <c r="L23" s="88"/>
      <c r="M23" s="88"/>
    </row>
    <row r="24" spans="5:13" ht="15" x14ac:dyDescent="0.25">
      <c r="E24" s="73" t="str">
        <f t="shared" si="0"/>
        <v>V</v>
      </c>
      <c r="F24" s="99" t="s">
        <v>105</v>
      </c>
      <c r="G24" s="98" t="s">
        <v>127</v>
      </c>
      <c r="H24" s="79"/>
      <c r="I24" s="88"/>
      <c r="J24" s="88"/>
      <c r="K24" s="88"/>
      <c r="L24" s="88"/>
      <c r="M24" s="88"/>
    </row>
    <row r="25" spans="5:13" ht="15" x14ac:dyDescent="0.25">
      <c r="E25" s="73" t="str">
        <f t="shared" si="0"/>
        <v>Sätze</v>
      </c>
      <c r="F25" s="99" t="s">
        <v>363</v>
      </c>
      <c r="G25" s="98" t="s">
        <v>362</v>
      </c>
      <c r="H25" s="79"/>
      <c r="I25" s="88"/>
      <c r="J25" s="88"/>
      <c r="K25" s="88"/>
      <c r="L25" s="88"/>
      <c r="M25" s="88"/>
    </row>
    <row r="26" spans="5:13" ht="15" x14ac:dyDescent="0.25">
      <c r="E26" s="73" t="str">
        <f t="shared" si="0"/>
        <v>Diff.</v>
      </c>
      <c r="F26" s="99" t="s">
        <v>3</v>
      </c>
      <c r="G26" s="98" t="s">
        <v>3</v>
      </c>
      <c r="H26" s="79"/>
      <c r="I26" s="88"/>
      <c r="J26" s="88"/>
      <c r="K26" s="88"/>
      <c r="L26" s="88"/>
      <c r="M26" s="88"/>
    </row>
    <row r="27" spans="5:13" ht="15" x14ac:dyDescent="0.25">
      <c r="E27" s="73" t="str">
        <f t="shared" si="0"/>
        <v>Pkt</v>
      </c>
      <c r="F27" s="99" t="s">
        <v>109</v>
      </c>
      <c r="G27" s="98" t="s">
        <v>128</v>
      </c>
      <c r="H27" s="79"/>
      <c r="I27" s="88"/>
      <c r="J27" s="88"/>
      <c r="K27" s="88"/>
      <c r="L27" s="88"/>
      <c r="M27" s="88"/>
    </row>
    <row r="28" spans="5:13" ht="15" x14ac:dyDescent="0.25">
      <c r="E28" s="73" t="str">
        <f t="shared" si="0"/>
        <v>erz. Pkte.</v>
      </c>
      <c r="F28" s="99" t="s">
        <v>361</v>
      </c>
      <c r="G28" s="98" t="s">
        <v>360</v>
      </c>
      <c r="H28" s="79"/>
      <c r="I28" s="88"/>
      <c r="J28" s="88"/>
      <c r="K28" s="88"/>
      <c r="L28" s="88"/>
      <c r="M28" s="88"/>
    </row>
    <row r="29" spans="5:13" x14ac:dyDescent="0.2">
      <c r="E29" s="73" t="str">
        <f t="shared" si="0"/>
        <v>Turnierende:</v>
      </c>
      <c r="F29" s="99" t="s">
        <v>283</v>
      </c>
      <c r="G29" s="98" t="s">
        <v>205</v>
      </c>
      <c r="H29" s="79"/>
    </row>
    <row r="30" spans="5:13" x14ac:dyDescent="0.2">
      <c r="E30" s="73" t="str">
        <f t="shared" si="0"/>
        <v>Teilnehmer und Ablaufplan</v>
      </c>
      <c r="F30" s="99" t="s">
        <v>129</v>
      </c>
      <c r="G30" s="98" t="s">
        <v>19</v>
      </c>
      <c r="H30" s="79"/>
    </row>
    <row r="31" spans="5:13" x14ac:dyDescent="0.2">
      <c r="E31" s="73" t="str">
        <f t="shared" si="0"/>
        <v>Teilnehmer</v>
      </c>
      <c r="F31" s="100" t="s">
        <v>130</v>
      </c>
      <c r="G31" s="98" t="s">
        <v>20</v>
      </c>
      <c r="H31" s="79"/>
    </row>
    <row r="32" spans="5:13" x14ac:dyDescent="0.2">
      <c r="E32" s="73" t="str">
        <f t="shared" si="0"/>
        <v>Ablaufplan</v>
      </c>
      <c r="F32" s="100" t="s">
        <v>131</v>
      </c>
      <c r="G32" s="98" t="s">
        <v>23</v>
      </c>
      <c r="H32" s="79"/>
    </row>
    <row r="33" spans="5:8" x14ac:dyDescent="0.2">
      <c r="E33" s="73" t="str">
        <f t="shared" si="0"/>
        <v>Spiel-Nr.</v>
      </c>
      <c r="F33" s="100" t="s">
        <v>132</v>
      </c>
      <c r="G33" s="98" t="s">
        <v>51</v>
      </c>
      <c r="H33" s="79"/>
    </row>
    <row r="34" spans="5:8" x14ac:dyDescent="0.2">
      <c r="E34" s="73" t="str">
        <f t="shared" si="0"/>
        <v>Paarungen</v>
      </c>
      <c r="F34" s="100" t="s">
        <v>133</v>
      </c>
      <c r="G34" s="98" t="s">
        <v>53</v>
      </c>
      <c r="H34" s="79"/>
    </row>
    <row r="35" spans="5:8" x14ac:dyDescent="0.2">
      <c r="E35" s="73" t="str">
        <f t="shared" si="0"/>
        <v>Sprache wählen</v>
      </c>
      <c r="F35" s="99" t="s">
        <v>110</v>
      </c>
      <c r="G35" s="98" t="s">
        <v>138</v>
      </c>
      <c r="H35" s="79"/>
    </row>
    <row r="36" spans="5:8" x14ac:dyDescent="0.2">
      <c r="E36" s="73" t="str">
        <f t="shared" si="0"/>
        <v>Überschriften</v>
      </c>
      <c r="F36" s="99" t="s">
        <v>114</v>
      </c>
      <c r="G36" s="98" t="s">
        <v>135</v>
      </c>
      <c r="H36" s="79"/>
    </row>
    <row r="37" spans="5:8" x14ac:dyDescent="0.2">
      <c r="E37" s="73" t="str">
        <f t="shared" si="0"/>
        <v>Meldungen</v>
      </c>
      <c r="F37" s="99" t="s">
        <v>136</v>
      </c>
      <c r="G37" s="98" t="s">
        <v>137</v>
      </c>
      <c r="H37" s="79"/>
    </row>
    <row r="38" spans="5:8" x14ac:dyDescent="0.2">
      <c r="E38" s="73" t="str">
        <f t="shared" si="0"/>
        <v>Deine Überschriften</v>
      </c>
      <c r="F38" s="99" t="s">
        <v>143</v>
      </c>
      <c r="G38" s="98" t="s">
        <v>142</v>
      </c>
      <c r="H38" s="79"/>
    </row>
    <row r="39" spans="5:8" x14ac:dyDescent="0.2">
      <c r="E39" s="73" t="str">
        <f t="shared" si="0"/>
        <v>Beginn:</v>
      </c>
      <c r="F39" s="99" t="s">
        <v>206</v>
      </c>
      <c r="G39" s="98" t="s">
        <v>207</v>
      </c>
      <c r="H39" s="79"/>
    </row>
    <row r="40" spans="5:8" x14ac:dyDescent="0.2">
      <c r="E40" s="73" t="str">
        <f t="shared" si="0"/>
        <v>Ende der Vorrunde:</v>
      </c>
      <c r="F40" s="99" t="s">
        <v>208</v>
      </c>
      <c r="G40" s="98" t="s">
        <v>209</v>
      </c>
      <c r="H40" s="79"/>
    </row>
    <row r="41" spans="5:8" x14ac:dyDescent="0.2">
      <c r="E41" s="73" t="str">
        <f t="shared" si="0"/>
        <v>Spielzeiten</v>
      </c>
      <c r="F41" s="99" t="s">
        <v>162</v>
      </c>
      <c r="G41" s="98" t="s">
        <v>161</v>
      </c>
      <c r="H41" s="79"/>
    </row>
    <row r="42" spans="5:8" x14ac:dyDescent="0.2">
      <c r="E42" s="73" t="str">
        <f t="shared" si="0"/>
        <v>Spielzeit pro Spiel:</v>
      </c>
      <c r="F42" s="99" t="s">
        <v>210</v>
      </c>
      <c r="G42" s="98" t="s">
        <v>211</v>
      </c>
      <c r="H42" s="79"/>
    </row>
    <row r="43" spans="5:8" x14ac:dyDescent="0.2">
      <c r="E43" s="73" t="str">
        <f t="shared" si="0"/>
        <v>Wechselzeit:</v>
      </c>
      <c r="F43" s="99" t="s">
        <v>212</v>
      </c>
      <c r="G43" s="98" t="s">
        <v>213</v>
      </c>
      <c r="H43" s="79"/>
    </row>
    <row r="44" spans="5:8" x14ac:dyDescent="0.2">
      <c r="E44" s="73" t="str">
        <f t="shared" si="0"/>
        <v>Anzahl der Spielfelder:</v>
      </c>
      <c r="F44" s="99" t="s">
        <v>352</v>
      </c>
      <c r="G44" s="98" t="s">
        <v>351</v>
      </c>
      <c r="H44" s="79"/>
    </row>
    <row r="45" spans="5:8" x14ac:dyDescent="0.2">
      <c r="E45" s="73" t="str">
        <f t="shared" si="0"/>
        <v>Uhr</v>
      </c>
      <c r="F45" s="99" t="s">
        <v>154</v>
      </c>
      <c r="G45" s="98" t="s">
        <v>153</v>
      </c>
      <c r="H45" s="79"/>
    </row>
    <row r="46" spans="5:8" x14ac:dyDescent="0.2">
      <c r="E46" s="73" t="str">
        <f t="shared" si="0"/>
        <v>Spiel gegen</v>
      </c>
      <c r="F46" s="99" t="s">
        <v>158</v>
      </c>
      <c r="G46" s="98" t="s">
        <v>157</v>
      </c>
      <c r="H46" s="79"/>
    </row>
    <row r="47" spans="5:8" x14ac:dyDescent="0.2">
      <c r="E47" s="73" t="str">
        <f t="shared" si="0"/>
        <v>Anmerkung</v>
      </c>
      <c r="F47" s="99" t="s">
        <v>159</v>
      </c>
      <c r="G47" s="98" t="s">
        <v>160</v>
      </c>
      <c r="H47" s="79"/>
    </row>
    <row r="48" spans="5:8" x14ac:dyDescent="0.2">
      <c r="E48" s="73" t="str">
        <f t="shared" si="0"/>
        <v>Feld</v>
      </c>
      <c r="F48" s="99" t="s">
        <v>214</v>
      </c>
      <c r="G48" s="98" t="s">
        <v>353</v>
      </c>
      <c r="H48" s="79"/>
    </row>
    <row r="49" spans="5:8" x14ac:dyDescent="0.2">
      <c r="E49" s="73" t="str">
        <f t="shared" si="0"/>
        <v>Tie-Break</v>
      </c>
      <c r="F49" s="80" t="s">
        <v>382</v>
      </c>
      <c r="G49" s="78" t="s">
        <v>381</v>
      </c>
      <c r="H49" s="79"/>
    </row>
    <row r="50" spans="5:8" x14ac:dyDescent="0.2">
      <c r="E50" s="73" t="str">
        <f t="shared" si="0"/>
        <v>Spielpaarungen</v>
      </c>
      <c r="F50" s="96" t="s">
        <v>168</v>
      </c>
      <c r="G50" s="95" t="s">
        <v>169</v>
      </c>
      <c r="H50" s="79"/>
    </row>
    <row r="51" spans="5:8" x14ac:dyDescent="0.2">
      <c r="E51" s="73" t="str">
        <f t="shared" si="0"/>
        <v>Einstellungen</v>
      </c>
      <c r="F51" s="96" t="s">
        <v>171</v>
      </c>
      <c r="G51" s="95" t="s">
        <v>170</v>
      </c>
      <c r="H51" s="79"/>
    </row>
    <row r="52" spans="5:8" x14ac:dyDescent="0.2">
      <c r="E52" s="73" t="str">
        <f t="shared" si="0"/>
        <v>Anzahl der Punkte für einen Sieg:</v>
      </c>
      <c r="F52" s="96" t="s">
        <v>173</v>
      </c>
      <c r="G52" s="95" t="s">
        <v>172</v>
      </c>
      <c r="H52" s="79"/>
    </row>
    <row r="53" spans="5:8" x14ac:dyDescent="0.2">
      <c r="E53" s="73" t="str">
        <f t="shared" si="0"/>
        <v>Halbfinale</v>
      </c>
      <c r="F53" s="96" t="s">
        <v>224</v>
      </c>
      <c r="G53" s="95" t="s">
        <v>221</v>
      </c>
      <c r="H53" s="79"/>
    </row>
    <row r="54" spans="5:8" x14ac:dyDescent="0.2">
      <c r="E54" s="73" t="str">
        <f t="shared" si="0"/>
        <v>Endspiele</v>
      </c>
      <c r="F54" s="96" t="s">
        <v>223</v>
      </c>
      <c r="G54" s="95" t="s">
        <v>222</v>
      </c>
      <c r="H54" s="79"/>
    </row>
    <row r="55" spans="5:8" x14ac:dyDescent="0.2">
      <c r="E55" s="73" t="str">
        <f t="shared" si="0"/>
        <v xml:space="preserve">Spiele um die Plätze </v>
      </c>
      <c r="F55" s="96" t="s">
        <v>226</v>
      </c>
      <c r="G55" s="95" t="s">
        <v>225</v>
      </c>
      <c r="H55" s="79"/>
    </row>
    <row r="56" spans="5:8" x14ac:dyDescent="0.2">
      <c r="E56" s="73" t="str">
        <f t="shared" si="0"/>
        <v>Vorrunde Gruppe</v>
      </c>
      <c r="F56" s="96" t="s">
        <v>230</v>
      </c>
      <c r="G56" s="95" t="s">
        <v>229</v>
      </c>
      <c r="H56" s="79"/>
    </row>
    <row r="57" spans="5:8" x14ac:dyDescent="0.2">
      <c r="E57" s="73" t="str">
        <f t="shared" si="0"/>
        <v>Gruppendritte</v>
      </c>
      <c r="F57" s="96" t="s">
        <v>289</v>
      </c>
      <c r="G57" s="95" t="s">
        <v>288</v>
      </c>
      <c r="H57" s="79"/>
    </row>
    <row r="58" spans="5:8" x14ac:dyDescent="0.2">
      <c r="E58" s="73" t="str">
        <f t="shared" si="0"/>
        <v>Viertelfinale</v>
      </c>
      <c r="F58" s="96" t="s">
        <v>291</v>
      </c>
      <c r="G58" s="95" t="s">
        <v>290</v>
      </c>
      <c r="H58" s="79"/>
    </row>
    <row r="59" spans="5:8" x14ac:dyDescent="0.2">
      <c r="E59" s="73" t="str">
        <f t="shared" si="0"/>
        <v>Gruppenerste</v>
      </c>
      <c r="F59" s="96" t="s">
        <v>314</v>
      </c>
      <c r="G59" s="95" t="s">
        <v>309</v>
      </c>
      <c r="H59" s="79"/>
    </row>
    <row r="60" spans="5:8" x14ac:dyDescent="0.2">
      <c r="E60" s="73" t="str">
        <f t="shared" si="0"/>
        <v>Gruppenzweite</v>
      </c>
      <c r="F60" s="96" t="s">
        <v>315</v>
      </c>
      <c r="G60" s="95" t="s">
        <v>310</v>
      </c>
      <c r="H60" s="79"/>
    </row>
    <row r="61" spans="5:8" x14ac:dyDescent="0.2">
      <c r="E61" s="73" t="str">
        <f t="shared" si="0"/>
        <v>Gruppendritte</v>
      </c>
      <c r="F61" s="96" t="s">
        <v>319</v>
      </c>
      <c r="G61" s="95" t="s">
        <v>288</v>
      </c>
      <c r="H61" s="79"/>
    </row>
    <row r="62" spans="5:8" x14ac:dyDescent="0.2">
      <c r="E62" s="73" t="str">
        <f t="shared" si="0"/>
        <v>Gruppenvierte</v>
      </c>
      <c r="F62" s="96" t="s">
        <v>318</v>
      </c>
      <c r="G62" s="95" t="s">
        <v>311</v>
      </c>
      <c r="H62" s="79"/>
    </row>
    <row r="63" spans="5:8" x14ac:dyDescent="0.2">
      <c r="E63" s="73" t="str">
        <f t="shared" si="0"/>
        <v>Gruppenfünfte</v>
      </c>
      <c r="F63" s="96" t="s">
        <v>316</v>
      </c>
      <c r="G63" s="95" t="s">
        <v>312</v>
      </c>
      <c r="H63" s="79"/>
    </row>
    <row r="64" spans="5:8" x14ac:dyDescent="0.2">
      <c r="E64" s="73" t="str">
        <f t="shared" si="0"/>
        <v>Gruppensechste</v>
      </c>
      <c r="F64" s="96" t="s">
        <v>317</v>
      </c>
      <c r="G64" s="95" t="s">
        <v>313</v>
      </c>
      <c r="H64" s="79"/>
    </row>
    <row r="65" spans="5:10" x14ac:dyDescent="0.2">
      <c r="E65" s="73" t="str">
        <f t="shared" si="0"/>
        <v>Finale</v>
      </c>
      <c r="F65" s="96" t="s">
        <v>219</v>
      </c>
      <c r="G65" s="95" t="s">
        <v>218</v>
      </c>
      <c r="H65" s="79"/>
    </row>
    <row r="66" spans="5:10" x14ac:dyDescent="0.2">
      <c r="E66" s="73" t="str">
        <f t="shared" si="0"/>
        <v>Spiel um den dritten Platz</v>
      </c>
      <c r="F66" s="96" t="s">
        <v>326</v>
      </c>
      <c r="G66" s="95" t="s">
        <v>327</v>
      </c>
      <c r="H66" s="79"/>
    </row>
    <row r="67" spans="5:10" x14ac:dyDescent="0.2">
      <c r="E67" s="73" t="str">
        <f t="shared" si="0"/>
        <v xml:space="preserve">Finalspiele um die Plätze </v>
      </c>
      <c r="F67" s="96" t="s">
        <v>342</v>
      </c>
      <c r="G67" s="95" t="s">
        <v>341</v>
      </c>
      <c r="H67" s="79"/>
    </row>
    <row r="68" spans="5:10" x14ac:dyDescent="0.2">
      <c r="E68" s="73" t="str">
        <f t="shared" si="0"/>
        <v xml:space="preserve"> bis </v>
      </c>
      <c r="F68" s="96" t="s">
        <v>329</v>
      </c>
      <c r="G68" s="95" t="s">
        <v>328</v>
      </c>
      <c r="H68" s="79"/>
    </row>
    <row r="69" spans="5:10" x14ac:dyDescent="0.2">
      <c r="E69" s="73" t="str">
        <f t="shared" si="0"/>
        <v>Halbfinalspiele</v>
      </c>
      <c r="F69" s="96" t="s">
        <v>331</v>
      </c>
      <c r="G69" s="95" t="s">
        <v>330</v>
      </c>
      <c r="H69" s="79"/>
    </row>
    <row r="70" spans="5:10" x14ac:dyDescent="0.2">
      <c r="E70" s="73" t="str">
        <f t="shared" si="0"/>
        <v xml:space="preserve">VF </v>
      </c>
      <c r="F70" s="96" t="s">
        <v>345</v>
      </c>
      <c r="G70" s="95" t="s">
        <v>346</v>
      </c>
      <c r="H70" s="79"/>
      <c r="J70" t="str">
        <f>$E$131</f>
        <v>(Abkürzung für 'Viertelfinale')</v>
      </c>
    </row>
    <row r="71" spans="5:10" x14ac:dyDescent="0.2">
      <c r="E71" s="73" t="str">
        <f t="shared" si="0"/>
        <v xml:space="preserve">HF </v>
      </c>
      <c r="F71" s="96" t="s">
        <v>350</v>
      </c>
      <c r="G71" s="95" t="s">
        <v>349</v>
      </c>
      <c r="H71" s="79"/>
      <c r="J71" t="str">
        <f>$E$132</f>
        <v>(Abkürzung für 'Halbfinale')</v>
      </c>
    </row>
    <row r="72" spans="5:10" x14ac:dyDescent="0.2">
      <c r="E72" s="73" t="str">
        <f t="shared" si="0"/>
        <v>1. Satz</v>
      </c>
      <c r="F72" s="96" t="s">
        <v>366</v>
      </c>
      <c r="G72" s="95" t="s">
        <v>364</v>
      </c>
      <c r="H72" s="79"/>
    </row>
    <row r="73" spans="5:10" x14ac:dyDescent="0.2">
      <c r="E73" s="73" t="str">
        <f t="shared" si="0"/>
        <v>2. Satz</v>
      </c>
      <c r="F73" s="96" t="s">
        <v>367</v>
      </c>
      <c r="G73" s="95" t="s">
        <v>365</v>
      </c>
      <c r="H73" s="79"/>
    </row>
    <row r="74" spans="5:10" x14ac:dyDescent="0.2">
      <c r="E74" s="73" t="str">
        <f t="shared" si="0"/>
        <v>Bälle</v>
      </c>
      <c r="F74" s="96" t="s">
        <v>370</v>
      </c>
      <c r="G74" s="95" t="s">
        <v>369</v>
      </c>
      <c r="H74" s="79"/>
    </row>
    <row r="75" spans="5:10" x14ac:dyDescent="0.2">
      <c r="E75" s="73" t="str">
        <f t="shared" si="0"/>
        <v>3. Satz</v>
      </c>
      <c r="F75" s="96" t="s">
        <v>374</v>
      </c>
      <c r="G75" s="95" t="s">
        <v>373</v>
      </c>
      <c r="H75" s="79"/>
    </row>
    <row r="76" spans="5:10" x14ac:dyDescent="0.2">
      <c r="E76" s="73" t="str">
        <f t="shared" si="0"/>
        <v>Sieger</v>
      </c>
      <c r="F76" s="96" t="s">
        <v>376</v>
      </c>
      <c r="G76" s="95" t="s">
        <v>375</v>
      </c>
      <c r="H76" s="79"/>
    </row>
    <row r="77" spans="5:10" x14ac:dyDescent="0.2">
      <c r="E77" s="73" t="str">
        <f t="shared" si="0"/>
        <v>Tie Break Endrunde 4</v>
      </c>
      <c r="F77" s="96" t="s">
        <v>387</v>
      </c>
      <c r="G77" s="95" t="s">
        <v>386</v>
      </c>
      <c r="H77" s="79"/>
    </row>
    <row r="78" spans="5:10" x14ac:dyDescent="0.2">
      <c r="E78" s="73" t="str">
        <f t="shared" si="0"/>
        <v>Schiedsrichter</v>
      </c>
      <c r="F78" s="96" t="s">
        <v>417</v>
      </c>
      <c r="G78" s="95" t="s">
        <v>416</v>
      </c>
      <c r="H78" s="79"/>
    </row>
    <row r="79" spans="5:10" x14ac:dyDescent="0.2">
      <c r="E79" s="73" t="str">
        <f t="shared" si="0"/>
        <v>Bonus</v>
      </c>
      <c r="F79" s="96" t="s">
        <v>454</v>
      </c>
      <c r="G79" s="95" t="s">
        <v>453</v>
      </c>
      <c r="H79" s="79"/>
    </row>
    <row r="80" spans="5:10" x14ac:dyDescent="0.2">
      <c r="E80" s="73" t="str">
        <f t="shared" si="0"/>
        <v>Quot.</v>
      </c>
      <c r="F80" s="80" t="s">
        <v>392</v>
      </c>
      <c r="G80" s="78" t="s">
        <v>392</v>
      </c>
      <c r="H80" s="79"/>
    </row>
    <row r="81" spans="5:8" x14ac:dyDescent="0.2">
      <c r="E81" s="73">
        <f t="shared" si="0"/>
        <v>0</v>
      </c>
      <c r="F81" s="96"/>
      <c r="G81" s="95"/>
      <c r="H81" s="765"/>
    </row>
    <row r="82" spans="5:8" x14ac:dyDescent="0.2">
      <c r="E82" s="73">
        <f t="shared" si="0"/>
        <v>0</v>
      </c>
      <c r="F82" s="96"/>
      <c r="G82" s="95"/>
      <c r="H82" s="765"/>
    </row>
    <row r="83" spans="5:8" x14ac:dyDescent="0.2">
      <c r="E83" s="73" t="str">
        <f t="shared" si="0"/>
        <v>Balldifferenz oder Ballquotient:</v>
      </c>
      <c r="F83" s="96" t="s">
        <v>459</v>
      </c>
      <c r="G83" s="95" t="s">
        <v>460</v>
      </c>
      <c r="H83" s="765"/>
    </row>
    <row r="84" spans="5:8" x14ac:dyDescent="0.2">
      <c r="E84" s="73" t="str">
        <f t="shared" si="0"/>
        <v>Balldifferenz</v>
      </c>
      <c r="F84" s="96" t="s">
        <v>395</v>
      </c>
      <c r="G84" s="95" t="s">
        <v>396</v>
      </c>
      <c r="H84" s="765"/>
    </row>
    <row r="85" spans="5:8" x14ac:dyDescent="0.2">
      <c r="E85" s="73" t="str">
        <f t="shared" si="0"/>
        <v>Ballquotient</v>
      </c>
      <c r="F85" s="96" t="s">
        <v>397</v>
      </c>
      <c r="G85" s="95" t="s">
        <v>398</v>
      </c>
      <c r="H85" s="765"/>
    </row>
    <row r="86" spans="5:8" x14ac:dyDescent="0.2">
      <c r="E86" s="73" t="str">
        <f t="shared" si="0"/>
        <v>Ballpunkte</v>
      </c>
      <c r="F86" s="96" t="s">
        <v>405</v>
      </c>
      <c r="G86" s="95" t="s">
        <v>402</v>
      </c>
      <c r="H86" s="765"/>
    </row>
    <row r="87" spans="5:8" x14ac:dyDescent="0.2">
      <c r="E87" s="73" t="str">
        <f t="shared" si="0"/>
        <v>Satzpunkte</v>
      </c>
      <c r="F87" s="96" t="s">
        <v>404</v>
      </c>
      <c r="G87" s="95" t="s">
        <v>403</v>
      </c>
      <c r="H87" s="765"/>
    </row>
    <row r="88" spans="5:8" x14ac:dyDescent="0.2">
      <c r="E88" s="73" t="str">
        <f t="shared" si="0"/>
        <v>Satzdifferenz als zweites Kriterium?</v>
      </c>
      <c r="F88" s="96" t="s">
        <v>422</v>
      </c>
      <c r="G88" s="95" t="s">
        <v>423</v>
      </c>
      <c r="H88" s="765"/>
    </row>
    <row r="89" spans="5:8" x14ac:dyDescent="0.2">
      <c r="E89" s="73" t="str">
        <f t="shared" si="0"/>
        <v>Ja</v>
      </c>
      <c r="F89" s="96" t="s">
        <v>424</v>
      </c>
      <c r="G89" s="95" t="s">
        <v>419</v>
      </c>
      <c r="H89" s="765"/>
    </row>
    <row r="90" spans="5:8" x14ac:dyDescent="0.2">
      <c r="E90" s="73" t="str">
        <f t="shared" si="0"/>
        <v>Nein</v>
      </c>
      <c r="F90" s="96" t="s">
        <v>425</v>
      </c>
      <c r="G90" s="95" t="s">
        <v>420</v>
      </c>
      <c r="H90" s="765"/>
    </row>
    <row r="91" spans="5:8" x14ac:dyDescent="0.2">
      <c r="E91" s="73" t="str">
        <f t="shared" si="0"/>
        <v>Satzpkt.</v>
      </c>
      <c r="F91" s="96" t="s">
        <v>426</v>
      </c>
      <c r="G91" s="95" t="s">
        <v>427</v>
      </c>
      <c r="H91" s="765"/>
    </row>
    <row r="92" spans="5:8" x14ac:dyDescent="0.2">
      <c r="E92" s="73" t="str">
        <f t="shared" si="0"/>
        <v>Erstes Kriterium für die Rangliste:</v>
      </c>
      <c r="F92" s="96" t="s">
        <v>428</v>
      </c>
      <c r="G92" s="95" t="s">
        <v>429</v>
      </c>
      <c r="H92" s="765"/>
    </row>
    <row r="93" spans="5:8" x14ac:dyDescent="0.2">
      <c r="E93" s="73" t="str">
        <f t="shared" si="0"/>
        <v>Anzahl der (Sieg-)Punkte</v>
      </c>
      <c r="F93" s="96" t="s">
        <v>430</v>
      </c>
      <c r="G93" s="95" t="s">
        <v>418</v>
      </c>
      <c r="H93" s="765"/>
    </row>
    <row r="94" spans="5:8" x14ac:dyDescent="0.2">
      <c r="E94" s="73" t="str">
        <f t="shared" si="0"/>
        <v>Anzahl der gewonnenen Sätze</v>
      </c>
      <c r="F94" s="96" t="s">
        <v>431</v>
      </c>
      <c r="G94" s="95" t="s">
        <v>432</v>
      </c>
      <c r="H94" s="765"/>
    </row>
    <row r="95" spans="5:8" x14ac:dyDescent="0.2">
      <c r="E95" s="73" t="str">
        <f t="shared" si="0"/>
        <v>Anzahl der gewonnenen Sätze als drittes Kriterium?</v>
      </c>
      <c r="F95" s="96" t="s">
        <v>433</v>
      </c>
      <c r="G95" s="95" t="s">
        <v>434</v>
      </c>
      <c r="H95" s="765"/>
    </row>
    <row r="96" spans="5:8" x14ac:dyDescent="0.2">
      <c r="E96" s="73" t="str">
        <f t="shared" si="0"/>
        <v>Nur sinnvoll, wenn die Anzahl der (Sieg-)Punkte 1. Kriterium ist</v>
      </c>
      <c r="F96" s="96" t="s">
        <v>435</v>
      </c>
      <c r="G96" s="95" t="s">
        <v>436</v>
      </c>
      <c r="H96" s="765"/>
    </row>
    <row r="97" spans="5:8" x14ac:dyDescent="0.2">
      <c r="E97" s="73" t="str">
        <f t="shared" si="0"/>
        <v>Teamnummern</v>
      </c>
      <c r="F97" s="96" t="s">
        <v>437</v>
      </c>
      <c r="G97" s="95" t="s">
        <v>438</v>
      </c>
      <c r="H97" s="765"/>
    </row>
    <row r="98" spans="5:8" x14ac:dyDescent="0.2">
      <c r="E98" s="73" t="str">
        <f t="shared" si="0"/>
        <v>Sieger</v>
      </c>
      <c r="F98" s="96" t="s">
        <v>376</v>
      </c>
      <c r="G98" s="95" t="s">
        <v>375</v>
      </c>
      <c r="H98" s="765"/>
    </row>
    <row r="99" spans="5:8" x14ac:dyDescent="0.2">
      <c r="E99" s="73" t="str">
        <f t="shared" si="0"/>
        <v>Anzeige in den Kreuztabellen der Vorrunde:</v>
      </c>
      <c r="F99" s="96" t="s">
        <v>408</v>
      </c>
      <c r="G99" s="95" t="s">
        <v>407</v>
      </c>
      <c r="H99" s="765"/>
    </row>
    <row r="100" spans="5:8" ht="28.5" x14ac:dyDescent="0.45">
      <c r="E100" s="73"/>
      <c r="F100" s="84" t="str">
        <f>$E$37</f>
        <v>Meldungen</v>
      </c>
      <c r="G100" s="85"/>
      <c r="H100" s="86"/>
    </row>
    <row r="101" spans="5:8" ht="79.5" customHeight="1" x14ac:dyDescent="0.2">
      <c r="E101" s="73" t="str">
        <f t="shared" si="0"/>
        <v>Sind zwei oder mehr Mannschaften nicht unterscheidbar und wird eine Entscheidung z.B. durch Los getroffen, genügt es, für die bevorzugte Mannschaft einen Bonuspunkt einzutragen.</v>
      </c>
      <c r="F101" s="90" t="s">
        <v>456</v>
      </c>
      <c r="G101" s="91" t="s">
        <v>455</v>
      </c>
      <c r="H101" s="92"/>
    </row>
    <row r="102" spans="5:8" ht="51.75" customHeight="1" x14ac:dyDescent="0.2">
      <c r="E102" s="73" t="str">
        <f t="shared" si="0"/>
        <v>Doppelte Spielpaarungen und Spiele gegen sich selbst
führen in der Gesamttabelle zu falschen Werten!</v>
      </c>
      <c r="F102" s="97" t="s">
        <v>149</v>
      </c>
      <c r="G102" s="138" t="s">
        <v>55</v>
      </c>
      <c r="H102" s="92"/>
    </row>
    <row r="103" spans="5:8" ht="51.75" customHeight="1" x14ac:dyDescent="0.2">
      <c r="E103" s="73" t="str">
        <f t="shared" si="0"/>
        <v>Änderung der Spielpaarungen nur auf dem Blatt 'Planung'!   Hier nur die Ergebnisse eintragen!</v>
      </c>
      <c r="F103" s="97" t="s">
        <v>121</v>
      </c>
      <c r="G103" s="91" t="s">
        <v>120</v>
      </c>
      <c r="H103" s="92"/>
    </row>
    <row r="104" spans="5:8" ht="16.5" customHeight="1" x14ac:dyDescent="0.2">
      <c r="E104" s="73" t="str">
        <f t="shared" si="0"/>
        <v>Kann gelöscht werden   →</v>
      </c>
      <c r="F104" s="103" t="s">
        <v>144</v>
      </c>
      <c r="G104" s="102" t="s">
        <v>141</v>
      </c>
      <c r="H104" s="93"/>
    </row>
    <row r="105" spans="5:8" ht="20.25" customHeight="1" x14ac:dyDescent="0.2">
      <c r="E105" s="73" t="str">
        <f t="shared" si="0"/>
        <v>Hier klicken und Sprache wählen</v>
      </c>
      <c r="F105" s="108" t="s">
        <v>147</v>
      </c>
      <c r="G105" s="106" t="s">
        <v>146</v>
      </c>
      <c r="H105" s="94"/>
    </row>
    <row r="106" spans="5:8" ht="32.25" customHeight="1" x14ac:dyDescent="0.2">
      <c r="E106" s="73" t="str">
        <f t="shared" si="0"/>
        <v>Doppelte Namen führen zu
falschen Tabellenwerten</v>
      </c>
      <c r="F106" s="162" t="s">
        <v>151</v>
      </c>
      <c r="G106" s="161" t="s">
        <v>54</v>
      </c>
      <c r="H106" s="94"/>
    </row>
    <row r="107" spans="5:8" ht="51.75" customHeight="1" x14ac:dyDescent="0.2">
      <c r="E107" s="73" t="str">
        <f t="shared" si="0"/>
        <v>Rote Schrift bedeutet, dass die Rangfolge auch mit dem direkten Vergleich nicht geklärt ist. Ein Entscheidungsspiel oder Los muss hier entscheiden.</v>
      </c>
      <c r="F107" s="250" t="s">
        <v>384</v>
      </c>
      <c r="G107" s="251" t="s">
        <v>383</v>
      </c>
      <c r="H107" s="93"/>
    </row>
    <row r="108" spans="5:8" ht="17.25" customHeight="1" x14ac:dyDescent="0.2">
      <c r="E108" s="73" t="str">
        <f t="shared" si="0"/>
        <v>Zeitkonflikt</v>
      </c>
      <c r="F108" s="252" t="s">
        <v>156</v>
      </c>
      <c r="G108" s="253" t="s">
        <v>155</v>
      </c>
      <c r="H108" s="254"/>
    </row>
    <row r="109" spans="5:8" ht="16.5" customHeight="1" x14ac:dyDescent="0.2">
      <c r="E109" s="73" t="str">
        <f t="shared" si="0"/>
        <v xml:space="preserve"> : </v>
      </c>
      <c r="F109" s="255" t="s">
        <v>4</v>
      </c>
      <c r="G109" s="265" t="s">
        <v>421</v>
      </c>
      <c r="H109" s="254"/>
    </row>
    <row r="110" spans="5:8" ht="33" customHeight="1" x14ac:dyDescent="0.2">
      <c r="E110" s="73" t="str">
        <f t="shared" si="0"/>
        <v>Direkte Vergleiche bei Gleichstand in Punkten, Tordifferenz und erzielten Toren (FIFA-Modus)</v>
      </c>
      <c r="F110" s="260" t="s">
        <v>178</v>
      </c>
      <c r="G110" s="261" t="s">
        <v>175</v>
      </c>
      <c r="H110" s="257"/>
    </row>
    <row r="111" spans="5:8" ht="32.25" customHeight="1" x14ac:dyDescent="0.2">
      <c r="E111" s="73" t="str">
        <f t="shared" si="0"/>
        <v>Direkte Vergleiche bei Gleichstand in Punkten (UEFA-Modus)</v>
      </c>
      <c r="F111" s="260" t="s">
        <v>176</v>
      </c>
      <c r="G111" s="261" t="s">
        <v>177</v>
      </c>
      <c r="H111" s="257"/>
    </row>
    <row r="112" spans="5:8" ht="18" customHeight="1" x14ac:dyDescent="0.2">
      <c r="E112" s="73" t="str">
        <f t="shared" si="0"/>
        <v>Balldifferenz oder Ballquotient</v>
      </c>
      <c r="F112" s="262" t="s">
        <v>393</v>
      </c>
      <c r="G112" s="263" t="s">
        <v>394</v>
      </c>
      <c r="H112" s="264"/>
    </row>
    <row r="113" spans="5:8" ht="18" customHeight="1" x14ac:dyDescent="0.2">
      <c r="E113" s="73" t="str">
        <f t="shared" si="0"/>
        <v>Balldifferenz</v>
      </c>
      <c r="F113" s="262" t="s">
        <v>395</v>
      </c>
      <c r="G113" s="263" t="s">
        <v>396</v>
      </c>
      <c r="H113" s="264"/>
    </row>
    <row r="114" spans="5:8" ht="20.25" customHeight="1" x14ac:dyDescent="0.2">
      <c r="E114" s="73" t="str">
        <f t="shared" si="0"/>
        <v>Ballquotient</v>
      </c>
      <c r="F114" s="262" t="s">
        <v>397</v>
      </c>
      <c r="G114" s="263" t="s">
        <v>398</v>
      </c>
      <c r="H114" s="264"/>
    </row>
    <row r="115" spans="5:8" ht="18" customHeight="1" x14ac:dyDescent="0.2">
      <c r="E115" s="73" t="str">
        <f t="shared" si="0"/>
        <v>Abkürzungen der Mannschaftsnamen:</v>
      </c>
      <c r="F115" s="262" t="s">
        <v>251</v>
      </c>
      <c r="G115" s="263" t="s">
        <v>252</v>
      </c>
      <c r="H115" s="264"/>
    </row>
    <row r="116" spans="5:8" ht="17.25" customHeight="1" x14ac:dyDescent="0.2">
      <c r="E116" s="73" t="str">
        <f t="shared" si="0"/>
        <v>Buchstaben</v>
      </c>
      <c r="F116" s="262" t="s">
        <v>180</v>
      </c>
      <c r="G116" s="263" t="s">
        <v>179</v>
      </c>
      <c r="H116" s="264"/>
    </row>
    <row r="117" spans="5:8" ht="18" customHeight="1" x14ac:dyDescent="0.2">
      <c r="E117" s="73" t="str">
        <f t="shared" si="0"/>
        <v>Rang</v>
      </c>
      <c r="F117" s="262" t="s">
        <v>216</v>
      </c>
      <c r="G117" s="263" t="s">
        <v>215</v>
      </c>
      <c r="H117" s="264"/>
    </row>
    <row r="118" spans="5:8" ht="16.5" customHeight="1" x14ac:dyDescent="0.2">
      <c r="E118" s="73" t="str">
        <f t="shared" si="0"/>
        <v>3. Platz</v>
      </c>
      <c r="F118" s="262" t="s">
        <v>220</v>
      </c>
      <c r="G118" s="263" t="s">
        <v>217</v>
      </c>
      <c r="H118" s="264"/>
    </row>
    <row r="119" spans="5:8" ht="17.25" customHeight="1" x14ac:dyDescent="0.2">
      <c r="E119" s="73" t="str">
        <f t="shared" si="0"/>
        <v>Finale</v>
      </c>
      <c r="F119" s="262" t="s">
        <v>219</v>
      </c>
      <c r="G119" s="263" t="s">
        <v>218</v>
      </c>
      <c r="H119" s="264"/>
    </row>
    <row r="120" spans="5:8" ht="30.75" customHeight="1" x14ac:dyDescent="0.2">
      <c r="E120" s="73" t="str">
        <f t="shared" si="0"/>
        <v xml:space="preserve">Wegen zeitlicher Konflikte kann nur auf maximal </v>
      </c>
      <c r="F120" s="260" t="s">
        <v>248</v>
      </c>
      <c r="G120" s="261" t="s">
        <v>249</v>
      </c>
      <c r="H120" s="264"/>
    </row>
    <row r="121" spans="5:8" ht="17.25" customHeight="1" x14ac:dyDescent="0.2">
      <c r="E121" s="73" t="str">
        <f t="shared" si="0"/>
        <v xml:space="preserve"> Spielplätzen gleichzeitig gespielt werden.</v>
      </c>
      <c r="F121" s="260" t="s">
        <v>296</v>
      </c>
      <c r="G121" s="261" t="s">
        <v>250</v>
      </c>
      <c r="H121" s="264"/>
    </row>
    <row r="122" spans="5:8" ht="17.25" customHeight="1" x14ac:dyDescent="0.2">
      <c r="E122" s="73" t="str">
        <f t="shared" si="0"/>
        <v>Turnierende (Endrunde 1):</v>
      </c>
      <c r="F122" s="262" t="s">
        <v>286</v>
      </c>
      <c r="G122" s="263" t="s">
        <v>284</v>
      </c>
      <c r="H122" s="264"/>
    </row>
    <row r="123" spans="5:8" ht="17.25" customHeight="1" x14ac:dyDescent="0.2">
      <c r="E123" s="73" t="str">
        <f t="shared" si="0"/>
        <v>Turnierende (Endrunde 2):</v>
      </c>
      <c r="F123" s="262" t="s">
        <v>287</v>
      </c>
      <c r="G123" s="263" t="s">
        <v>285</v>
      </c>
      <c r="H123" s="264"/>
    </row>
    <row r="124" spans="5:8" ht="17.25" customHeight="1" x14ac:dyDescent="0.2">
      <c r="E124" s="73" t="str">
        <f t="shared" si="0"/>
        <v>Turnierende (Endrunde 3):</v>
      </c>
      <c r="F124" s="262" t="s">
        <v>355</v>
      </c>
      <c r="G124" s="263" t="s">
        <v>357</v>
      </c>
      <c r="H124" s="264"/>
    </row>
    <row r="125" spans="5:8" ht="17.25" customHeight="1" x14ac:dyDescent="0.2">
      <c r="E125" s="73" t="str">
        <f t="shared" si="0"/>
        <v>Turnierende (Endrunde 4):</v>
      </c>
      <c r="F125" s="262" t="s">
        <v>356</v>
      </c>
      <c r="G125" s="263" t="s">
        <v>358</v>
      </c>
      <c r="H125" s="264"/>
    </row>
    <row r="126" spans="5:8" ht="44.25" customHeight="1" x14ac:dyDescent="0.2">
      <c r="E126" s="73" t="str">
        <f t="shared" si="0"/>
        <v>Eingabe eines Bonus-Punktes
als Tie Breaker auf dem
Tabellenblatt 'Vorrunde'</v>
      </c>
      <c r="F126" s="262" t="s">
        <v>292</v>
      </c>
      <c r="G126" s="263" t="s">
        <v>293</v>
      </c>
      <c r="H126" s="264"/>
    </row>
    <row r="127" spans="5:8" ht="39" customHeight="1" x14ac:dyDescent="0.2">
      <c r="E127" s="73" t="str">
        <f t="shared" si="0"/>
        <v>ZEITKONFLIKT
Zu viele Spielplätze!</v>
      </c>
      <c r="F127" s="262" t="s">
        <v>295</v>
      </c>
      <c r="G127" s="263" t="s">
        <v>294</v>
      </c>
      <c r="H127" s="264"/>
    </row>
    <row r="128" spans="5:8" ht="17.25" customHeight="1" x14ac:dyDescent="0.2">
      <c r="E128" s="73" t="str">
        <f t="shared" si="0"/>
        <v xml:space="preserve">ZEITKONFLIKT für Team </v>
      </c>
      <c r="F128" s="262" t="s">
        <v>335</v>
      </c>
      <c r="G128" s="263" t="s">
        <v>336</v>
      </c>
      <c r="H128" s="264"/>
    </row>
    <row r="129" spans="5:8" ht="17.25" customHeight="1" x14ac:dyDescent="0.2">
      <c r="E129" s="73" t="str">
        <f t="shared" si="0"/>
        <v xml:space="preserve">in den Spielen </v>
      </c>
      <c r="F129" s="262" t="s">
        <v>337</v>
      </c>
      <c r="G129" s="263" t="s">
        <v>338</v>
      </c>
      <c r="H129" s="264"/>
    </row>
    <row r="130" spans="5:8" ht="17.25" customHeight="1" x14ac:dyDescent="0.2">
      <c r="E130" s="73" t="str">
        <f t="shared" si="0"/>
        <v xml:space="preserve"> und </v>
      </c>
      <c r="F130" s="262" t="s">
        <v>339</v>
      </c>
      <c r="G130" s="263" t="s">
        <v>340</v>
      </c>
      <c r="H130" s="264"/>
    </row>
    <row r="131" spans="5:8" ht="17.25" customHeight="1" x14ac:dyDescent="0.2">
      <c r="E131" s="73" t="str">
        <f t="shared" si="0"/>
        <v>(Abkürzung für 'Viertelfinale')</v>
      </c>
      <c r="F131" s="262" t="s">
        <v>343</v>
      </c>
      <c r="G131" s="263" t="s">
        <v>344</v>
      </c>
      <c r="H131" s="264"/>
    </row>
    <row r="132" spans="5:8" ht="17.25" customHeight="1" x14ac:dyDescent="0.2">
      <c r="E132" s="73" t="str">
        <f t="shared" si="0"/>
        <v>(Abkürzung für 'Halbfinale')</v>
      </c>
      <c r="F132" s="262" t="s">
        <v>348</v>
      </c>
      <c r="G132" s="263" t="s">
        <v>347</v>
      </c>
      <c r="H132" s="264"/>
    </row>
    <row r="133" spans="5:8" ht="17.25" customHeight="1" x14ac:dyDescent="0.2">
      <c r="E133" s="73" t="str">
        <f t="shared" si="0"/>
        <v>Team-Kürzel</v>
      </c>
      <c r="F133" s="262" t="s">
        <v>388</v>
      </c>
      <c r="G133" s="263" t="s">
        <v>389</v>
      </c>
      <c r="H133" s="264"/>
    </row>
    <row r="134" spans="5:8" ht="17.25" customHeight="1" x14ac:dyDescent="0.2">
      <c r="E134" s="73" t="str">
        <f t="shared" si="0"/>
        <v>z.B.  A2 - A4</v>
      </c>
      <c r="F134" s="262" t="s">
        <v>390</v>
      </c>
      <c r="G134" s="263" t="s">
        <v>391</v>
      </c>
      <c r="H134" s="264"/>
    </row>
    <row r="135" spans="5:8" ht="17.25" customHeight="1" x14ac:dyDescent="0.2">
      <c r="E135" s="73" t="str">
        <f t="shared" si="0"/>
        <v>Anzeige in den Kreuztabellen der Vorrunde:</v>
      </c>
      <c r="F135" s="262" t="s">
        <v>408</v>
      </c>
      <c r="G135" s="263" t="s">
        <v>407</v>
      </c>
      <c r="H135" s="264"/>
    </row>
    <row r="136" spans="5:8" ht="17.25" customHeight="1" x14ac:dyDescent="0.2">
      <c r="E136" s="73" t="str">
        <f t="shared" si="0"/>
        <v>Ballpunkte</v>
      </c>
      <c r="F136" s="262" t="s">
        <v>405</v>
      </c>
      <c r="G136" s="263" t="s">
        <v>402</v>
      </c>
      <c r="H136" s="264"/>
    </row>
    <row r="137" spans="5:8" ht="17.25" customHeight="1" x14ac:dyDescent="0.2">
      <c r="E137" s="73" t="str">
        <f t="shared" si="0"/>
        <v>Satzpunkte</v>
      </c>
      <c r="F137" s="262" t="s">
        <v>404</v>
      </c>
      <c r="G137" s="263" t="s">
        <v>403</v>
      </c>
      <c r="H137" s="264"/>
    </row>
    <row r="138" spans="5:8" ht="25.5" customHeight="1" x14ac:dyDescent="0.2">
      <c r="E138" s="73" t="str">
        <f t="shared" si="0"/>
        <v>Unentschieden bei einzelnen Sätzen in der Vorrunde möglich?</v>
      </c>
      <c r="F138" s="262" t="s">
        <v>462</v>
      </c>
      <c r="G138" s="263" t="s">
        <v>463</v>
      </c>
      <c r="H138" s="264"/>
    </row>
    <row r="139" spans="5:8" ht="24.75" customHeight="1" x14ac:dyDescent="0.2">
      <c r="E139" s="73" t="str">
        <f t="shared" si="0"/>
        <v>Bei Unentschieden bekommt jedes Team 0,5 Satzpunkte.</v>
      </c>
      <c r="F139" s="262" t="s">
        <v>464</v>
      </c>
      <c r="G139" s="263" t="s">
        <v>465</v>
      </c>
      <c r="H139" s="264"/>
    </row>
    <row r="140" spans="5:8" ht="27.75" customHeight="1" x14ac:dyDescent="0.2">
      <c r="E140" s="73" t="str">
        <f t="shared" si="0"/>
        <v>Unentschieden bei einzelnen Sätzen in der Endrunde möglich?</v>
      </c>
      <c r="F140" s="262" t="s">
        <v>466</v>
      </c>
      <c r="G140" s="263" t="s">
        <v>467</v>
      </c>
      <c r="H140" s="264"/>
    </row>
    <row r="141" spans="5:8" ht="17.25" customHeight="1" x14ac:dyDescent="0.2">
      <c r="E141" s="73">
        <f t="shared" si="0"/>
        <v>0</v>
      </c>
      <c r="F141" s="262"/>
      <c r="G141" s="263"/>
      <c r="H141" s="264"/>
    </row>
    <row r="142" spans="5:8" ht="17.25" customHeight="1" x14ac:dyDescent="0.2">
      <c r="E142" s="73">
        <f t="shared" si="0"/>
        <v>0</v>
      </c>
      <c r="F142" s="262"/>
      <c r="G142" s="263"/>
      <c r="H142" s="264"/>
    </row>
    <row r="143" spans="5:8" ht="18.75" customHeight="1" thickBot="1" x14ac:dyDescent="0.25">
      <c r="E143" s="73">
        <f t="shared" si="0"/>
        <v>0</v>
      </c>
      <c r="F143" s="258"/>
      <c r="G143" s="256"/>
      <c r="H143" s="259"/>
    </row>
    <row r="144" spans="5:8" ht="13.5" thickTop="1" x14ac:dyDescent="0.2"/>
    <row r="145" spans="9:9" x14ac:dyDescent="0.2"/>
    <row r="146" spans="9:9" x14ac:dyDescent="0.2"/>
    <row r="147" spans="9:9" hidden="1" x14ac:dyDescent="0.2"/>
    <row r="148" spans="9:9" hidden="1" x14ac:dyDescent="0.2">
      <c r="I148" s="104"/>
    </row>
  </sheetData>
  <sheetProtection sheet="1" selectLockedCells="1"/>
  <mergeCells count="7">
    <mergeCell ref="F1:H1"/>
    <mergeCell ref="H3:H4"/>
    <mergeCell ref="F2:G2"/>
    <mergeCell ref="D3:D4"/>
    <mergeCell ref="E3:E4"/>
    <mergeCell ref="F3:F4"/>
    <mergeCell ref="G3:G4"/>
  </mergeCells>
  <conditionalFormatting sqref="F3:F4">
    <cfRule type="expression" dxfId="2" priority="7">
      <formula>C3</formula>
    </cfRule>
  </conditionalFormatting>
  <conditionalFormatting sqref="G3:G4">
    <cfRule type="expression" dxfId="1" priority="3">
      <formula>C4</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3663-C919-4DD0-9810-49361647B6EC}">
  <dimension ref="A1:I48"/>
  <sheetViews>
    <sheetView showGridLines="0" showRowColHeaders="0" workbookViewId="0">
      <selection activeCell="B9" sqref="B9"/>
    </sheetView>
  </sheetViews>
  <sheetFormatPr baseColWidth="10" defaultColWidth="0" defaultRowHeight="12.75" zeroHeight="1" x14ac:dyDescent="0.2"/>
  <cols>
    <col min="1" max="1" width="11.42578125" style="746" customWidth="1"/>
    <col min="2" max="2" width="35.5703125" style="748" customWidth="1"/>
    <col min="3" max="3" width="7.28515625" style="748" customWidth="1"/>
    <col min="4" max="5" width="11.42578125" style="748" customWidth="1"/>
    <col min="6" max="7" width="11.42578125" style="748" hidden="1" customWidth="1"/>
    <col min="8" max="8" width="13.42578125" style="748" hidden="1" customWidth="1"/>
    <col min="9" max="9" width="0" style="748" hidden="1" customWidth="1"/>
    <col min="10" max="16384" width="11.42578125" style="748" hidden="1"/>
  </cols>
  <sheetData>
    <row r="1" spans="1:9" ht="26.25" x14ac:dyDescent="0.4">
      <c r="B1" s="747" t="str">
        <f>Sprache!$E$51</f>
        <v>Einstellungen</v>
      </c>
    </row>
    <row r="2" spans="1:9" x14ac:dyDescent="0.2"/>
    <row r="3" spans="1:9" x14ac:dyDescent="0.2"/>
    <row r="4" spans="1:9" x14ac:dyDescent="0.2">
      <c r="A4" s="749" t="s">
        <v>6</v>
      </c>
      <c r="B4" s="750" t="str">
        <f>Sprache!$E$52</f>
        <v>Anzahl der Punkte für einen Sieg:</v>
      </c>
      <c r="C4" s="751">
        <v>2</v>
      </c>
    </row>
    <row r="5" spans="1:9" x14ac:dyDescent="0.2"/>
    <row r="6" spans="1:9" x14ac:dyDescent="0.2"/>
    <row r="7" spans="1:9" x14ac:dyDescent="0.2">
      <c r="A7" s="749" t="s">
        <v>7</v>
      </c>
      <c r="B7" s="752" t="str">
        <f>Sprache!$E$92</f>
        <v>Erstes Kriterium für die Rangliste:</v>
      </c>
    </row>
    <row r="8" spans="1:9" x14ac:dyDescent="0.2">
      <c r="H8" s="758" t="s">
        <v>196</v>
      </c>
      <c r="I8" s="758" t="s">
        <v>458</v>
      </c>
    </row>
    <row r="9" spans="1:9" ht="21.75" customHeight="1" x14ac:dyDescent="0.2">
      <c r="B9" s="753" t="s">
        <v>418</v>
      </c>
      <c r="G9" s="754" t="b">
        <f>($B$9=Sprache!$E$93)</f>
        <v>1</v>
      </c>
      <c r="H9" s="754">
        <f>IF(G9,8,44)</f>
        <v>8</v>
      </c>
      <c r="I9" s="754">
        <f>IF(G9,8,15)</f>
        <v>8</v>
      </c>
    </row>
    <row r="10" spans="1:9" x14ac:dyDescent="0.2">
      <c r="G10" s="755"/>
    </row>
    <row r="11" spans="1:9" x14ac:dyDescent="0.2"/>
    <row r="12" spans="1:9" x14ac:dyDescent="0.2">
      <c r="A12" s="749" t="s">
        <v>8</v>
      </c>
      <c r="B12" s="752" t="str">
        <f>Sprache!$E$88</f>
        <v>Satzdifferenz als zweites Kriterium?</v>
      </c>
    </row>
    <row r="13" spans="1:9" x14ac:dyDescent="0.2"/>
    <row r="14" spans="1:9" ht="21.75" customHeight="1" x14ac:dyDescent="0.2">
      <c r="B14" s="753" t="s">
        <v>420</v>
      </c>
      <c r="G14" s="754" t="b">
        <f>($B$14=Sprache!$E$89)</f>
        <v>0</v>
      </c>
    </row>
    <row r="15" spans="1:9" x14ac:dyDescent="0.2"/>
    <row r="16" spans="1:9" x14ac:dyDescent="0.2"/>
    <row r="17" spans="1:8" x14ac:dyDescent="0.2">
      <c r="A17" s="749" t="s">
        <v>9</v>
      </c>
      <c r="B17" s="752" t="str">
        <f>Sprache!$E$95</f>
        <v>Anzahl der gewonnenen Sätze als drittes Kriterium?</v>
      </c>
    </row>
    <row r="18" spans="1:8" ht="18.75" customHeight="1" x14ac:dyDescent="0.2">
      <c r="B18" s="756" t="str">
        <f>Sprache!$E$96</f>
        <v>Nur sinnvoll, wenn die Anzahl der (Sieg-)Punkte 1. Kriterium ist</v>
      </c>
    </row>
    <row r="19" spans="1:8" ht="21.75" customHeight="1" x14ac:dyDescent="0.2">
      <c r="B19" s="753" t="s">
        <v>420</v>
      </c>
      <c r="G19" s="754" t="b">
        <f>($B$19=Sprache!$E$89)</f>
        <v>0</v>
      </c>
    </row>
    <row r="20" spans="1:8" x14ac:dyDescent="0.2"/>
    <row r="21" spans="1:8" x14ac:dyDescent="0.2"/>
    <row r="22" spans="1:8" x14ac:dyDescent="0.2">
      <c r="A22" s="749" t="s">
        <v>10</v>
      </c>
      <c r="B22" s="752" t="str">
        <f>Sprache!$E$112</f>
        <v>Balldifferenz oder Ballquotient</v>
      </c>
      <c r="C22" s="757"/>
    </row>
    <row r="23" spans="1:8" x14ac:dyDescent="0.2">
      <c r="B23" s="757"/>
      <c r="C23" s="757"/>
      <c r="F23" s="758" t="s">
        <v>399</v>
      </c>
      <c r="G23" s="758" t="s">
        <v>400</v>
      </c>
      <c r="H23" s="758" t="s">
        <v>401</v>
      </c>
    </row>
    <row r="24" spans="1:8" ht="21.75" customHeight="1" x14ac:dyDescent="0.2">
      <c r="B24" s="753" t="s">
        <v>396</v>
      </c>
      <c r="C24" s="757"/>
      <c r="F24" s="754">
        <v>499</v>
      </c>
      <c r="G24" s="754" t="b">
        <f>($B$24=Sprache!$E$84)</f>
        <v>1</v>
      </c>
      <c r="H24" s="754">
        <v>3</v>
      </c>
    </row>
    <row r="25" spans="1:8" x14ac:dyDescent="0.2"/>
    <row r="26" spans="1:8" x14ac:dyDescent="0.2">
      <c r="B26" s="759"/>
      <c r="C26" s="759"/>
      <c r="D26" s="759"/>
    </row>
    <row r="27" spans="1:8" x14ac:dyDescent="0.2">
      <c r="A27" s="749" t="s">
        <v>11</v>
      </c>
      <c r="B27" s="752" t="str">
        <f>Sprache!$E$135</f>
        <v>Anzeige in den Kreuztabellen der Vorrunde:</v>
      </c>
      <c r="C27" s="759"/>
      <c r="D27" s="759"/>
    </row>
    <row r="28" spans="1:8" x14ac:dyDescent="0.2">
      <c r="B28" s="759"/>
      <c r="C28" s="759"/>
      <c r="D28" s="759"/>
      <c r="G28" s="760" t="s">
        <v>406</v>
      </c>
      <c r="H28" s="760"/>
    </row>
    <row r="29" spans="1:8" ht="28.5" customHeight="1" x14ac:dyDescent="0.2">
      <c r="B29" s="753" t="s">
        <v>402</v>
      </c>
      <c r="C29" s="761"/>
      <c r="D29" s="761"/>
      <c r="F29" s="754"/>
      <c r="G29" s="754">
        <f>IF($B$29=Sprache!$E$86,3,4)</f>
        <v>3</v>
      </c>
      <c r="H29" s="754"/>
    </row>
    <row r="30" spans="1:8" x14ac:dyDescent="0.2"/>
    <row r="31" spans="1:8" x14ac:dyDescent="0.2"/>
    <row r="32" spans="1:8" x14ac:dyDescent="0.2"/>
    <row r="33" spans="1:4" x14ac:dyDescent="0.2">
      <c r="A33" s="749" t="s">
        <v>16</v>
      </c>
      <c r="B33" s="748" t="str">
        <f>Sprache!$E$115</f>
        <v>Abkürzungen der Mannschaftsnamen:</v>
      </c>
      <c r="C33" s="751">
        <v>7</v>
      </c>
      <c r="D33" s="748" t="str">
        <f>Sprache!$E$116</f>
        <v>Buchstaben</v>
      </c>
    </row>
    <row r="34" spans="1:4" x14ac:dyDescent="0.2"/>
    <row r="35" spans="1:4" x14ac:dyDescent="0.2"/>
    <row r="36" spans="1:4" x14ac:dyDescent="0.2"/>
    <row r="37" spans="1:4" x14ac:dyDescent="0.2">
      <c r="A37" s="749" t="s">
        <v>17</v>
      </c>
      <c r="B37" s="752" t="str">
        <f>Sprache!$E$138</f>
        <v>Unentschieden bei einzelnen Sätzen in der Vorrunde möglich?</v>
      </c>
    </row>
    <row r="38" spans="1:4" ht="19.5" customHeight="1" x14ac:dyDescent="0.2">
      <c r="B38" s="756" t="str">
        <f>Sprache!$E$139</f>
        <v>Bei Unentschieden bekommt jedes Team 0,5 Satzpunkte.</v>
      </c>
    </row>
    <row r="39" spans="1:4" ht="21.6" customHeight="1" x14ac:dyDescent="0.2">
      <c r="B39" s="753" t="s">
        <v>420</v>
      </c>
    </row>
    <row r="40" spans="1:4" x14ac:dyDescent="0.2"/>
    <row r="41" spans="1:4" x14ac:dyDescent="0.2"/>
    <row r="42" spans="1:4" x14ac:dyDescent="0.2"/>
    <row r="43" spans="1:4" x14ac:dyDescent="0.2">
      <c r="A43" s="749" t="s">
        <v>18</v>
      </c>
      <c r="B43" s="752" t="str">
        <f>Sprache!$E$140</f>
        <v>Unentschieden bei einzelnen Sätzen in der Endrunde möglich?</v>
      </c>
    </row>
    <row r="44" spans="1:4" ht="19.5" customHeight="1" x14ac:dyDescent="0.2">
      <c r="B44" s="756" t="str">
        <f>Sprache!$E$139</f>
        <v>Bei Unentschieden bekommt jedes Team 0,5 Satzpunkte.</v>
      </c>
    </row>
    <row r="45" spans="1:4" ht="21.6" customHeight="1" x14ac:dyDescent="0.2">
      <c r="B45" s="753" t="s">
        <v>420</v>
      </c>
    </row>
    <row r="46" spans="1:4" x14ac:dyDescent="0.2"/>
    <row r="47" spans="1:4" x14ac:dyDescent="0.2"/>
    <row r="48" spans="1:4" x14ac:dyDescent="0.2"/>
  </sheetData>
  <sheetProtection sheet="1" selectLockedCells="1"/>
  <dataValidations count="1">
    <dataValidation type="whole" allowBlank="1" showInputMessage="1" showErrorMessage="1" sqref="C4" xr:uid="{84E5D5EB-DE5A-406D-89E8-D10993B06CE1}">
      <formula1>1</formula1>
      <formula2>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9EF5C01E-756F-4105-9EF9-2F5147FCF1B0}">
          <x14:formula1>
            <xm:f>Sprache!$E$113:$E$114</xm:f>
          </x14:formula1>
          <xm:sqref>B24</xm:sqref>
        </x14:dataValidation>
        <x14:dataValidation type="list" allowBlank="1" showInputMessage="1" showErrorMessage="1" xr:uid="{1F74C117-D30B-4606-887F-94ED9A398E63}">
          <x14:formula1>
            <xm:f>Sprache!$E$136:$E$137</xm:f>
          </x14:formula1>
          <xm:sqref>B29</xm:sqref>
        </x14:dataValidation>
        <x14:dataValidation type="list" allowBlank="1" showInputMessage="1" showErrorMessage="1" xr:uid="{B67C299D-0587-4E9B-9469-ED0C7E7B8C8F}">
          <x14:formula1>
            <xm:f>Sprache!$E$93:$E$94</xm:f>
          </x14:formula1>
          <xm:sqref>B9</xm:sqref>
        </x14:dataValidation>
        <x14:dataValidation type="list" allowBlank="1" showInputMessage="1" showErrorMessage="1" xr:uid="{CEDA9AAF-1C7A-4579-BE6C-3D707DA3E1FD}">
          <x14:formula1>
            <xm:f>Sprache!$E$89:$E$90</xm:f>
          </x14:formula1>
          <xm:sqref>B14 B19 B39 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0F4D3-D6A6-43DF-B0F8-74FEC23F91B7}">
  <dimension ref="A1:W108"/>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73"/>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row r="101" spans="4:20" x14ac:dyDescent="0.2"/>
    <row r="102" spans="4:20" x14ac:dyDescent="0.2">
      <c r="D102" s="1016"/>
      <c r="E102" s="1017"/>
      <c r="F102" s="1017"/>
      <c r="G102" s="1017"/>
      <c r="H102" s="1017"/>
      <c r="I102" s="1018"/>
      <c r="O102" s="1016"/>
      <c r="P102" s="1017"/>
      <c r="Q102" s="1017"/>
      <c r="R102" s="1017"/>
      <c r="S102" s="1017"/>
      <c r="T102" s="1018"/>
    </row>
    <row r="103" spans="4:20" x14ac:dyDescent="0.2">
      <c r="D103" s="1019" t="s">
        <v>134</v>
      </c>
      <c r="E103" s="1020"/>
      <c r="F103" s="1020"/>
      <c r="G103" s="1020"/>
      <c r="H103" s="1020"/>
      <c r="I103" s="1021"/>
      <c r="O103" s="1019" t="s">
        <v>57</v>
      </c>
      <c r="P103" s="1020"/>
      <c r="Q103" s="1020"/>
      <c r="R103" s="1020"/>
      <c r="S103" s="1020"/>
      <c r="T103" s="1021"/>
    </row>
    <row r="104" spans="4:20" x14ac:dyDescent="0.2">
      <c r="D104" s="1022" t="s">
        <v>56</v>
      </c>
      <c r="E104" s="1023"/>
      <c r="F104" s="1023"/>
      <c r="G104" s="1023"/>
      <c r="H104" s="1023"/>
      <c r="I104" s="1024"/>
      <c r="O104" s="1022" t="s">
        <v>56</v>
      </c>
      <c r="P104" s="1023"/>
      <c r="Q104" s="1023"/>
      <c r="R104" s="1023"/>
      <c r="S104" s="1023"/>
      <c r="T104" s="1024"/>
    </row>
    <row r="105" spans="4:20" x14ac:dyDescent="0.2">
      <c r="D105" s="1013"/>
      <c r="E105" s="1014"/>
      <c r="F105" s="1014"/>
      <c r="G105" s="1014"/>
      <c r="H105" s="1014"/>
      <c r="I105" s="1015"/>
      <c r="O105" s="1013"/>
      <c r="P105" s="1014"/>
      <c r="Q105" s="1014"/>
      <c r="R105" s="1014"/>
      <c r="S105" s="1014"/>
      <c r="T105" s="1015"/>
    </row>
    <row r="106" spans="4:20" x14ac:dyDescent="0.2"/>
    <row r="107" spans="4:20" x14ac:dyDescent="0.2"/>
    <row r="108" spans="4:20" x14ac:dyDescent="0.2"/>
  </sheetData>
  <sheetProtection sheet="1" selectLockedCells="1"/>
  <mergeCells count="8">
    <mergeCell ref="D105:I105"/>
    <mergeCell ref="O105:T105"/>
    <mergeCell ref="D102:I102"/>
    <mergeCell ref="O102:T102"/>
    <mergeCell ref="D103:I103"/>
    <mergeCell ref="O103:T103"/>
    <mergeCell ref="D104:I104"/>
    <mergeCell ref="O104:T104"/>
  </mergeCells>
  <hyperlinks>
    <hyperlink ref="O104" r:id="rId1" xr:uid="{06A8E59F-5A51-47A8-BAD3-88E70E08EB83}"/>
    <hyperlink ref="D104" r:id="rId2" xr:uid="{E8679552-1E97-4AE8-8E5A-6EF436B4474C}"/>
  </hyperlinks>
  <pageMargins left="0.7" right="0.7" top="0.78740157499999996" bottom="0.78740157499999996" header="0.3" footer="0.3"/>
  <pageSetup paperSize="9" orientation="portrait" horizontalDpi="4294967293" verticalDpi="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5703125" style="10" customWidth="1"/>
    <col min="8" max="8" width="6.42578125" style="10" customWidth="1"/>
    <col min="9" max="9" width="9.28515625" style="10" customWidth="1"/>
    <col min="10" max="10" width="8.28515625" style="10" customWidth="1"/>
    <col min="11" max="11" width="10.8554687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28515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570312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5" width="8.42578125" style="10" customWidth="1"/>
    <col min="46" max="46" width="8.140625" style="10" customWidth="1"/>
    <col min="47" max="47" width="8.5703125" style="10" customWidth="1"/>
    <col min="48" max="48" width="8.28515625" style="10" customWidth="1"/>
    <col min="49" max="49" width="8.5703125" style="10" customWidth="1"/>
    <col min="50" max="50" width="7.7109375" style="10" customWidth="1"/>
    <col min="51" max="69" width="4.7109375" style="10" customWidth="1"/>
    <col min="70" max="80" width="6.7109375" style="10" customWidth="1"/>
    <col min="81" max="16384" width="2.7109375" style="10"/>
  </cols>
  <sheetData>
    <row r="1" spans="1:50" s="2" customFormat="1" x14ac:dyDescent="0.2"/>
    <row r="2" spans="1:50" s="2" customFormat="1" x14ac:dyDescent="0.2">
      <c r="B2" s="3"/>
      <c r="C2" s="3"/>
      <c r="D2" s="3"/>
      <c r="E2" s="3"/>
      <c r="F2" s="1"/>
      <c r="G2" s="1"/>
      <c r="H2" s="1"/>
      <c r="I2" s="1"/>
      <c r="J2" s="1"/>
      <c r="K2" s="1"/>
      <c r="L2" s="1"/>
      <c r="M2" s="1"/>
      <c r="N2" s="3"/>
      <c r="O2" s="1"/>
      <c r="P2" s="1"/>
      <c r="Q2" s="1"/>
      <c r="W2" s="2" t="s">
        <v>148</v>
      </c>
      <c r="AV2" s="160" t="s">
        <v>457</v>
      </c>
    </row>
    <row r="3" spans="1:50" s="2" customFormat="1" ht="13.5" customHeight="1" thickBot="1" x14ac:dyDescent="0.25">
      <c r="B3" s="1"/>
      <c r="C3" s="3"/>
      <c r="D3" s="3"/>
      <c r="E3" s="3"/>
      <c r="F3" s="3"/>
      <c r="G3" s="69" t="s">
        <v>106</v>
      </c>
      <c r="H3" s="69" t="s">
        <v>107</v>
      </c>
      <c r="I3" s="26" t="s">
        <v>446</v>
      </c>
      <c r="J3" s="27" t="s">
        <v>109</v>
      </c>
      <c r="K3" s="26"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1">
        <f ca="1">IF($O$4&lt;10,$O$4,0)</f>
        <v>0</v>
      </c>
      <c r="X3" s="1032"/>
      <c r="Y3" s="1032"/>
      <c r="Z3" s="1032"/>
      <c r="AA3" s="1032"/>
      <c r="AB3" s="1031">
        <f ca="1">IF($P$4&lt;10,$P$4,0)</f>
        <v>0</v>
      </c>
      <c r="AC3" s="1032"/>
      <c r="AD3" s="1032"/>
      <c r="AE3" s="1032"/>
      <c r="AF3" s="1032"/>
      <c r="AG3" s="1031">
        <f ca="1">IF($Q$4&lt;10,$Q$4,0)</f>
        <v>0</v>
      </c>
      <c r="AH3" s="1032"/>
      <c r="AI3" s="1032"/>
      <c r="AJ3" s="1032"/>
      <c r="AK3" s="1032"/>
      <c r="AL3" s="1031">
        <f ca="1">IF($R$4&lt;10,$R$4,0)</f>
        <v>0</v>
      </c>
      <c r="AM3" s="1032"/>
      <c r="AN3" s="1032"/>
      <c r="AO3" s="1032"/>
      <c r="AP3" s="1032"/>
      <c r="AS3" s="27" t="s">
        <v>415</v>
      </c>
      <c r="AT3" s="27" t="s">
        <v>371</v>
      </c>
      <c r="AU3" s="27" t="s">
        <v>448</v>
      </c>
      <c r="AV3" s="27" t="s">
        <v>414</v>
      </c>
      <c r="AW3" s="27"/>
      <c r="AX3" s="27" t="s">
        <v>449</v>
      </c>
    </row>
    <row r="4" spans="1:50" s="2" customFormat="1" ht="12.75" thickTop="1" x14ac:dyDescent="0.2">
      <c r="A4" s="238"/>
      <c r="B4" s="1">
        <v>1</v>
      </c>
      <c r="C4" s="21">
        <f ca="1">RANK(D4,$D$4:$D$12,1)</f>
        <v>3</v>
      </c>
      <c r="D4" s="3">
        <f ca="1">E4+ROW()/1000+(F4="")*10</f>
        <v>3.004</v>
      </c>
      <c r="E4" s="249">
        <f ca="1">IF($AI$15,RANK(AH17,AH$17:AH$25,1),RANK(X17,X$17:X$25,1))</f>
        <v>3</v>
      </c>
      <c r="F4" s="1" t="str">
        <f>$Q64</f>
        <v>1. FC Riedwald</v>
      </c>
      <c r="G4" s="1">
        <f ca="1">SUMIFS($AH$64:$AH$135,$V$64:$V$135,$F4)+SUMIFS($AI$64:$AI$135,$W$64:$W$135,$F4)</f>
        <v>188</v>
      </c>
      <c r="H4" s="1">
        <f ca="1">SUMIFS($AI$64:$AI$135,$V$64:$V$135,$F4)+SUMIFS($AH$64:$AH$135,$W$64:$W$135,$F4)</f>
        <v>204</v>
      </c>
      <c r="I4" s="3">
        <f ca="1">IF(Einstellungen!$G$24,G4-H4,IF(H4=0,IF(G4=0,0,Einstellungen!$F$24),G4/H4))</f>
        <v>-16</v>
      </c>
      <c r="J4" s="1">
        <f ca="1">$L4*Einstellungen!$C$4+$M4</f>
        <v>4</v>
      </c>
      <c r="K4" s="1">
        <f ca="1">SUMPRODUCT(($V$64:$V$135=F4)*($AJ$64:$AJ$135&lt;&gt;"")*$AA$64:$AA$135)+SUMPRODUCT(($W$64:$W$135=F4)*($AK$64:$AK$135&lt;&gt;"")*$AA$64:$AA$135)</f>
        <v>4</v>
      </c>
      <c r="L4" s="1">
        <f ca="1">SUMPRODUCT(($V$64:$V$135=F4)*($AJ$64:$AJ$135&gt;$AK$64:$AK$135)*$AA$64:$AA$135)+SUMPRODUCT(($W$64:$W$135=F4)*($AJ$64:$AJ$135&lt;$AK$64:$AK$135)*$AA$64:$AA$135)</f>
        <v>2</v>
      </c>
      <c r="M4" s="1">
        <f t="shared" ref="M4:M12" ca="1" si="1">SUMPRODUCT(($V$64:$W$135=F4)*($AJ$64:$AJ$135=$AK$64:$AK$135)*$AA$64:$AA$135)</f>
        <v>0</v>
      </c>
      <c r="N4" s="1">
        <f ca="1">K4-L4-M4</f>
        <v>2</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2">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3">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4">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5</v>
      </c>
      <c r="AT4" s="1">
        <f ca="1">SUMPRODUCT(($V$64:$V$135=F4)*$AJ$64:$AJ$135)+SUMPRODUCT(($W$64:$W$135=F4)*$AK$64:$AK$135)</f>
        <v>4</v>
      </c>
      <c r="AU4" s="1">
        <f ca="1">AT4-AS4</f>
        <v>-1</v>
      </c>
      <c r="AV4" s="1">
        <f ca="1">IF(Einstellungen!$G$24,$I4,ROUND($I4,Einstellungen!$H$24))</f>
        <v>-16</v>
      </c>
      <c r="AW4" s="1">
        <f ca="1">I4-(F4="")*10000</f>
        <v>-16</v>
      </c>
      <c r="AX4" s="1">
        <f ca="1" xml:space="preserve"> RANK(AW4,$AW$4:$AW$12,1)</f>
        <v>6</v>
      </c>
    </row>
    <row r="5" spans="1:50" s="2" customFormat="1" x14ac:dyDescent="0.2">
      <c r="A5" s="238"/>
      <c r="B5" s="1">
        <v>2</v>
      </c>
      <c r="C5" s="22">
        <f t="shared" ref="C5:C12" ca="1" si="5">RANK(D5,$D$4:$D$12,1)</f>
        <v>2</v>
      </c>
      <c r="D5" s="13">
        <f t="shared" ref="D5:D12" ca="1" si="6">E5+ROW()/1000+(F5="")*10</f>
        <v>2.0049999999999999</v>
      </c>
      <c r="E5" s="249">
        <f t="shared" ref="E5:E12" ca="1" si="7">IF($AI$15,RANK(AH18,AH$17:AH$25,1),RANK(X18,X$17:X$25,1))</f>
        <v>2</v>
      </c>
      <c r="F5" s="1" t="str">
        <f t="shared" ref="F5:F12" si="8">$Q65</f>
        <v>FC Barcelona</v>
      </c>
      <c r="G5" s="1">
        <f t="shared" ref="G5:G12" ca="1" si="9">SUMIFS($AH$64:$AH$135,$V$64:$V$135,$F5)+SUMIFS($AI$64:$AI$135,$W$64:$W$135,$F5)</f>
        <v>233</v>
      </c>
      <c r="H5" s="1">
        <f t="shared" ref="H5:H12" ca="1" si="10">SUMIFS($AI$64:$AI$135,$V$64:$V$135,$F5)+SUMIFS($AH$64:$AH$135,$W$64:$W$135,$F5)</f>
        <v>209</v>
      </c>
      <c r="I5" s="674">
        <f ca="1">IF(Einstellungen!$G$24,G5-H5,IF(H5=0,IF(G5=0,0,Einstellungen!$F$24),G5/H5))</f>
        <v>24</v>
      </c>
      <c r="J5" s="1">
        <f ca="1">$L5*Einstellungen!$C$4+$M5</f>
        <v>5</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1"/>
        <v>1</v>
      </c>
      <c r="N5" s="1">
        <f t="shared" ref="N5:N12" ca="1" si="13">K5-L5-M5</f>
        <v>1</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2"/>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3"/>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4"/>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4</v>
      </c>
      <c r="AT5" s="1">
        <f t="shared" ref="AT5:AT12" ca="1" si="28">SUMPRODUCT(($V$64:$V$135=F5)*$AJ$64:$AJ$135)+SUMPRODUCT(($W$64:$W$135=F5)*$AK$64:$AK$135)</f>
        <v>6</v>
      </c>
      <c r="AU5" s="1">
        <f t="shared" ref="AU5:AU12" ca="1" si="29">AT5-AS5</f>
        <v>2</v>
      </c>
      <c r="AV5" s="1">
        <f ca="1">IF(Einstellungen!$G$24,$I5,ROUND($I5,Einstellungen!$H$24))</f>
        <v>24</v>
      </c>
      <c r="AW5" s="1">
        <f t="shared" ref="AW5:AW12" ca="1" si="30">I5-(F5="")*10000</f>
        <v>24</v>
      </c>
      <c r="AX5" s="1">
        <f t="shared" ref="AX5:AX12" ca="1" si="31" xml:space="preserve"> RANK(AW5,$AW$4:$AW$12,1)</f>
        <v>8</v>
      </c>
    </row>
    <row r="6" spans="1:50" s="2" customFormat="1" x14ac:dyDescent="0.2">
      <c r="A6" s="238"/>
      <c r="B6" s="1">
        <v>3</v>
      </c>
      <c r="C6" s="22">
        <f t="shared" ca="1" si="5"/>
        <v>1</v>
      </c>
      <c r="D6" s="13">
        <f t="shared" ca="1" si="6"/>
        <v>1.006</v>
      </c>
      <c r="E6" s="249">
        <f t="shared" ca="1" si="7"/>
        <v>1</v>
      </c>
      <c r="F6" s="1" t="str">
        <f t="shared" si="8"/>
        <v>Eintracht Frankfurt</v>
      </c>
      <c r="G6" s="1">
        <f t="shared" ca="1" si="9"/>
        <v>209</v>
      </c>
      <c r="H6" s="1">
        <f t="shared" ca="1" si="10"/>
        <v>184</v>
      </c>
      <c r="I6" s="674">
        <f ca="1">IF(Einstellungen!$G$24,G6-H6,IF(H6=0,IF(G6=0,0,Einstellungen!$F$24),G6/H6))</f>
        <v>25</v>
      </c>
      <c r="J6" s="1">
        <f ca="1">$L6*Einstellungen!$C$4+$M6</f>
        <v>7</v>
      </c>
      <c r="K6" s="1">
        <f t="shared" ca="1" si="11"/>
        <v>4</v>
      </c>
      <c r="L6" s="1">
        <f t="shared" ca="1" si="12"/>
        <v>3</v>
      </c>
      <c r="M6" s="1">
        <f t="shared" ca="1" si="1"/>
        <v>1</v>
      </c>
      <c r="N6" s="1">
        <f t="shared" ca="1" si="13"/>
        <v>0</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2"/>
        <v/>
      </c>
      <c r="AC6" s="592" t="str">
        <f t="shared" ca="1" si="18"/>
        <v/>
      </c>
      <c r="AD6" s="593">
        <f t="shared" ca="1" si="19"/>
        <v>99999</v>
      </c>
      <c r="AE6" s="589">
        <f ca="1">RANK(AD6,AD$4:AD$12,1)+INDEX($E$4:$E$12,MATCH(AB6,$F$4:$F$12,0))/100+ROW()/10000</f>
        <v>1.0606</v>
      </c>
      <c r="AF6" s="589">
        <f t="shared" ca="1" si="20"/>
        <v>3</v>
      </c>
      <c r="AG6" s="591" t="str">
        <f t="shared" ca="1" si="3"/>
        <v/>
      </c>
      <c r="AH6" s="592" t="str">
        <f t="shared" ca="1" si="21"/>
        <v/>
      </c>
      <c r="AI6" s="593">
        <f t="shared" ca="1" si="22"/>
        <v>99999</v>
      </c>
      <c r="AJ6" s="589">
        <f ca="1">RANK(AI6,AI$4:AI$12,1)+INDEX($E$4:$E$12,MATCH(AG6,$F$4:$F$12,0))/100+ROW()/10000</f>
        <v>1.0606</v>
      </c>
      <c r="AK6" s="594">
        <f t="shared" ca="1" si="23"/>
        <v>3</v>
      </c>
      <c r="AL6" s="592" t="str">
        <f t="shared" ca="1" si="4"/>
        <v/>
      </c>
      <c r="AM6" s="592" t="str">
        <f t="shared" ca="1" si="24"/>
        <v/>
      </c>
      <c r="AN6" s="593">
        <f t="shared" ca="1" si="25"/>
        <v>99999</v>
      </c>
      <c r="AO6" s="589">
        <f ca="1">RANK(AN6,AN$4:AN$12,1)+INDEX($E$4:$E$12,MATCH(AL6,$F$4:$F$12,0))/100+ROW()/10000</f>
        <v>1.0606</v>
      </c>
      <c r="AP6" s="594">
        <f t="shared" ca="1" si="26"/>
        <v>3</v>
      </c>
      <c r="AS6" s="1">
        <f t="shared" ca="1" si="27"/>
        <v>2</v>
      </c>
      <c r="AT6" s="1">
        <f t="shared" ca="1" si="28"/>
        <v>7</v>
      </c>
      <c r="AU6" s="1">
        <f t="shared" ca="1" si="29"/>
        <v>5</v>
      </c>
      <c r="AV6" s="1">
        <f ca="1">IF(Einstellungen!$G$24,$I6,ROUND($I6,Einstellungen!$H$24))</f>
        <v>25</v>
      </c>
      <c r="AW6" s="1">
        <f t="shared" ca="1" si="30"/>
        <v>25</v>
      </c>
      <c r="AX6" s="1">
        <f t="shared" ca="1" si="31"/>
        <v>9</v>
      </c>
    </row>
    <row r="7" spans="1:50" s="2" customFormat="1" x14ac:dyDescent="0.2">
      <c r="A7" s="238"/>
      <c r="B7" s="1">
        <v>4</v>
      </c>
      <c r="C7" s="22">
        <f t="shared" ca="1" si="5"/>
        <v>5</v>
      </c>
      <c r="D7" s="13">
        <f t="shared" ca="1" si="6"/>
        <v>5.0069999999999997</v>
      </c>
      <c r="E7" s="249">
        <f t="shared" ca="1" si="7"/>
        <v>5</v>
      </c>
      <c r="F7" s="1" t="str">
        <f t="shared" si="8"/>
        <v>Maibach 1822 eV</v>
      </c>
      <c r="G7" s="1">
        <f t="shared" ca="1" si="9"/>
        <v>170</v>
      </c>
      <c r="H7" s="1">
        <f t="shared" ca="1" si="10"/>
        <v>191</v>
      </c>
      <c r="I7" s="674">
        <f ca="1">IF(Einstellungen!$G$24,G7-H7,IF(H7=0,IF(G7=0,0,Einstellungen!$F$24),G7/H7))</f>
        <v>-21</v>
      </c>
      <c r="J7" s="1">
        <f ca="1">$L7*Einstellungen!$C$4+$M7</f>
        <v>2</v>
      </c>
      <c r="K7" s="1">
        <f t="shared" ca="1" si="11"/>
        <v>4</v>
      </c>
      <c r="L7" s="1">
        <f t="shared" ca="1" si="12"/>
        <v>0</v>
      </c>
      <c r="M7" s="1">
        <f t="shared" ca="1" si="1"/>
        <v>2</v>
      </c>
      <c r="N7" s="1">
        <f t="shared" ca="1" si="13"/>
        <v>2</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2"/>
        <v/>
      </c>
      <c r="AC7" s="592" t="str">
        <f t="shared" ca="1" si="18"/>
        <v/>
      </c>
      <c r="AD7" s="593">
        <f t="shared" ca="1" si="19"/>
        <v>99999</v>
      </c>
      <c r="AE7" s="589">
        <f ca="1">RANK(AD7,AD$4:AD$12,1)+INDEX($E$4:$E$12,MATCH(AB7,$F$4:$F$12,0))/100+ROW()/10000</f>
        <v>1.0607</v>
      </c>
      <c r="AF7" s="589">
        <f t="shared" ca="1" si="20"/>
        <v>4</v>
      </c>
      <c r="AG7" s="591" t="str">
        <f t="shared" ca="1" si="3"/>
        <v/>
      </c>
      <c r="AH7" s="592" t="str">
        <f t="shared" ca="1" si="21"/>
        <v/>
      </c>
      <c r="AI7" s="593">
        <f t="shared" ca="1" si="22"/>
        <v>99999</v>
      </c>
      <c r="AJ7" s="589">
        <f ca="1">RANK(AI7,AI$4:AI$12,1)+INDEX($E$4:$E$12,MATCH(AG7,$F$4:$F$12,0))/100+ROW()/10000</f>
        <v>1.0607</v>
      </c>
      <c r="AK7" s="594">
        <f t="shared" ca="1" si="23"/>
        <v>4</v>
      </c>
      <c r="AL7" s="592" t="str">
        <f t="shared" ca="1" si="4"/>
        <v/>
      </c>
      <c r="AM7" s="592" t="str">
        <f t="shared" ca="1" si="24"/>
        <v/>
      </c>
      <c r="AN7" s="593">
        <f t="shared" ca="1" si="25"/>
        <v>99999</v>
      </c>
      <c r="AO7" s="589">
        <f ca="1">RANK(AN7,AN$4:AN$12,1)+INDEX($E$4:$E$12,MATCH(AL7,$F$4:$F$12,0))/100+ROW()/10000</f>
        <v>1.0607</v>
      </c>
      <c r="AP7" s="594">
        <f t="shared" ca="1" si="26"/>
        <v>4</v>
      </c>
      <c r="AS7" s="1">
        <f t="shared" ca="1" si="27"/>
        <v>6</v>
      </c>
      <c r="AT7" s="1">
        <f t="shared" ca="1" si="28"/>
        <v>2</v>
      </c>
      <c r="AU7" s="1">
        <f t="shared" ca="1" si="29"/>
        <v>-4</v>
      </c>
      <c r="AV7" s="1">
        <f ca="1">IF(Einstellungen!$G$24,$I7,ROUND($I7,Einstellungen!$H$24))</f>
        <v>-21</v>
      </c>
      <c r="AW7" s="1">
        <f t="shared" ca="1" si="30"/>
        <v>-21</v>
      </c>
      <c r="AX7" s="1">
        <f t="shared" ca="1" si="31"/>
        <v>5</v>
      </c>
    </row>
    <row r="8" spans="1:50" s="2" customFormat="1" x14ac:dyDescent="0.2">
      <c r="A8" s="238"/>
      <c r="B8" s="1">
        <v>5</v>
      </c>
      <c r="C8" s="22">
        <f t="shared" ca="1" si="5"/>
        <v>4</v>
      </c>
      <c r="D8" s="13">
        <f t="shared" ca="1" si="6"/>
        <v>4.008</v>
      </c>
      <c r="E8" s="249">
        <f t="shared" ca="1" si="7"/>
        <v>4</v>
      </c>
      <c r="F8" s="1" t="str">
        <f t="shared" si="8"/>
        <v>VFB Essenheim</v>
      </c>
      <c r="G8" s="1">
        <f t="shared" ca="1" si="9"/>
        <v>205</v>
      </c>
      <c r="H8" s="1">
        <f t="shared" ca="1" si="10"/>
        <v>217</v>
      </c>
      <c r="I8" s="674">
        <f ca="1">IF(Einstellungen!$G$24,G8-H8,IF(H8=0,IF(G8=0,0,Einstellungen!$F$24),G8/H8))</f>
        <v>-12</v>
      </c>
      <c r="J8" s="1">
        <f ca="1">$L8*Einstellungen!$C$4+$M8</f>
        <v>2</v>
      </c>
      <c r="K8" s="1">
        <f t="shared" ca="1" si="11"/>
        <v>4</v>
      </c>
      <c r="L8" s="1">
        <f t="shared" ca="1" si="12"/>
        <v>0</v>
      </c>
      <c r="M8" s="1">
        <f t="shared" ca="1" si="1"/>
        <v>2</v>
      </c>
      <c r="N8" s="1">
        <f t="shared" ca="1" si="13"/>
        <v>2</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2"/>
        <v/>
      </c>
      <c r="AC8" s="592" t="str">
        <f t="shared" ca="1" si="18"/>
        <v/>
      </c>
      <c r="AD8" s="593">
        <f t="shared" ca="1" si="19"/>
        <v>99999</v>
      </c>
      <c r="AE8" s="589">
        <f t="shared" ref="AE8:AE12" ca="1" si="33">RANK(AD8,AD$4:AD$12,1)+INDEX($E$4:$E$12,MATCH(AB8,$F$4:$F$12,0))/100+ROW()/10000</f>
        <v>1.0608</v>
      </c>
      <c r="AF8" s="589">
        <f t="shared" ca="1" si="20"/>
        <v>5</v>
      </c>
      <c r="AG8" s="591" t="str">
        <f t="shared" ca="1" si="3"/>
        <v/>
      </c>
      <c r="AH8" s="592" t="str">
        <f t="shared" ca="1" si="21"/>
        <v/>
      </c>
      <c r="AI8" s="593">
        <f t="shared" ca="1" si="22"/>
        <v>99999</v>
      </c>
      <c r="AJ8" s="589">
        <f t="shared" ref="AJ8:AJ12" ca="1" si="34">RANK(AI8,AI$4:AI$12,1)+INDEX($E$4:$E$12,MATCH(AG8,$F$4:$F$12,0))/100+ROW()/10000</f>
        <v>1.0608</v>
      </c>
      <c r="AK8" s="594">
        <f t="shared" ca="1" si="23"/>
        <v>5</v>
      </c>
      <c r="AL8" s="592" t="str">
        <f t="shared" ca="1" si="4"/>
        <v/>
      </c>
      <c r="AM8" s="592" t="str">
        <f t="shared" ca="1" si="24"/>
        <v/>
      </c>
      <c r="AN8" s="593">
        <f t="shared" ca="1" si="25"/>
        <v>99999</v>
      </c>
      <c r="AO8" s="589">
        <f t="shared" ref="AO8:AO12" ca="1" si="35">RANK(AN8,AN$4:AN$12,1)+INDEX($E$4:$E$12,MATCH(AL8,$F$4:$F$12,0))/100+ROW()/10000</f>
        <v>1.0608</v>
      </c>
      <c r="AP8" s="594">
        <f t="shared" ca="1" si="26"/>
        <v>5</v>
      </c>
      <c r="AS8" s="1">
        <f t="shared" ca="1" si="27"/>
        <v>6</v>
      </c>
      <c r="AT8" s="1">
        <f t="shared" ca="1" si="28"/>
        <v>4</v>
      </c>
      <c r="AU8" s="1">
        <f t="shared" ca="1" si="29"/>
        <v>-2</v>
      </c>
      <c r="AV8" s="1">
        <f ca="1">IF(Einstellungen!$G$24,$I8,ROUND($I8,Einstellungen!$H$24))</f>
        <v>-12</v>
      </c>
      <c r="AW8" s="1">
        <f t="shared" ca="1" si="30"/>
        <v>-12</v>
      </c>
      <c r="AX8" s="1">
        <f t="shared" ca="1" si="31"/>
        <v>7</v>
      </c>
    </row>
    <row r="9" spans="1:50" s="2" customFormat="1" x14ac:dyDescent="0.2">
      <c r="A9" s="238"/>
      <c r="B9" s="1">
        <v>6</v>
      </c>
      <c r="C9" s="22">
        <f t="shared" ca="1" si="5"/>
        <v>6</v>
      </c>
      <c r="D9" s="13">
        <f t="shared" ca="1" si="6"/>
        <v>16.009</v>
      </c>
      <c r="E9" s="249">
        <f t="shared" ca="1" si="7"/>
        <v>6</v>
      </c>
      <c r="F9" s="1" t="str">
        <f t="shared" si="8"/>
        <v/>
      </c>
      <c r="G9" s="1">
        <f t="shared" ca="1" si="9"/>
        <v>0</v>
      </c>
      <c r="H9" s="1">
        <f t="shared" ca="1" si="10"/>
        <v>0</v>
      </c>
      <c r="I9" s="674">
        <f ca="1">IF(Einstellungen!$G$24,G9-H9,IF(H9=0,IF(G9=0,0,Einstellungen!$F$24),G9/H9))</f>
        <v>0</v>
      </c>
      <c r="J9" s="1">
        <f ca="1">$L9*Einstellungen!$C$4+$M9</f>
        <v>0</v>
      </c>
      <c r="K9" s="1">
        <f t="shared" ca="1" si="11"/>
        <v>0</v>
      </c>
      <c r="L9" s="1">
        <f t="shared" ca="1" si="12"/>
        <v>0</v>
      </c>
      <c r="M9" s="1">
        <f t="shared" ca="1" si="1"/>
        <v>0</v>
      </c>
      <c r="N9" s="1">
        <f t="shared" ca="1" si="13"/>
        <v>0</v>
      </c>
      <c r="P9" s="25"/>
      <c r="W9" s="591" t="str">
        <f t="shared" ca="1" si="14"/>
        <v/>
      </c>
      <c r="X9" s="592" t="str">
        <f t="shared" ca="1" si="15"/>
        <v/>
      </c>
      <c r="Y9" s="589">
        <f t="shared" ca="1" si="16"/>
        <v>99999</v>
      </c>
      <c r="Z9" s="589">
        <f t="shared" ca="1" si="32"/>
        <v>1.0609</v>
      </c>
      <c r="AA9" s="594">
        <f t="shared" ca="1" si="17"/>
        <v>6</v>
      </c>
      <c r="AB9" s="591" t="str">
        <f t="shared" ca="1" si="2"/>
        <v/>
      </c>
      <c r="AC9" s="592" t="str">
        <f t="shared" ca="1" si="18"/>
        <v/>
      </c>
      <c r="AD9" s="593">
        <f t="shared" ca="1" si="19"/>
        <v>99999</v>
      </c>
      <c r="AE9" s="589">
        <f t="shared" ca="1" si="33"/>
        <v>1.0609</v>
      </c>
      <c r="AF9" s="589">
        <f t="shared" ca="1" si="20"/>
        <v>6</v>
      </c>
      <c r="AG9" s="591" t="str">
        <f t="shared" ca="1" si="3"/>
        <v/>
      </c>
      <c r="AH9" s="592" t="str">
        <f t="shared" ca="1" si="21"/>
        <v/>
      </c>
      <c r="AI9" s="593">
        <f t="shared" ca="1" si="22"/>
        <v>99999</v>
      </c>
      <c r="AJ9" s="589">
        <f t="shared" ca="1" si="34"/>
        <v>1.0609</v>
      </c>
      <c r="AK9" s="594">
        <f t="shared" ca="1" si="23"/>
        <v>6</v>
      </c>
      <c r="AL9" s="592" t="str">
        <f t="shared" ca="1" si="4"/>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IF(Einstellungen!$G$24,$I9,ROUND($I9,Einstellungen!$H$24))</f>
        <v>0</v>
      </c>
      <c r="AW9" s="1">
        <f t="shared" ca="1" si="30"/>
        <v>-10000</v>
      </c>
      <c r="AX9" s="1">
        <f t="shared" ca="1" si="31"/>
        <v>1</v>
      </c>
    </row>
    <row r="10" spans="1:50" s="2" customFormat="1" x14ac:dyDescent="0.2">
      <c r="A10" s="238"/>
      <c r="B10" s="1">
        <v>7</v>
      </c>
      <c r="C10" s="22">
        <f t="shared" ca="1" si="5"/>
        <v>7</v>
      </c>
      <c r="D10" s="13">
        <f t="shared" ca="1" si="6"/>
        <v>16.009999999999998</v>
      </c>
      <c r="E10" s="249">
        <f t="shared" ca="1" si="7"/>
        <v>6</v>
      </c>
      <c r="F10" s="1" t="str">
        <f t="shared" si="8"/>
        <v/>
      </c>
      <c r="G10" s="1">
        <f t="shared" ca="1" si="9"/>
        <v>0</v>
      </c>
      <c r="H10" s="1">
        <f t="shared" ca="1" si="10"/>
        <v>0</v>
      </c>
      <c r="I10" s="674">
        <f ca="1">IF(Einstellungen!$G$24,G10-H10,IF(H10=0,IF(G10=0,0,Einstellungen!$F$24),G10/H10))</f>
        <v>0</v>
      </c>
      <c r="J10" s="1">
        <f ca="1">$L10*Einstellungen!$C$4+$M10</f>
        <v>0</v>
      </c>
      <c r="K10" s="1">
        <f t="shared" ca="1" si="11"/>
        <v>0</v>
      </c>
      <c r="L10" s="1">
        <f t="shared" ca="1" si="12"/>
        <v>0</v>
      </c>
      <c r="M10" s="1">
        <f t="shared" ca="1" si="1"/>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2"/>
        <v/>
      </c>
      <c r="AC10" s="592" t="str">
        <f t="shared" ca="1" si="18"/>
        <v/>
      </c>
      <c r="AD10" s="593">
        <f t="shared" ca="1" si="19"/>
        <v>99999</v>
      </c>
      <c r="AE10" s="589">
        <f t="shared" ca="1" si="33"/>
        <v>1.0609999999999999</v>
      </c>
      <c r="AF10" s="589">
        <f t="shared" ca="1" si="20"/>
        <v>7</v>
      </c>
      <c r="AG10" s="591" t="str">
        <f t="shared" ca="1" si="3"/>
        <v/>
      </c>
      <c r="AH10" s="592" t="str">
        <f t="shared" ca="1" si="21"/>
        <v/>
      </c>
      <c r="AI10" s="593">
        <f t="shared" ca="1" si="22"/>
        <v>99999</v>
      </c>
      <c r="AJ10" s="589">
        <f t="shared" ca="1" si="34"/>
        <v>1.0609999999999999</v>
      </c>
      <c r="AK10" s="594">
        <f t="shared" ca="1" si="23"/>
        <v>7</v>
      </c>
      <c r="AL10" s="592" t="str">
        <f t="shared" ca="1" si="4"/>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IF(Einstellungen!$G$24,$I10,ROUND($I10,Einstellungen!$H$24))</f>
        <v>0</v>
      </c>
      <c r="AW10" s="1">
        <f t="shared" ca="1" si="30"/>
        <v>-10000</v>
      </c>
      <c r="AX10" s="1">
        <f t="shared" ca="1" si="31"/>
        <v>1</v>
      </c>
    </row>
    <row r="11" spans="1:50" s="2" customFormat="1" x14ac:dyDescent="0.2">
      <c r="A11" s="238"/>
      <c r="B11" s="1">
        <v>8</v>
      </c>
      <c r="C11" s="22">
        <f t="shared" ca="1" si="5"/>
        <v>8</v>
      </c>
      <c r="D11" s="13">
        <f t="shared" ca="1" si="6"/>
        <v>16.010999999999999</v>
      </c>
      <c r="E11" s="249">
        <f t="shared" ca="1" si="7"/>
        <v>6</v>
      </c>
      <c r="F11" s="1" t="str">
        <f t="shared" si="8"/>
        <v/>
      </c>
      <c r="G11" s="1">
        <f t="shared" ca="1" si="9"/>
        <v>0</v>
      </c>
      <c r="H11" s="1">
        <f t="shared" ca="1" si="10"/>
        <v>0</v>
      </c>
      <c r="I11" s="674">
        <f ca="1">IF(Einstellungen!$G$24,G11-H11,IF(H11=0,IF(G11=0,0,Einstellungen!$F$24),G11/H11))</f>
        <v>0</v>
      </c>
      <c r="J11" s="1">
        <f ca="1">$L11*Einstellungen!$C$4+$M11</f>
        <v>0</v>
      </c>
      <c r="K11" s="1">
        <f t="shared" ca="1" si="11"/>
        <v>0</v>
      </c>
      <c r="L11" s="1">
        <f t="shared" ca="1" si="12"/>
        <v>0</v>
      </c>
      <c r="M11" s="1">
        <f t="shared" ca="1" si="1"/>
        <v>0</v>
      </c>
      <c r="N11" s="1">
        <f t="shared" ca="1" si="13"/>
        <v>0</v>
      </c>
      <c r="O11" s="13"/>
      <c r="P11" s="13"/>
      <c r="Q11" s="13"/>
      <c r="R11" s="13"/>
      <c r="S11" s="13"/>
      <c r="T11" s="13"/>
      <c r="U11" s="13"/>
      <c r="V11" s="13"/>
      <c r="W11" s="591" t="str">
        <f t="shared" ca="1" si="14"/>
        <v/>
      </c>
      <c r="X11" s="592" t="str">
        <f t="shared" ca="1" si="15"/>
        <v/>
      </c>
      <c r="Y11" s="589">
        <f t="shared" ca="1" si="16"/>
        <v>99999</v>
      </c>
      <c r="Z11" s="589">
        <f t="shared" ca="1" si="32"/>
        <v>1.0611000000000002</v>
      </c>
      <c r="AA11" s="594">
        <f t="shared" ca="1" si="17"/>
        <v>8</v>
      </c>
      <c r="AB11" s="591" t="str">
        <f t="shared" ca="1" si="2"/>
        <v/>
      </c>
      <c r="AC11" s="592" t="str">
        <f t="shared" ca="1" si="18"/>
        <v/>
      </c>
      <c r="AD11" s="593">
        <f t="shared" ca="1" si="19"/>
        <v>99999</v>
      </c>
      <c r="AE11" s="589">
        <f t="shared" ca="1" si="33"/>
        <v>1.0611000000000002</v>
      </c>
      <c r="AF11" s="589">
        <f t="shared" ca="1" si="20"/>
        <v>8</v>
      </c>
      <c r="AG11" s="591" t="str">
        <f t="shared" ca="1" si="3"/>
        <v/>
      </c>
      <c r="AH11" s="592" t="str">
        <f t="shared" ca="1" si="21"/>
        <v/>
      </c>
      <c r="AI11" s="593">
        <f t="shared" ca="1" si="22"/>
        <v>99999</v>
      </c>
      <c r="AJ11" s="589">
        <f t="shared" ca="1" si="34"/>
        <v>1.0611000000000002</v>
      </c>
      <c r="AK11" s="594">
        <f t="shared" ca="1" si="23"/>
        <v>8</v>
      </c>
      <c r="AL11" s="592" t="str">
        <f t="shared" ca="1" si="4"/>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IF(Einstellungen!$G$24,$I11,ROUND($I11,Einstellungen!$H$24))</f>
        <v>0</v>
      </c>
      <c r="AW11" s="1">
        <f t="shared" ca="1" si="30"/>
        <v>-10000</v>
      </c>
      <c r="AX11" s="1">
        <f t="shared" ca="1" si="31"/>
        <v>1</v>
      </c>
    </row>
    <row r="12" spans="1:50" s="2" customFormat="1" ht="12.75" thickBot="1" x14ac:dyDescent="0.25">
      <c r="A12" s="238"/>
      <c r="B12" s="1">
        <v>9</v>
      </c>
      <c r="C12" s="23">
        <f t="shared" ca="1" si="5"/>
        <v>9</v>
      </c>
      <c r="D12" s="13">
        <f t="shared" ca="1" si="6"/>
        <v>16.012</v>
      </c>
      <c r="E12" s="249">
        <f t="shared" ca="1" si="7"/>
        <v>6</v>
      </c>
      <c r="F12" s="1" t="str">
        <f t="shared" si="8"/>
        <v/>
      </c>
      <c r="G12" s="1">
        <f t="shared" ca="1" si="9"/>
        <v>0</v>
      </c>
      <c r="H12" s="1">
        <f t="shared" ca="1" si="10"/>
        <v>0</v>
      </c>
      <c r="I12" s="674">
        <f ca="1">IF(Einstellungen!$G$24,G12-H12,IF(H12=0,IF(G12=0,0,Einstellungen!$F$24),G12/H12))</f>
        <v>0</v>
      </c>
      <c r="J12" s="1">
        <f ca="1">$L12*Einstellungen!$C$4+$M12</f>
        <v>0</v>
      </c>
      <c r="K12" s="28">
        <f t="shared" ca="1" si="11"/>
        <v>0</v>
      </c>
      <c r="L12" s="1">
        <f t="shared" ca="1" si="12"/>
        <v>0</v>
      </c>
      <c r="M12" s="1">
        <f t="shared" ca="1" si="1"/>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2"/>
        <v/>
      </c>
      <c r="AC12" s="596" t="str">
        <f t="shared" ca="1" si="18"/>
        <v/>
      </c>
      <c r="AD12" s="599">
        <f t="shared" ca="1" si="19"/>
        <v>99999</v>
      </c>
      <c r="AE12" s="597">
        <f t="shared" ca="1" si="33"/>
        <v>1.0612000000000001</v>
      </c>
      <c r="AF12" s="597">
        <f t="shared" ca="1" si="20"/>
        <v>9</v>
      </c>
      <c r="AG12" s="595" t="str">
        <f t="shared" ca="1" si="3"/>
        <v/>
      </c>
      <c r="AH12" s="596" t="str">
        <f t="shared" ca="1" si="21"/>
        <v/>
      </c>
      <c r="AI12" s="599">
        <f t="shared" ca="1" si="22"/>
        <v>99999</v>
      </c>
      <c r="AJ12" s="597">
        <f t="shared" ca="1" si="34"/>
        <v>1.0612000000000001</v>
      </c>
      <c r="AK12" s="598">
        <f t="shared" ca="1" si="23"/>
        <v>9</v>
      </c>
      <c r="AL12" s="596" t="str">
        <f t="shared" ca="1" si="4"/>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IF(Einstellungen!$G$24,$I12,ROUND($I12,Einstellungen!$H$24))</f>
        <v>0</v>
      </c>
      <c r="AW12" s="1">
        <f t="shared" ca="1" si="30"/>
        <v>-10000</v>
      </c>
      <c r="AX12" s="1">
        <f t="shared" ca="1" si="31"/>
        <v>1</v>
      </c>
    </row>
    <row r="13" spans="1:50" s="2" customFormat="1" ht="12.75" thickTop="1" x14ac:dyDescent="0.2">
      <c r="B13" s="3">
        <f>$F$13*($F$13-1)</f>
        <v>20</v>
      </c>
      <c r="C13" s="3"/>
      <c r="D13" s="3"/>
      <c r="E13" s="3"/>
      <c r="F13" s="3">
        <f>9-COUNTBLANK($F$4:$F$12)</f>
        <v>5</v>
      </c>
      <c r="G13" s="3"/>
      <c r="H13" s="3"/>
      <c r="I13" s="3"/>
      <c r="J13" s="3"/>
      <c r="K13" s="27">
        <f ca="1">QUOTIENT(SUM(K4:K12),2)</f>
        <v>10</v>
      </c>
      <c r="L13" s="1"/>
      <c r="M13" s="1"/>
      <c r="N13" s="1"/>
      <c r="O13" s="1"/>
      <c r="P13" s="1"/>
      <c r="Q13" s="1"/>
      <c r="R13" s="1"/>
      <c r="S13" s="1"/>
      <c r="T13" s="1"/>
      <c r="U13" s="1"/>
      <c r="V13" s="1"/>
      <c r="Y13" s="1"/>
      <c r="Z13" s="1"/>
    </row>
    <row r="14" spans="1:50" s="2" customFormat="1" x14ac:dyDescent="0.2">
      <c r="B14" s="14">
        <f>MAX($B$13,Calc2!$B$13,Calc3!$B$13,Calc4!$B$13)/2*4</f>
        <v>40</v>
      </c>
      <c r="D14" s="1" t="s">
        <v>308</v>
      </c>
      <c r="F14" s="14">
        <f>MAX($F$13,Calc2!$F$13,Calc3!$F$13,Calc4!$F$13)</f>
        <v>5</v>
      </c>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13" t="s">
        <v>5</v>
      </c>
      <c r="C16" s="646" t="s">
        <v>97</v>
      </c>
      <c r="D16" s="646" t="s">
        <v>102</v>
      </c>
      <c r="E16" s="646" t="s">
        <v>103</v>
      </c>
      <c r="F16" s="646" t="s">
        <v>104</v>
      </c>
      <c r="G16" s="646" t="s">
        <v>105</v>
      </c>
      <c r="H16" s="646" t="s">
        <v>106</v>
      </c>
      <c r="I16" s="646" t="s">
        <v>107</v>
      </c>
      <c r="J16" s="646" t="s">
        <v>108</v>
      </c>
      <c r="K16" s="646" t="s">
        <v>447</v>
      </c>
      <c r="L16" s="11" t="s">
        <v>380</v>
      </c>
      <c r="M16" s="69" t="s">
        <v>96</v>
      </c>
      <c r="N16" s="69" t="s">
        <v>14</v>
      </c>
      <c r="O16" s="30">
        <v>1</v>
      </c>
      <c r="P16" s="1">
        <v>2</v>
      </c>
      <c r="Q16" s="1">
        <v>3</v>
      </c>
      <c r="R16" s="1">
        <v>4</v>
      </c>
      <c r="S16" s="1">
        <v>5</v>
      </c>
      <c r="T16" s="1">
        <v>6</v>
      </c>
      <c r="U16" s="1">
        <v>7</v>
      </c>
      <c r="V16" s="1">
        <v>8</v>
      </c>
      <c r="W16" s="11" t="s">
        <v>98</v>
      </c>
      <c r="X16" s="186" t="s">
        <v>163</v>
      </c>
      <c r="Y16" s="11" t="s">
        <v>450</v>
      </c>
      <c r="Z16" s="186" t="s">
        <v>451</v>
      </c>
      <c r="AA16" s="1" t="s">
        <v>371</v>
      </c>
      <c r="AB16" s="1" t="s">
        <v>108</v>
      </c>
      <c r="AC16" s="1" t="s">
        <v>106</v>
      </c>
      <c r="AD16" s="783" t="s">
        <v>452</v>
      </c>
      <c r="AE16" s="779"/>
      <c r="AF16" s="764"/>
      <c r="AG16" s="764"/>
      <c r="AH16" s="780"/>
      <c r="AI16" s="4"/>
    </row>
    <row r="17" spans="2:80" s="2" customFormat="1" ht="12.75" thickTop="1" x14ac:dyDescent="0.2">
      <c r="C17" s="2" t="str">
        <f>$Q64</f>
        <v>1. FC Riedwald</v>
      </c>
      <c r="D17" s="1">
        <f t="shared" ref="D17:G25" ca="1" si="36">K4</f>
        <v>4</v>
      </c>
      <c r="E17" s="1">
        <f t="shared" ca="1" si="36"/>
        <v>2</v>
      </c>
      <c r="F17" s="1">
        <f t="shared" ca="1" si="36"/>
        <v>0</v>
      </c>
      <c r="G17" s="1">
        <f t="shared" ca="1" si="36"/>
        <v>2</v>
      </c>
      <c r="H17" s="1">
        <f t="shared" ref="H17:J25" ca="1" si="37">G4</f>
        <v>188</v>
      </c>
      <c r="I17" s="1">
        <f t="shared" ca="1" si="37"/>
        <v>204</v>
      </c>
      <c r="J17" s="13">
        <f t="shared" ca="1" si="37"/>
        <v>-16</v>
      </c>
      <c r="K17" s="1">
        <f ca="1">IF(Einstellungen!$G$9,J4,$AT4)</f>
        <v>4</v>
      </c>
      <c r="L17" s="29">
        <f ca="1">K17*$F$64+(AU4+$H$65)*$F$65*Einstellungen!$G$14+AT4*$F$66*Einstellungen!$G$19+AX4*$F$67</f>
        <v>4000000.0060000001</v>
      </c>
      <c r="M17" s="14">
        <f ca="1">IF($AI$15,COUNTIF($K$17:$K$25,K17),COUNTIF($L$17:$L$25,L17))</f>
        <v>1</v>
      </c>
      <c r="N17" s="14">
        <f t="array" aca="1" ref="N17" ca="1">IF($AI$15,SUM(($K$17:$K$25&gt;=K17)/COUNTIF($K$17:$K$25,$K$17:$K$25)),SUM(($L$17:$L$25&gt;=L17)/COUNTIF($L$17:$L$25,$L$17:$L$25)))</f>
        <v>3</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3.0108999999999999</v>
      </c>
      <c r="Y17" s="13">
        <f>Vorrunde!$AX12+$AD17</f>
        <v>0</v>
      </c>
      <c r="Z17" s="1">
        <f ca="1">RANK($W17,$W$17:$W$25)+(9-$Y17)/10</f>
        <v>1.9</v>
      </c>
      <c r="AA17" s="1">
        <f ca="1">SUM(E30:BP30)</f>
        <v>0</v>
      </c>
      <c r="AB17" s="1">
        <f ca="1">SUM(E41:BP41)</f>
        <v>0</v>
      </c>
      <c r="AC17" s="1">
        <f ca="1">SUM(E52:BP52)</f>
        <v>0</v>
      </c>
      <c r="AD17" s="764">
        <f>IF($C17="",0,COUNTIF(Playoffs!$U$12:$U$17,$C17))</f>
        <v>0</v>
      </c>
      <c r="AE17" s="29"/>
      <c r="AF17" s="764"/>
      <c r="AG17" s="764"/>
      <c r="AH17" s="781"/>
      <c r="AI17" s="764"/>
    </row>
    <row r="18" spans="2:80" s="2" customFormat="1" x14ac:dyDescent="0.2">
      <c r="C18" s="2" t="str">
        <f t="shared" ref="C18:C25" si="46">$Q65</f>
        <v>FC Barcelona</v>
      </c>
      <c r="D18" s="1">
        <f t="shared" ca="1" si="36"/>
        <v>4</v>
      </c>
      <c r="E18" s="1">
        <f t="shared" ca="1" si="36"/>
        <v>2</v>
      </c>
      <c r="F18" s="1">
        <f t="shared" ca="1" si="36"/>
        <v>1</v>
      </c>
      <c r="G18" s="1">
        <f t="shared" ca="1" si="36"/>
        <v>1</v>
      </c>
      <c r="H18" s="1">
        <f t="shared" ca="1" si="37"/>
        <v>233</v>
      </c>
      <c r="I18" s="1">
        <f t="shared" ca="1" si="37"/>
        <v>209</v>
      </c>
      <c r="J18" s="13">
        <f t="shared" ca="1" si="37"/>
        <v>24</v>
      </c>
      <c r="K18" s="1">
        <f ca="1">IF(Einstellungen!$G$9,J5,$AT5)</f>
        <v>5</v>
      </c>
      <c r="L18" s="29">
        <f ca="1">K18*$F$64+(AU5+$H$65)*$F$65*Einstellungen!$G$14+AT5*$F$66*Einstellungen!$G$19+AX5*$F$67</f>
        <v>5000000.0080000004</v>
      </c>
      <c r="M18" s="14">
        <f t="shared" ref="M18:M25" ca="1" si="47">IF($AI$15,COUNTIF($K$17:$K$25,K18),COUNTIF($L$17:$L$25,L18))</f>
        <v>1</v>
      </c>
      <c r="N18" s="14">
        <f t="array" aca="1" ref="N18" ca="1">IF($AI$15,SUM(($K$17:$K$25&gt;=K18)/COUNTIF($K$17:$K$25,$K$17:$K$25)),SUM(($L$17:$L$25&gt;=L18)/COUNTIF($L$17:$L$25,$L$17:$L$25)))</f>
        <v>2</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2.0108999999999999</v>
      </c>
      <c r="Y18" s="764">
        <f>Vorrunde!$AX13+$AD18</f>
        <v>0</v>
      </c>
      <c r="Z18" s="1">
        <f t="shared" ref="Z18:Z25" ca="1" si="50">RANK($W18,$W$17:$W$25)+(9-$Y18)/10</f>
        <v>1.9</v>
      </c>
      <c r="AA18" s="1">
        <f t="shared" ref="AA18:AA25" ca="1" si="51">SUM(E31:BP31)</f>
        <v>0</v>
      </c>
      <c r="AB18" s="1">
        <f t="shared" ref="AB18:AB25" ca="1" si="52">SUM(E42:BP42)</f>
        <v>0</v>
      </c>
      <c r="AC18" s="1">
        <f t="shared" ref="AC18:AC25" ca="1" si="53">SUM(E53:BP53)</f>
        <v>0</v>
      </c>
      <c r="AD18" s="764">
        <f>IF($C18="",0,COUNTIF(Playoffs!$U$12:$U$17,$C18))</f>
        <v>0</v>
      </c>
      <c r="AE18" s="29"/>
      <c r="AF18" s="764"/>
      <c r="AG18" s="764"/>
      <c r="AH18" s="781"/>
      <c r="AI18" s="764"/>
    </row>
    <row r="19" spans="2:80" s="2" customFormat="1" x14ac:dyDescent="0.2">
      <c r="C19" s="2" t="str">
        <f t="shared" si="46"/>
        <v>Eintracht Frankfurt</v>
      </c>
      <c r="D19" s="1">
        <f t="shared" ca="1" si="36"/>
        <v>4</v>
      </c>
      <c r="E19" s="1">
        <f t="shared" ca="1" si="36"/>
        <v>3</v>
      </c>
      <c r="F19" s="1">
        <f t="shared" ca="1" si="36"/>
        <v>1</v>
      </c>
      <c r="G19" s="1">
        <f t="shared" ca="1" si="36"/>
        <v>0</v>
      </c>
      <c r="H19" s="1">
        <f t="shared" ca="1" si="37"/>
        <v>209</v>
      </c>
      <c r="I19" s="1">
        <f t="shared" ca="1" si="37"/>
        <v>184</v>
      </c>
      <c r="J19" s="13">
        <f t="shared" ca="1" si="37"/>
        <v>25</v>
      </c>
      <c r="K19" s="1">
        <f ca="1">IF(Einstellungen!$G$9,J6,$AT6)</f>
        <v>7</v>
      </c>
      <c r="L19" s="29">
        <f ca="1">K19*$F$64+(AU6+$H$65)*$F$65*Einstellungen!$G$14+AT6*$F$66*Einstellungen!$G$19+AX6*$F$67</f>
        <v>7000000.0089999996</v>
      </c>
      <c r="M19" s="14">
        <f t="shared" ca="1" si="47"/>
        <v>1</v>
      </c>
      <c r="N19" s="14">
        <f t="array" aca="1" ref="N19" ca="1">IF($AI$15,SUM(($K$17:$K$25&gt;=K19)/COUNTIF($K$17:$K$25,$K$17:$K$25)),SUM(($L$17:$L$25&gt;=L19)/COUNTIF($L$17:$L$25,$L$17:$L$25)))</f>
        <v>1</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1.0108999999999999</v>
      </c>
      <c r="Y19" s="764">
        <f>Vorrunde!$AX14+$AD19</f>
        <v>0</v>
      </c>
      <c r="Z19" s="1">
        <f t="shared" ca="1" si="50"/>
        <v>1.9</v>
      </c>
      <c r="AA19" s="1">
        <f t="shared" ca="1" si="51"/>
        <v>0</v>
      </c>
      <c r="AB19" s="1">
        <f t="shared" ca="1" si="52"/>
        <v>0</v>
      </c>
      <c r="AC19" s="1">
        <f t="shared" ca="1" si="53"/>
        <v>0</v>
      </c>
      <c r="AD19" s="764">
        <f>IF($C19="",0,COUNTIF(Playoffs!$U$12:$U$17,$C19))</f>
        <v>0</v>
      </c>
      <c r="AE19" s="29"/>
      <c r="AF19" s="764"/>
      <c r="AG19" s="764"/>
      <c r="AH19" s="781"/>
      <c r="AI19" s="764"/>
    </row>
    <row r="20" spans="2:80" s="2" customFormat="1" x14ac:dyDescent="0.2">
      <c r="C20" s="2" t="str">
        <f t="shared" si="46"/>
        <v>Maibach 1822 eV</v>
      </c>
      <c r="D20" s="1">
        <f t="shared" ca="1" si="36"/>
        <v>4</v>
      </c>
      <c r="E20" s="1">
        <f t="shared" ca="1" si="36"/>
        <v>0</v>
      </c>
      <c r="F20" s="1">
        <f t="shared" ca="1" si="36"/>
        <v>2</v>
      </c>
      <c r="G20" s="1">
        <f t="shared" ca="1" si="36"/>
        <v>2</v>
      </c>
      <c r="H20" s="1">
        <f t="shared" ca="1" si="37"/>
        <v>170</v>
      </c>
      <c r="I20" s="1">
        <f t="shared" ca="1" si="37"/>
        <v>191</v>
      </c>
      <c r="J20" s="13">
        <f t="shared" ca="1" si="37"/>
        <v>-21</v>
      </c>
      <c r="K20" s="1">
        <f ca="1">IF(Einstellungen!$G$9,J7,$AT7)</f>
        <v>2</v>
      </c>
      <c r="L20" s="29">
        <f ca="1">K20*$F$64+(AU7+$H$65)*$F$65*Einstellungen!$G$14+AT7*$F$66*Einstellungen!$G$19+AX7*$F$67</f>
        <v>2000000.0049999999</v>
      </c>
      <c r="M20" s="14">
        <f t="shared" ca="1" si="47"/>
        <v>1</v>
      </c>
      <c r="N20" s="14">
        <f t="array" aca="1" ref="N20" ca="1">IF($AI$15,SUM(($K$17:$K$25&gt;=K20)/COUNTIF($K$17:$K$25,$K$17:$K$25)),SUM(($L$17:$L$25&gt;=L20)/COUNTIF($L$17:$L$25,$L$17:$L$25)))</f>
        <v>5</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5.0108999999999995</v>
      </c>
      <c r="Y20" s="764">
        <f>Vorrunde!$AX15+$AD20</f>
        <v>0</v>
      </c>
      <c r="Z20" s="1">
        <f t="shared" ca="1" si="50"/>
        <v>1.9</v>
      </c>
      <c r="AA20" s="1">
        <f t="shared" ca="1" si="51"/>
        <v>0</v>
      </c>
      <c r="AB20" s="1">
        <f t="shared" ca="1" si="52"/>
        <v>0</v>
      </c>
      <c r="AC20" s="1">
        <f t="shared" ca="1" si="53"/>
        <v>0</v>
      </c>
      <c r="AD20" s="764">
        <f>IF($C20="",0,COUNTIF(Playoffs!$U$12:$U$17,$C20))</f>
        <v>0</v>
      </c>
      <c r="AE20" s="29"/>
      <c r="AF20" s="764"/>
      <c r="AG20" s="764"/>
      <c r="AH20" s="781"/>
      <c r="AI20" s="764"/>
    </row>
    <row r="21" spans="2:80" s="2" customFormat="1" x14ac:dyDescent="0.2">
      <c r="C21" s="2" t="str">
        <f t="shared" si="46"/>
        <v>VFB Essenheim</v>
      </c>
      <c r="D21" s="1">
        <f t="shared" ca="1" si="36"/>
        <v>4</v>
      </c>
      <c r="E21" s="1">
        <f t="shared" ca="1" si="36"/>
        <v>0</v>
      </c>
      <c r="F21" s="1">
        <f t="shared" ca="1" si="36"/>
        <v>2</v>
      </c>
      <c r="G21" s="1">
        <f t="shared" ca="1" si="36"/>
        <v>2</v>
      </c>
      <c r="H21" s="1">
        <f t="shared" ca="1" si="37"/>
        <v>205</v>
      </c>
      <c r="I21" s="1">
        <f t="shared" ca="1" si="37"/>
        <v>217</v>
      </c>
      <c r="J21" s="13">
        <f t="shared" ca="1" si="37"/>
        <v>-12</v>
      </c>
      <c r="K21" s="1">
        <f ca="1">IF(Einstellungen!$G$9,J8,$AT8)</f>
        <v>2</v>
      </c>
      <c r="L21" s="29">
        <f ca="1">K21*$F$64+(AU8+$H$65)*$F$65*Einstellungen!$G$14+AT8*$F$66*Einstellungen!$G$19+AX8*$F$67</f>
        <v>2000000.007</v>
      </c>
      <c r="M21" s="14">
        <f t="shared" ca="1" si="47"/>
        <v>1</v>
      </c>
      <c r="N21" s="14">
        <f t="array" aca="1" ref="N21" ca="1">IF($AI$15,SUM(($K$17:$K$25&gt;=K21)/COUNTIF($K$17:$K$25,$K$17:$K$25)),SUM(($L$17:$L$25&gt;=L21)/COUNTIF($L$17:$L$25,$L$17:$L$25)))</f>
        <v>4</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4.0108999999999995</v>
      </c>
      <c r="Y21" s="764">
        <f>Vorrunde!$AX16+$AD21</f>
        <v>0</v>
      </c>
      <c r="Z21" s="1">
        <f t="shared" ca="1" si="50"/>
        <v>1.9</v>
      </c>
      <c r="AA21" s="1">
        <f t="shared" ca="1" si="51"/>
        <v>0</v>
      </c>
      <c r="AB21" s="1">
        <f t="shared" ca="1" si="52"/>
        <v>0</v>
      </c>
      <c r="AC21" s="1">
        <f t="shared" ca="1" si="53"/>
        <v>0</v>
      </c>
      <c r="AD21" s="764">
        <f>IF($C21="",0,COUNTIF(Playoffs!$U$12:$U$17,$C21))</f>
        <v>0</v>
      </c>
      <c r="AE21" s="29"/>
      <c r="AF21" s="764"/>
      <c r="AG21" s="764"/>
      <c r="AH21" s="781"/>
      <c r="AI21" s="764"/>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13">
        <f t="shared" ca="1" si="37"/>
        <v>0</v>
      </c>
      <c r="K22" s="1">
        <f ca="1">IF(Einstellungen!$G$9,J9,$AT9)</f>
        <v>0</v>
      </c>
      <c r="L22" s="29">
        <f ca="1">K22*$F$64+(AU9+$H$65)*$F$65*Einstellungen!$G$14+AT9*$F$66*Einstellungen!$G$19+AX9*$F$67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764">
        <f>Vorrunde!$AX17+$AD22</f>
        <v>0</v>
      </c>
      <c r="Z22" s="1">
        <f t="shared" ca="1" si="50"/>
        <v>1.9</v>
      </c>
      <c r="AA22" s="1">
        <f t="shared" ca="1" si="51"/>
        <v>0</v>
      </c>
      <c r="AB22" s="1">
        <f t="shared" ca="1" si="52"/>
        <v>0</v>
      </c>
      <c r="AC22" s="1">
        <f t="shared" ca="1" si="53"/>
        <v>0</v>
      </c>
      <c r="AD22" s="764">
        <f>IF($C22="",0,COUNTIF(Playoffs!$U$12:$U$17,$C22))</f>
        <v>0</v>
      </c>
      <c r="AE22" s="29"/>
      <c r="AF22" s="764"/>
      <c r="AG22" s="764"/>
      <c r="AH22" s="781"/>
      <c r="AI22" s="764"/>
      <c r="BS22" s="1"/>
      <c r="BT22" s="1"/>
      <c r="BU22" s="1"/>
      <c r="BV22" s="1"/>
      <c r="BW22" s="1"/>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13">
        <f t="shared" ca="1" si="37"/>
        <v>0</v>
      </c>
      <c r="K23" s="1">
        <f ca="1">IF(Einstellungen!$G$9,J10,$AT10)</f>
        <v>0</v>
      </c>
      <c r="L23" s="29">
        <f ca="1">K23*$F$64+(AU10+$H$65)*$F$65*Einstellungen!$G$14+AT10*$F$66*Einstellungen!$G$19+AX10*$F$67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64">
        <v>0</v>
      </c>
      <c r="Z23" s="1">
        <f t="shared" ca="1" si="50"/>
        <v>1.9</v>
      </c>
      <c r="AA23" s="1">
        <f t="shared" ca="1" si="51"/>
        <v>0</v>
      </c>
      <c r="AB23" s="1">
        <f t="shared" ca="1" si="52"/>
        <v>0</v>
      </c>
      <c r="AC23" s="1">
        <f t="shared" ca="1" si="53"/>
        <v>0</v>
      </c>
      <c r="AD23" s="764">
        <f>IF($C23="",0,COUNTIF(Playoffs!$U$12:$U$17,$C23))</f>
        <v>0</v>
      </c>
      <c r="AE23" s="29"/>
      <c r="AF23" s="764"/>
      <c r="AG23" s="764"/>
      <c r="AH23" s="781"/>
      <c r="AI23" s="764"/>
      <c r="BS23" s="1"/>
      <c r="BT23" s="1"/>
      <c r="BU23" s="1"/>
      <c r="BV23" s="1"/>
      <c r="BW23" s="1"/>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13">
        <f t="shared" ca="1" si="37"/>
        <v>0</v>
      </c>
      <c r="K24" s="1">
        <f ca="1">IF(Einstellungen!$G$9,J11,$AT11)</f>
        <v>0</v>
      </c>
      <c r="L24" s="29">
        <f ca="1">K24*$F$64+(AU11+$H$65)*$F$65*Einstellungen!$G$14+AT11*$F$66*Einstellungen!$G$19+AX11*$F$67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64">
        <f>IF($C24="",0,COUNTIF(Playoffs!$U$12:$U$17,$C24))</f>
        <v>0</v>
      </c>
      <c r="AE24" s="29"/>
      <c r="AF24" s="764"/>
      <c r="AG24" s="764"/>
      <c r="AH24" s="781"/>
      <c r="AI24" s="764"/>
      <c r="BS24" s="1"/>
      <c r="BT24" s="1"/>
      <c r="BU24" s="1"/>
      <c r="BV24" s="1"/>
      <c r="BW24" s="1"/>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13">
        <f t="shared" ca="1" si="37"/>
        <v>0</v>
      </c>
      <c r="K25" s="1">
        <f ca="1">IF(Einstellungen!$G$9,J12,$AT12)</f>
        <v>0</v>
      </c>
      <c r="L25" s="29">
        <f ca="1">K25*$F$64+(AU12+$H$65)*$F$65*Einstellungen!$G$14+AT12*$F$66*Einstellungen!$G$19+AX12*$F$67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64">
        <f>IF($C25="",0,COUNTIF(Playoffs!$U$12:$U$17,$C25))</f>
        <v>0</v>
      </c>
      <c r="AE25" s="29"/>
      <c r="AF25" s="764"/>
      <c r="AG25" s="764"/>
      <c r="AH25" s="781"/>
      <c r="AI25" s="764"/>
      <c r="BS25" s="1"/>
      <c r="BT25" s="1"/>
      <c r="BU25" s="1"/>
      <c r="BV25" s="1"/>
      <c r="BW25" s="1"/>
    </row>
    <row r="26" spans="2:80" s="2" customFormat="1" ht="12.75" thickTop="1" x14ac:dyDescent="0.2">
      <c r="O26" s="1"/>
      <c r="P26" s="1"/>
      <c r="Q26" s="1"/>
      <c r="R26" s="1"/>
      <c r="S26" s="1"/>
      <c r="T26" s="1"/>
      <c r="U26" s="1"/>
      <c r="V26" s="1"/>
      <c r="BS26" s="1"/>
      <c r="BT26" s="1"/>
      <c r="BU26" s="1"/>
      <c r="BV26" s="1"/>
      <c r="BW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444</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13"/>
      <c r="BR29" s="5" t="s">
        <v>94</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1"/>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1. FC Riedwald</v>
      </c>
      <c r="BS30" s="7"/>
      <c r="BT30" s="8">
        <f t="shared" ref="BT30:CA30" ca="1" si="55">SUMIFS($AH$64:$AH$135,$V$64:$V$135,$BR30,$W$64:$W$135,BT$29)+SUMIFS($AI$64:$AI$135,$W$64:$W$135,$BR30,$V$64:$V$135,BT$29)</f>
        <v>35</v>
      </c>
      <c r="BU30" s="8">
        <f t="shared" ca="1" si="55"/>
        <v>34</v>
      </c>
      <c r="BV30" s="8">
        <f t="shared" ca="1" si="55"/>
        <v>50</v>
      </c>
      <c r="BW30" s="8">
        <f t="shared" ca="1" si="55"/>
        <v>69</v>
      </c>
      <c r="BX30" s="8">
        <f t="shared" ca="1" si="55"/>
        <v>0</v>
      </c>
      <c r="BY30" s="8">
        <f t="shared" ca="1" si="55"/>
        <v>0</v>
      </c>
      <c r="BZ30" s="8">
        <f t="shared" ca="1" si="55"/>
        <v>0</v>
      </c>
      <c r="CA30" s="8">
        <f t="shared" ca="1" si="55"/>
        <v>0</v>
      </c>
      <c r="CB30" s="4"/>
    </row>
    <row r="31" spans="2:80" s="2" customFormat="1" x14ac:dyDescent="0.2">
      <c r="C31" s="2" t="str">
        <f t="shared" ref="C31:C38" si="56">$Q65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FC Barcelona</v>
      </c>
      <c r="BS31" s="9">
        <f t="shared" ref="BS31:BS38" ca="1" si="57">SUMIFS($AH$64:$AH$135,$V$64:$V$135,$BR31,$W$64:$W$135,BS$29)+SUMIFS($AI$64:$AI$135,$W$64:$W$135,$BR31,$V$64:$V$135,BS$29)</f>
        <v>50</v>
      </c>
      <c r="BT31" s="7"/>
      <c r="BU31" s="8">
        <f t="shared" ref="BU31:CA31" ca="1" si="58">SUMIFS($AH$64:$AH$135,$V$64:$V$135,$BR31,$W$64:$W$135,BU$29)+SUMIFS($AI$64:$AI$135,$W$64:$W$135,$BR31,$V$64:$V$135,BU$29)</f>
        <v>69</v>
      </c>
      <c r="BV31" s="8">
        <f t="shared" ca="1" si="58"/>
        <v>45</v>
      </c>
      <c r="BW31" s="8">
        <f t="shared" ca="1" si="58"/>
        <v>69</v>
      </c>
      <c r="BX31" s="8">
        <f t="shared" ca="1" si="58"/>
        <v>0</v>
      </c>
      <c r="BY31" s="8">
        <f t="shared" ca="1" si="58"/>
        <v>0</v>
      </c>
      <c r="BZ31" s="8">
        <f t="shared" ca="1" si="58"/>
        <v>0</v>
      </c>
      <c r="CA31" s="8">
        <f t="shared" ca="1" si="58"/>
        <v>0</v>
      </c>
      <c r="CB31" s="4"/>
    </row>
    <row r="32" spans="2:80" s="2" customFormat="1" x14ac:dyDescent="0.2">
      <c r="C32" s="2" t="str">
        <f t="shared" si="56"/>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Eintracht Frankfurt</v>
      </c>
      <c r="BS32" s="9">
        <f t="shared" ca="1" si="57"/>
        <v>50</v>
      </c>
      <c r="BT32" s="9">
        <f t="shared" ref="BT32:BT38" ca="1" si="59">SUMIFS($AH$64:$AH$135,$V$64:$V$135,$BR32,$W$64:$W$135,BT$29)+SUMIFS($AI$64:$AI$135,$W$64:$W$135,$BR32,$V$64:$V$135,BT$29)</f>
        <v>72</v>
      </c>
      <c r="BU32" s="7"/>
      <c r="BV32" s="8">
        <f t="shared" ref="BV32:CA32" ca="1" si="60">SUMIFS($AH$64:$AH$135,$V$64:$V$135,$BR32,$W$64:$W$135,BV$29)+SUMIFS($AI$64:$AI$135,$W$64:$W$135,$BR32,$V$64:$V$135,BV$29)</f>
        <v>50</v>
      </c>
      <c r="BW32" s="8">
        <f t="shared" ca="1" si="60"/>
        <v>37</v>
      </c>
      <c r="BX32" s="8">
        <f t="shared" ca="1" si="60"/>
        <v>0</v>
      </c>
      <c r="BY32" s="8">
        <f t="shared" ca="1" si="60"/>
        <v>0</v>
      </c>
      <c r="BZ32" s="8">
        <f t="shared" ca="1" si="60"/>
        <v>0</v>
      </c>
      <c r="CA32" s="8">
        <f t="shared" ca="1" si="60"/>
        <v>0</v>
      </c>
      <c r="CB32" s="4"/>
    </row>
    <row r="33" spans="2:80" s="2" customFormat="1" x14ac:dyDescent="0.2">
      <c r="C33" s="2" t="str">
        <f t="shared" si="56"/>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Maibach 1822 eV</v>
      </c>
      <c r="BS33" s="9">
        <f t="shared" ca="1" si="57"/>
        <v>39</v>
      </c>
      <c r="BT33" s="9">
        <f t="shared" ca="1" si="59"/>
        <v>45</v>
      </c>
      <c r="BU33" s="9">
        <f t="shared" ref="BU33:BU38" ca="1" si="61">SUMIFS($AH$64:$AH$135,$V$64:$V$135,$BR33,$W$64:$W$135,BU$29)+SUMIFS($AI$64:$AI$135,$W$64:$W$135,$BR33,$V$64:$V$135,BU$29)</f>
        <v>44</v>
      </c>
      <c r="BV33" s="7"/>
      <c r="BW33" s="8">
        <f ca="1">SUMIFS($AH$64:$AH$135,$V$64:$V$135,$BR33,$W$64:$W$135,BW$29)+SUMIFS($AI$64:$AI$135,$W$64:$W$135,$BR33,$V$64:$V$135,BW$29)</f>
        <v>42</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VFB Essenheim</v>
      </c>
      <c r="BS34" s="9">
        <f t="shared" ca="1" si="57"/>
        <v>65</v>
      </c>
      <c r="BT34" s="9">
        <f t="shared" ca="1" si="59"/>
        <v>57</v>
      </c>
      <c r="BU34" s="9">
        <f t="shared" ca="1" si="61"/>
        <v>37</v>
      </c>
      <c r="BV34" s="9">
        <f ca="1">SUMIFS($AH$64:$AH$135,$V$64:$V$135,$BR34,$W$64:$W$135,BV$29)+SUMIFS($AI$64:$AI$135,$W$64:$W$135,$BR34,$V$64:$V$135,BV$29)</f>
        <v>46</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1. FC Riedwald</v>
      </c>
      <c r="BS41" s="7"/>
      <c r="BT41" s="8">
        <f ca="1">BT30-BS31</f>
        <v>-15</v>
      </c>
      <c r="BU41" s="8">
        <f ca="1">BU30-BS32</f>
        <v>-16</v>
      </c>
      <c r="BV41" s="8">
        <f ca="1">BV30-BS33</f>
        <v>11</v>
      </c>
      <c r="BW41" s="8">
        <f ca="1">BW30-BS34</f>
        <v>4</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FC Barcelona</v>
      </c>
      <c r="BS42" s="9">
        <f ca="1">IF(BT41="","",-1*BT41)</f>
        <v>15</v>
      </c>
      <c r="BT42" s="7"/>
      <c r="BU42" s="8">
        <f ca="1">BU31-BT32</f>
        <v>-3</v>
      </c>
      <c r="BV42" s="8">
        <f ca="1">BV31-BT33</f>
        <v>0</v>
      </c>
      <c r="BW42" s="8">
        <f ca="1">BW31-BT34</f>
        <v>12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Eintracht Frankfurt</v>
      </c>
      <c r="BS43" s="9">
        <f ca="1">IF(BU41="","",-1*BU41)</f>
        <v>16</v>
      </c>
      <c r="BT43" s="9">
        <f ca="1">IF(BU42="","",-1*BU42)</f>
        <v>3</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Maibach 1822 eV</v>
      </c>
      <c r="BS44" s="9">
        <f ca="1">IF(BV41="","",-1*BV41)</f>
        <v>-11</v>
      </c>
      <c r="BT44" s="9">
        <f ca="1">IF(BV42="","",-1*BV42)</f>
        <v>0</v>
      </c>
      <c r="BU44" s="9">
        <f ca="1">IF(BV43="","",-1*BV43)</f>
        <v>-6</v>
      </c>
      <c r="BV44" s="7"/>
      <c r="BW44" s="8">
        <f ca="1">BW33-BV34</f>
        <v>-4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VFB Essenheim</v>
      </c>
      <c r="BS45" s="9">
        <f ca="1">IF(BW41="","",-1*BW41)</f>
        <v>-4</v>
      </c>
      <c r="BT45" s="9">
        <f ca="1">IF(BW42="","",-1*BW42)</f>
        <v>-12</v>
      </c>
      <c r="BU45" s="9">
        <f ca="1">IF(BW43="","",-1*BW43)</f>
        <v>0</v>
      </c>
      <c r="BV45" s="9">
        <f ca="1">IF(BW44="","",-1*BW44)</f>
        <v>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1. FC Riedwald</v>
      </c>
      <c r="BS52" s="7"/>
      <c r="BT52" s="8">
        <f t="shared" ref="BT52:CA52" ca="1" si="65">SUMIFS($AJ$64:$AJ$135,$V$64:$V$135,$BR52,$W$64:$W$135,BT$51)+SUMIFS($AK$64:$AK$135,$W$64:$W$135,$BR52,$V$64:$V$135,BT$51)</f>
        <v>0</v>
      </c>
      <c r="BU52" s="8">
        <f t="shared" ca="1" si="65"/>
        <v>0</v>
      </c>
      <c r="BV52" s="8">
        <f t="shared" ca="1" si="65"/>
        <v>2</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FC Barcelona</v>
      </c>
      <c r="BS53" s="9">
        <f t="shared" ref="BS53:BS60" ca="1" si="66">SUMIFS($AJ$64:$AJ$135,$V$64:$V$135,$BR53,$W$64:$W$135,BS$51)+SUMIFS($AK$64:$AK$135,$W$64:$W$135,$BR53,$V$64:$V$135,BS$51)</f>
        <v>2</v>
      </c>
      <c r="BT53" s="7"/>
      <c r="BU53" s="8">
        <f t="shared" ref="BU53:CA53" ca="1" si="67">SUMIFS($AJ$64:$AJ$135,$V$64:$V$135,$BR53,$W$64:$W$135,BU$51)+SUMIFS($AK$64:$AK$135,$W$64:$W$135,$BR53,$V$64:$V$135,BU$51)</f>
        <v>1</v>
      </c>
      <c r="BV53" s="8">
        <f t="shared" ca="1" si="67"/>
        <v>1</v>
      </c>
      <c r="BW53" s="8">
        <f t="shared" ca="1" si="67"/>
        <v>2</v>
      </c>
      <c r="BX53" s="8">
        <f t="shared" ca="1" si="67"/>
        <v>0</v>
      </c>
      <c r="BY53" s="8">
        <f t="shared" ca="1" si="67"/>
        <v>0</v>
      </c>
      <c r="BZ53" s="8">
        <f t="shared" ca="1" si="67"/>
        <v>0</v>
      </c>
      <c r="CA53" s="8">
        <f t="shared" ca="1" si="67"/>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Eintracht Frankfurt</v>
      </c>
      <c r="BS54" s="9">
        <f t="shared" ca="1" si="66"/>
        <v>2</v>
      </c>
      <c r="BT54" s="9">
        <f t="shared" ref="BT54:BT60" ca="1" si="68">SUMIFS($AJ$64:$AJ$135,$V$64:$V$135,$BR54,$W$64:$W$135,BT$51)+SUMIFS($AK$64:$AK$135,$W$64:$W$135,$BR54,$V$64:$V$135,BT$51)</f>
        <v>2</v>
      </c>
      <c r="BU54" s="7"/>
      <c r="BV54" s="8">
        <f t="shared" ref="BV54:CA54" ca="1" si="69">SUMIFS($AJ$64:$AJ$135,$V$64:$V$135,$BR54,$W$64:$W$135,BV$51)+SUMIFS($AK$64:$AK$135,$W$64:$W$135,$BR54,$V$64:$V$135,BV$51)</f>
        <v>2</v>
      </c>
      <c r="BW54" s="8">
        <f t="shared" ca="1" si="69"/>
        <v>1</v>
      </c>
      <c r="BX54" s="8">
        <f t="shared" ca="1" si="69"/>
        <v>0</v>
      </c>
      <c r="BY54" s="8">
        <f t="shared" ca="1" si="69"/>
        <v>0</v>
      </c>
      <c r="BZ54" s="8">
        <f t="shared" ca="1" si="69"/>
        <v>0</v>
      </c>
      <c r="CA54" s="8">
        <f t="shared" ca="1" si="69"/>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Maibach 1822 eV</v>
      </c>
      <c r="BS55" s="9">
        <f t="shared" ca="1" si="66"/>
        <v>0</v>
      </c>
      <c r="BT55" s="9">
        <f t="shared" ca="1" si="68"/>
        <v>1</v>
      </c>
      <c r="BU55" s="9">
        <f t="shared" ref="BU55:BU60" ca="1" si="70">SUMIFS($AJ$64:$AJ$135,$V$64:$V$135,$BR55,$W$64:$W$135,BU$51)+SUMIFS($AK$64:$AK$135,$W$64:$W$135,$BR55,$V$64:$V$135,BU$51)</f>
        <v>0</v>
      </c>
      <c r="BV55" s="7"/>
      <c r="BW55" s="8">
        <f ca="1">SUMIFS($AJ$64:$AJ$135,$V$64:$V$135,$BR55,$W$64:$W$135,BW$51)+SUMIFS($AK$64:$AK$135,$W$64:$W$135,$BR55,$V$64:$V$135,BW$51)</f>
        <v>1</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VFB Essenheim</v>
      </c>
      <c r="BS56" s="9">
        <f t="shared" ca="1" si="66"/>
        <v>1</v>
      </c>
      <c r="BT56" s="9">
        <f t="shared" ca="1" si="68"/>
        <v>1</v>
      </c>
      <c r="BU56" s="9">
        <f t="shared" ca="1" si="70"/>
        <v>1</v>
      </c>
      <c r="BV56" s="9">
        <f ca="1">SUMIFS($AJ$64:$AJ$135,$V$64:$V$135,$BR56,$W$64:$W$135,BV$51)+SUMIFS($AK$64:$AK$135,$W$64:$W$135,$BR56,$V$64:$V$135,BV$51)</f>
        <v>1</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8"/>
        <v>0</v>
      </c>
      <c r="BU57" s="9">
        <f t="shared" ca="1" si="70"/>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8"/>
        <v>0</v>
      </c>
      <c r="BU58" s="9">
        <f t="shared" ca="1" si="70"/>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8"/>
        <v>0</v>
      </c>
      <c r="BU59" s="9">
        <f t="shared" ca="1" si="70"/>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8"/>
        <v>0</v>
      </c>
      <c r="BU60" s="9">
        <f t="shared" ca="1" si="70"/>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33" t="s">
        <v>366</v>
      </c>
      <c r="Y63" s="1033"/>
      <c r="Z63" s="69" t="s">
        <v>150</v>
      </c>
      <c r="AA63" s="69" t="s">
        <v>15</v>
      </c>
      <c r="AB63" s="69" t="s">
        <v>445</v>
      </c>
      <c r="AC63" s="762" t="s">
        <v>444</v>
      </c>
      <c r="AD63" s="1034" t="s">
        <v>367</v>
      </c>
      <c r="AE63" s="1034"/>
      <c r="AF63" s="1034" t="s">
        <v>374</v>
      </c>
      <c r="AG63" s="1034"/>
      <c r="AH63" s="1034" t="s">
        <v>445</v>
      </c>
      <c r="AI63" s="1034"/>
      <c r="AJ63" s="1030" t="s">
        <v>444</v>
      </c>
      <c r="AK63" s="1030"/>
      <c r="AL63" s="1034" t="s">
        <v>109</v>
      </c>
      <c r="AM63" s="1034"/>
      <c r="AN63" s="681"/>
    </row>
    <row r="64" spans="2:80" s="2" customFormat="1" ht="14.25" thickTop="1" thickBot="1" x14ac:dyDescent="0.25">
      <c r="F64" s="767">
        <v>1000000</v>
      </c>
      <c r="G64" s="770" t="s">
        <v>440</v>
      </c>
      <c r="P64" s="44" t="s">
        <v>6</v>
      </c>
      <c r="Q64" s="59" t="str">
        <f>IF(Planung!$C$7="","",Planung!$C$7)</f>
        <v>1. FC Riedwald</v>
      </c>
      <c r="U64" s="65" t="s">
        <v>6</v>
      </c>
      <c r="V64" s="39" t="str">
        <f ca="1">Planung!$L6</f>
        <v>VFB Essenheim</v>
      </c>
      <c r="W64" s="32" t="str">
        <f ca="1">Planung!$N6</f>
        <v>FC Barcelona</v>
      </c>
      <c r="X64" s="32">
        <f ca="1">IF(AND($AA64=1,Vorrunde!$I12&lt;&gt;"",Vorrunde!$K12&lt;&gt;"",ABS(Vorrunde!$I12-Vorrunde!$K12)&gt;1),Vorrunde!$I12,"")</f>
        <v>25</v>
      </c>
      <c r="Y64" s="33">
        <f ca="1">IF(AND($AA64=1,Vorrunde!$I12&lt;&gt;"",Vorrunde!$K12&lt;&gt;"",ABS(Vorrunde!$I12-Vorrunde!$K12)&gt;1),Vorrunde!$K12,"")</f>
        <v>19</v>
      </c>
      <c r="Z64" s="31" t="str">
        <f ca="1">V64&amp;W64</f>
        <v>VFB EssenheimFC Barcelona</v>
      </c>
      <c r="AA64" s="32">
        <f ca="1">IF(AND(V64&lt;&gt;"",W64&lt;&gt;"",V64&lt;&gt;W64,Vorrunde!$R12&lt;&gt;"",Vorrunde!$T12&lt;&gt;""),1,0)</f>
        <v>1</v>
      </c>
      <c r="AB64" s="139" t="str">
        <f ca="1">IF(AA64&gt;0,AH64&amp;Sprache!$E$109&amp;AI64,"")</f>
        <v>57 : 69</v>
      </c>
      <c r="AC64" s="140" t="str">
        <f ca="1">IF(AA64&gt;0,AJ64&amp;Sprache!$E$109&amp;AK64,"")</f>
        <v>1 : 2</v>
      </c>
      <c r="AD64" s="144">
        <f ca="1">IF(AND($AA64=1,Vorrunde!$L12&lt;&gt;"",Vorrunde!$N12&lt;&gt;"",ABS(Vorrunde!$L12-Vorrunde!$N12)&gt;1),Vorrunde!$L12,"")</f>
        <v>18</v>
      </c>
      <c r="AE64" s="140">
        <f ca="1">IF(AND($AA64=1,Vorrunde!$L12&lt;&gt;"",Vorrunde!$N12&lt;&gt;"",ABS(Vorrunde!$L12-Vorrunde!$N12)&gt;1),Vorrunde!$N12,"")</f>
        <v>25</v>
      </c>
      <c r="AF64" s="144">
        <f ca="1">IF(AND($AA64=1,Vorrunde!$O12&lt;&gt;"",Vorrunde!$Q12&lt;&gt;"",ABS(Vorrunde!$O12-Vorrunde!$Q12)&gt;1),Vorrunde!$O12,"")</f>
        <v>14</v>
      </c>
      <c r="AG64" s="140">
        <f ca="1">IF(AND($AA64=1,Vorrunde!$O12&lt;&gt;"",Vorrunde!$Q12&lt;&gt;"",ABS(Vorrunde!$O12-Vorrunde!$Q12)&gt;1),Vorrunde!$Q12,"")</f>
        <v>25</v>
      </c>
      <c r="AH64" s="144">
        <f ca="1">IF(AA64&gt;0,SUM(X64,AD64,AF64),"")</f>
        <v>57</v>
      </c>
      <c r="AI64" s="140">
        <f ca="1">IF(AA64&gt;0,SUM(Y64,AE64,AG64),"")</f>
        <v>69</v>
      </c>
      <c r="AJ64" s="144">
        <f ca="1">IF(Vorrunde!$R12="",0,Vorrunde!$R12)</f>
        <v>1</v>
      </c>
      <c r="AK64" s="140">
        <f ca="1">IF(Vorrunde!$T12="",0,Vorrunde!$T12)</f>
        <v>2</v>
      </c>
      <c r="AL64" s="144">
        <f ca="1">IF($AA64=0,"",IF($AJ64&gt;$AK64,Einstellungen!$C$4,IF($AJ64=$AK64,1,0)))</f>
        <v>0</v>
      </c>
      <c r="AM64" s="140">
        <f ca="1">IF($AA64=0,"",IF($AJ64&lt;$AK64,Einstellungen!$C$4,IF($AJ64=$AK64,1,0)))</f>
        <v>2</v>
      </c>
      <c r="AN64" s="676"/>
    </row>
    <row r="65" spans="2:40" s="2" customFormat="1" ht="13.5" thickBot="1" x14ac:dyDescent="0.25">
      <c r="F65" s="768">
        <v>1000</v>
      </c>
      <c r="G65" s="771" t="s">
        <v>441</v>
      </c>
      <c r="H65" s="766">
        <v>500</v>
      </c>
      <c r="I65" s="187" t="s">
        <v>439</v>
      </c>
      <c r="P65" s="45" t="s">
        <v>7</v>
      </c>
      <c r="Q65" s="60" t="str">
        <f>IF(Planung!$C$9="","",Planung!$C$9)</f>
        <v>FC Barcelona</v>
      </c>
      <c r="U65" s="66" t="s">
        <v>7</v>
      </c>
      <c r="V65" s="40" t="str">
        <f ca="1">Planung!$L7</f>
        <v>FC Grönlingen</v>
      </c>
      <c r="W65" s="13" t="str">
        <f ca="1">Planung!$N7</f>
        <v>Inter Mailand</v>
      </c>
      <c r="X65" s="13">
        <f ca="1">IF(AND($AA65=1,Vorrunde!$I13&lt;&gt;"",Vorrunde!$K13&lt;&gt;"",ABS(Vorrunde!$I13-Vorrunde!$K13)&gt;1),Vorrunde!$I13,"")</f>
        <v>16</v>
      </c>
      <c r="Y65" s="35">
        <f ca="1">IF(AND($AA65=1,Vorrunde!$I13&lt;&gt;"",Vorrunde!$K13&lt;&gt;"",ABS(Vorrunde!$I13-Vorrunde!$K13)&gt;1),Vorrunde!$K13,"")</f>
        <v>25</v>
      </c>
      <c r="Z65" s="34" t="str">
        <f t="shared" ref="Z65:Z73" ca="1" si="71">V65&amp;W65</f>
        <v>FC GrönlingenInter Mailand</v>
      </c>
      <c r="AA65" s="13">
        <f ca="1">IF(AND(V65&lt;&gt;"",W65&lt;&gt;"",V65&lt;&gt;W65,Vorrunde!$R13&lt;&gt;"",Vorrunde!$T13&lt;&gt;""),1,0)</f>
        <v>1</v>
      </c>
      <c r="AB65" s="13" t="str">
        <f ca="1">IF(AA65&gt;0,AH65&amp;Sprache!$E$109&amp;AI65,"")</f>
        <v>36 : 50</v>
      </c>
      <c r="AC65" s="141" t="str">
        <f ca="1">IF(AA65&gt;0,AJ65&amp;Sprache!$E$109&amp;AK65,"")</f>
        <v>0 : 2</v>
      </c>
      <c r="AD65" s="145">
        <f ca="1">IF(AND($AA65=1,Vorrunde!$L13&lt;&gt;"",Vorrunde!$N13&lt;&gt;"",ABS(Vorrunde!$L13-Vorrunde!$N13)&gt;1),Vorrunde!$L13,"")</f>
        <v>20</v>
      </c>
      <c r="AE65" s="141">
        <f ca="1">IF(AND($AA65=1,Vorrunde!$L13&lt;&gt;"",Vorrunde!$N13&lt;&gt;"",ABS(Vorrunde!$L13-Vorrunde!$N13)&gt;1),Vorrunde!$N13,"")</f>
        <v>25</v>
      </c>
      <c r="AF65" s="145" t="str">
        <f ca="1">IF(AND($AA65=1,Vorrunde!$O13&lt;&gt;"",Vorrunde!$Q13&lt;&gt;"",ABS(Vorrunde!$O13-Vorrunde!$Q13)&gt;1),Vorrunde!$O13,"")</f>
        <v/>
      </c>
      <c r="AG65" s="141" t="str">
        <f ca="1">IF(AND($AA65=1,Vorrunde!$O13&lt;&gt;"",Vorrunde!$Q13&lt;&gt;"",ABS(Vorrunde!$O13-Vorrunde!$Q13)&gt;1),Vorrunde!$Q13,"")</f>
        <v/>
      </c>
      <c r="AH65" s="145">
        <f t="shared" ref="AH65:AH123" ca="1" si="72">IF(AA65&gt;0,SUM(X65,AD65,AF65),"")</f>
        <v>36</v>
      </c>
      <c r="AI65" s="141">
        <f t="shared" ref="AI65:AI123" ca="1" si="73">IF(AA65&gt;0,SUM(Y65,AE65,AG65),"")</f>
        <v>50</v>
      </c>
      <c r="AJ65" s="145">
        <f ca="1">IF(Vorrunde!$R13="",0,Vorrunde!$R13)</f>
        <v>0</v>
      </c>
      <c r="AK65" s="141">
        <f ca="1">IF(Vorrunde!$T13="",0,Vorrunde!$T13)</f>
        <v>2</v>
      </c>
      <c r="AL65" s="145">
        <f ca="1">IF($AA65=0,"",IF($AJ65&gt;$AK65,Einstellungen!$C$4,IF($AJ65=$AK65,1,0)))</f>
        <v>0</v>
      </c>
      <c r="AM65" s="141">
        <f ca="1">IF($AA65=0,"",IF($AJ65&lt;$AK65,Einstellungen!$C$4,IF($AJ65=$AK65,1,0)))</f>
        <v>2</v>
      </c>
      <c r="AN65" s="13"/>
    </row>
    <row r="66" spans="2:40" s="2" customFormat="1" ht="12.75" x14ac:dyDescent="0.2">
      <c r="F66" s="768">
        <v>1</v>
      </c>
      <c r="G66" s="771" t="s">
        <v>442</v>
      </c>
      <c r="P66" s="45" t="s">
        <v>8</v>
      </c>
      <c r="Q66" s="60" t="str">
        <f>IF(Planung!$C$11="","",Planung!$C$11)</f>
        <v>Eintracht Frankfurt</v>
      </c>
      <c r="U66" s="66" t="s">
        <v>8</v>
      </c>
      <c r="V66" s="40" t="str">
        <f ca="1">Planung!$L8</f>
        <v>1. FC Nürnberg</v>
      </c>
      <c r="W66" s="13" t="str">
        <f ca="1">Planung!$N8</f>
        <v>Real Madrid</v>
      </c>
      <c r="X66" s="13">
        <f ca="1">IF(AND($AA66=1,Vorrunde!$I14&lt;&gt;"",Vorrunde!$K14&lt;&gt;"",ABS(Vorrunde!$I14-Vorrunde!$K14)&gt;1),Vorrunde!$I14,"")</f>
        <v>21</v>
      </c>
      <c r="Y66" s="35">
        <f ca="1">IF(AND($AA66=1,Vorrunde!$I14&lt;&gt;"",Vorrunde!$K14&lt;&gt;"",ABS(Vorrunde!$I14-Vorrunde!$K14)&gt;1),Vorrunde!$K14,"")</f>
        <v>25</v>
      </c>
      <c r="Z66" s="34" t="str">
        <f t="shared" ca="1" si="71"/>
        <v>1. FC NürnbergReal Madrid</v>
      </c>
      <c r="AA66" s="13">
        <f ca="1">IF(AND(V66&lt;&gt;"",W66&lt;&gt;"",V66&lt;&gt;W66,Vorrunde!$R14&lt;&gt;"",Vorrunde!$T14&lt;&gt;""),1,0)</f>
        <v>1</v>
      </c>
      <c r="AB66" s="13" t="str">
        <f ca="1">IF(AA66&gt;0,AH66&amp;Sprache!$E$109&amp;AI66,"")</f>
        <v>40 : 50</v>
      </c>
      <c r="AC66" s="141" t="str">
        <f ca="1">IF(AA66&gt;0,AJ66&amp;Sprache!$E$109&amp;AK66,"")</f>
        <v>0 : 2</v>
      </c>
      <c r="AD66" s="145">
        <f ca="1">IF(AND($AA66=1,Vorrunde!$L14&lt;&gt;"",Vorrunde!$N14&lt;&gt;"",ABS(Vorrunde!$L14-Vorrunde!$N14)&gt;1),Vorrunde!$L14,"")</f>
        <v>19</v>
      </c>
      <c r="AE66" s="141">
        <f ca="1">IF(AND($AA66=1,Vorrunde!$L14&lt;&gt;"",Vorrunde!$N14&lt;&gt;"",ABS(Vorrunde!$L14-Vorrunde!$N14)&gt;1),Vorrunde!$N14,"")</f>
        <v>25</v>
      </c>
      <c r="AF66" s="145" t="str">
        <f ca="1">IF(AND($AA66=1,Vorrunde!$O14&lt;&gt;"",Vorrunde!$Q14&lt;&gt;"",ABS(Vorrunde!$O14-Vorrunde!$Q14)&gt;1),Vorrunde!$O14,"")</f>
        <v/>
      </c>
      <c r="AG66" s="141" t="str">
        <f ca="1">IF(AND($AA66=1,Vorrunde!$O14&lt;&gt;"",Vorrunde!$Q14&lt;&gt;"",ABS(Vorrunde!$O14-Vorrunde!$Q14)&gt;1),Vorrunde!$Q14,"")</f>
        <v/>
      </c>
      <c r="AH66" s="145">
        <f t="shared" ca="1" si="72"/>
        <v>40</v>
      </c>
      <c r="AI66" s="141">
        <f t="shared" ca="1" si="73"/>
        <v>50</v>
      </c>
      <c r="AJ66" s="145">
        <f ca="1">IF(Vorrunde!$R14="",0,Vorrunde!$R14)</f>
        <v>0</v>
      </c>
      <c r="AK66" s="141">
        <f ca="1">IF(Vorrunde!$T14="",0,Vorrunde!$T14)</f>
        <v>2</v>
      </c>
      <c r="AL66" s="145">
        <f ca="1">IF($AA66=0,"",IF($AJ66&gt;$AK66,Einstellungen!$C$4,IF($AJ66=$AK66,1,0)))</f>
        <v>0</v>
      </c>
      <c r="AM66" s="141">
        <f ca="1">IF($AA66=0,"",IF($AJ66&lt;$AK66,Einstellungen!$C$4,IF($AJ66=$AK66,1,0)))</f>
        <v>2</v>
      </c>
      <c r="AN66" s="13"/>
    </row>
    <row r="67" spans="2:40" s="2" customFormat="1" ht="12.75" thickBot="1" x14ac:dyDescent="0.25">
      <c r="F67" s="769">
        <v>1E-3</v>
      </c>
      <c r="G67" s="772" t="s">
        <v>443</v>
      </c>
      <c r="P67" s="45" t="s">
        <v>9</v>
      </c>
      <c r="Q67" s="60" t="str">
        <f>IF(Planung!$C$13="","",Planung!$C$13)</f>
        <v>Maibach 1822 eV</v>
      </c>
      <c r="U67" s="66" t="s">
        <v>9</v>
      </c>
      <c r="V67" s="40" t="str">
        <f ca="1">Planung!$L9</f>
        <v>SV Oberredenburg</v>
      </c>
      <c r="W67" s="13" t="str">
        <f ca="1">Planung!$N9</f>
        <v>Paris St. Germain</v>
      </c>
      <c r="X67" s="13">
        <f ca="1">IF(AND($AA67=1,Vorrunde!$I15&lt;&gt;"",Vorrunde!$K15&lt;&gt;"",ABS(Vorrunde!$I15-Vorrunde!$K15)&gt;1),Vorrunde!$I15,"")</f>
        <v>22</v>
      </c>
      <c r="Y67" s="35">
        <f ca="1">IF(AND($AA67=1,Vorrunde!$I15&lt;&gt;"",Vorrunde!$K15&lt;&gt;"",ABS(Vorrunde!$I15-Vorrunde!$K15)&gt;1),Vorrunde!$K15,"")</f>
        <v>25</v>
      </c>
      <c r="Z67" s="34" t="str">
        <f t="shared" ca="1" si="71"/>
        <v>SV OberredenburgParis St. Germain</v>
      </c>
      <c r="AA67" s="13">
        <f ca="1">IF(AND(V67&lt;&gt;"",W67&lt;&gt;"",V67&lt;&gt;W67,Vorrunde!$R15&lt;&gt;"",Vorrunde!$T15&lt;&gt;""),1,0)</f>
        <v>1</v>
      </c>
      <c r="AB67" s="13" t="str">
        <f ca="1">IF(AA67&gt;0,AH67&amp;Sprache!$E$109&amp;AI67,"")</f>
        <v>39 : 50</v>
      </c>
      <c r="AC67" s="141" t="str">
        <f ca="1">IF(AA67&gt;0,AJ67&amp;Sprache!$E$109&amp;AK67,"")</f>
        <v>0 : 2</v>
      </c>
      <c r="AD67" s="145">
        <f ca="1">IF(AND($AA67=1,Vorrunde!$L15&lt;&gt;"",Vorrunde!$N15&lt;&gt;"",ABS(Vorrunde!$L15-Vorrunde!$N15)&gt;1),Vorrunde!$L15,"")</f>
        <v>17</v>
      </c>
      <c r="AE67" s="141">
        <f ca="1">IF(AND($AA67=1,Vorrunde!$L15&lt;&gt;"",Vorrunde!$N15&lt;&gt;"",ABS(Vorrunde!$L15-Vorrunde!$N15)&gt;1),Vorrunde!$N15,"")</f>
        <v>25</v>
      </c>
      <c r="AF67" s="145" t="str">
        <f ca="1">IF(AND($AA67=1,Vorrunde!$O15&lt;&gt;"",Vorrunde!$Q15&lt;&gt;"",ABS(Vorrunde!$O15-Vorrunde!$Q15)&gt;1),Vorrunde!$O15,"")</f>
        <v/>
      </c>
      <c r="AG67" s="141" t="str">
        <f ca="1">IF(AND($AA67=1,Vorrunde!$O15&lt;&gt;"",Vorrunde!$Q15&lt;&gt;"",ABS(Vorrunde!$O15-Vorrunde!$Q15)&gt;1),Vorrunde!$Q15,"")</f>
        <v/>
      </c>
      <c r="AH67" s="145">
        <f t="shared" ca="1" si="72"/>
        <v>39</v>
      </c>
      <c r="AI67" s="141">
        <f t="shared" ca="1" si="73"/>
        <v>50</v>
      </c>
      <c r="AJ67" s="145">
        <f ca="1">IF(Vorrunde!$R15="",0,Vorrunde!$R15)</f>
        <v>0</v>
      </c>
      <c r="AK67" s="141">
        <f ca="1">IF(Vorrunde!$T15="",0,Vorrunde!$T15)</f>
        <v>2</v>
      </c>
      <c r="AL67" s="145">
        <f ca="1">IF($AA67=0,"",IF($AJ67&gt;$AK67,Einstellungen!$C$4,IF($AJ67=$AK67,1,0)))</f>
        <v>0</v>
      </c>
      <c r="AM67" s="141">
        <f ca="1">IF($AA67=0,"",IF($AJ67&lt;$AK67,Einstellungen!$C$4,IF($AJ67=$AK67,1,0)))</f>
        <v>2</v>
      </c>
      <c r="AN67" s="13"/>
    </row>
    <row r="68" spans="2:40" s="2" customFormat="1" x14ac:dyDescent="0.2">
      <c r="P68" s="45" t="s">
        <v>10</v>
      </c>
      <c r="Q68" s="60" t="str">
        <f>IF(Planung!$C$15="","",Planung!$C$15)</f>
        <v>VFB Essenheim</v>
      </c>
      <c r="U68" s="66" t="s">
        <v>10</v>
      </c>
      <c r="V68" s="40" t="str">
        <f ca="1">Planung!$L10</f>
        <v>Eintracht Frankfurt</v>
      </c>
      <c r="W68" s="13" t="str">
        <f ca="1">Planung!$N10</f>
        <v>Maibach 1822 eV</v>
      </c>
      <c r="X68" s="13">
        <f ca="1">IF(AND($AA68=1,Vorrunde!$I16&lt;&gt;"",Vorrunde!$K16&lt;&gt;"",ABS(Vorrunde!$I16-Vorrunde!$K16)&gt;1),Vorrunde!$I16,"")</f>
        <v>25</v>
      </c>
      <c r="Y68" s="35">
        <f ca="1">IF(AND($AA68=1,Vorrunde!$I16&lt;&gt;"",Vorrunde!$K16&lt;&gt;"",ABS(Vorrunde!$I16-Vorrunde!$K16)&gt;1),Vorrunde!$K16,"")</f>
        <v>23</v>
      </c>
      <c r="Z68" s="34" t="str">
        <f t="shared" ca="1" si="71"/>
        <v>Eintracht FrankfurtMaibach 1822 eV</v>
      </c>
      <c r="AA68" s="13">
        <f ca="1">IF(AND(V68&lt;&gt;"",W68&lt;&gt;"",V68&lt;&gt;W68,Vorrunde!$R16&lt;&gt;"",Vorrunde!$T16&lt;&gt;""),1,0)</f>
        <v>1</v>
      </c>
      <c r="AB68" s="13" t="str">
        <f ca="1">IF(AA68&gt;0,AH68&amp;Sprache!$E$109&amp;AI68,"")</f>
        <v>50 : 44</v>
      </c>
      <c r="AC68" s="141" t="str">
        <f ca="1">IF(AA68&gt;0,AJ68&amp;Sprache!$E$109&amp;AK68,"")</f>
        <v>2 : 0</v>
      </c>
      <c r="AD68" s="145">
        <f ca="1">IF(AND($AA68=1,Vorrunde!$L16&lt;&gt;"",Vorrunde!$N16&lt;&gt;"",ABS(Vorrunde!$L16-Vorrunde!$N16)&gt;1),Vorrunde!$L16,"")</f>
        <v>25</v>
      </c>
      <c r="AE68" s="141">
        <f ca="1">IF(AND($AA68=1,Vorrunde!$L16&lt;&gt;"",Vorrunde!$N16&lt;&gt;"",ABS(Vorrunde!$L16-Vorrunde!$N16)&gt;1),Vorrunde!$N16,"")</f>
        <v>21</v>
      </c>
      <c r="AF68" s="145" t="str">
        <f ca="1">IF(AND($AA68=1,Vorrunde!$O16&lt;&gt;"",Vorrunde!$Q16&lt;&gt;"",ABS(Vorrunde!$O16-Vorrunde!$Q16)&gt;1),Vorrunde!$O16,"")</f>
        <v/>
      </c>
      <c r="AG68" s="141" t="str">
        <f ca="1">IF(AND($AA68=1,Vorrunde!$O16&lt;&gt;"",Vorrunde!$Q16&lt;&gt;"",ABS(Vorrunde!$O16-Vorrunde!$Q16)&gt;1),Vorrunde!$Q16,"")</f>
        <v/>
      </c>
      <c r="AH68" s="145">
        <f t="shared" ca="1" si="72"/>
        <v>50</v>
      </c>
      <c r="AI68" s="141">
        <f t="shared" ca="1" si="73"/>
        <v>44</v>
      </c>
      <c r="AJ68" s="145">
        <f ca="1">IF(Vorrunde!$R16="",0,Vorrunde!$R16)</f>
        <v>2</v>
      </c>
      <c r="AK68" s="141">
        <f ca="1">IF(Vorrunde!$T16="",0,Vorrunde!$T16)</f>
        <v>0</v>
      </c>
      <c r="AL68" s="145">
        <f ca="1">IF($AA68=0,"",IF($AJ68&gt;$AK68,Einstellungen!$C$4,IF($AJ68=$AK68,1,0)))</f>
        <v>2</v>
      </c>
      <c r="AM68" s="141">
        <f ca="1">IF($AA68=0,"",IF($AJ68&lt;$AK68,Einstellungen!$C$4,IF($AJ68=$AK68,1,0)))</f>
        <v>0</v>
      </c>
      <c r="AN68" s="13"/>
    </row>
    <row r="69" spans="2:40" s="2" customFormat="1" x14ac:dyDescent="0.2">
      <c r="P69" s="45" t="s">
        <v>11</v>
      </c>
      <c r="Q69" s="60" t="str">
        <f>IF(Planung!$C$17="","",Planung!$C$17)</f>
        <v/>
      </c>
      <c r="U69" s="66" t="s">
        <v>11</v>
      </c>
      <c r="V69" s="40" t="str">
        <f ca="1">Planung!$L11</f>
        <v>SSV Wildbach</v>
      </c>
      <c r="W69" s="13" t="str">
        <f ca="1">Planung!$N11</f>
        <v>Manchester City</v>
      </c>
      <c r="X69" s="13">
        <f ca="1">IF(AND($AA69=1,Vorrunde!$I17&lt;&gt;"",Vorrunde!$K17&lt;&gt;"",ABS(Vorrunde!$I17-Vorrunde!$K17)&gt;1),Vorrunde!$I17,"")</f>
        <v>18</v>
      </c>
      <c r="Y69" s="35">
        <f ca="1">IF(AND($AA69=1,Vorrunde!$I17&lt;&gt;"",Vorrunde!$K17&lt;&gt;"",ABS(Vorrunde!$I17-Vorrunde!$K17)&gt;1),Vorrunde!$K17,"")</f>
        <v>25</v>
      </c>
      <c r="Z69" s="34" t="str">
        <f t="shared" ca="1" si="71"/>
        <v>SSV WildbachManchester City</v>
      </c>
      <c r="AA69" s="13">
        <f ca="1">IF(AND(V69&lt;&gt;"",W69&lt;&gt;"",V69&lt;&gt;W69,Vorrunde!$R17&lt;&gt;"",Vorrunde!$T17&lt;&gt;""),1,0)</f>
        <v>1</v>
      </c>
      <c r="AB69" s="13" t="str">
        <f ca="1">IF(AA69&gt;0,AH69&amp;Sprache!$E$109&amp;AI69,"")</f>
        <v>40 : 50</v>
      </c>
      <c r="AC69" s="141" t="str">
        <f ca="1">IF(AA69&gt;0,AJ69&amp;Sprache!$E$109&amp;AK69,"")</f>
        <v>0 : 2</v>
      </c>
      <c r="AD69" s="145">
        <f ca="1">IF(AND($AA69=1,Vorrunde!$L17&lt;&gt;"",Vorrunde!$N17&lt;&gt;"",ABS(Vorrunde!$L17-Vorrunde!$N17)&gt;1),Vorrunde!$L17,"")</f>
        <v>22</v>
      </c>
      <c r="AE69" s="141">
        <f ca="1">IF(AND($AA69=1,Vorrunde!$L17&lt;&gt;"",Vorrunde!$N17&lt;&gt;"",ABS(Vorrunde!$L17-Vorrunde!$N17)&gt;1),Vorrunde!$N17,"")</f>
        <v>25</v>
      </c>
      <c r="AF69" s="145" t="str">
        <f ca="1">IF(AND($AA69=1,Vorrunde!$O17&lt;&gt;"",Vorrunde!$Q17&lt;&gt;"",ABS(Vorrunde!$O17-Vorrunde!$Q17)&gt;1),Vorrunde!$O17,"")</f>
        <v/>
      </c>
      <c r="AG69" s="141" t="str">
        <f ca="1">IF(AND($AA69=1,Vorrunde!$O17&lt;&gt;"",Vorrunde!$Q17&lt;&gt;"",ABS(Vorrunde!$O17-Vorrunde!$Q17)&gt;1),Vorrunde!$Q17,"")</f>
        <v/>
      </c>
      <c r="AH69" s="145">
        <f t="shared" ca="1" si="72"/>
        <v>40</v>
      </c>
      <c r="AI69" s="141">
        <f t="shared" ca="1" si="73"/>
        <v>50</v>
      </c>
      <c r="AJ69" s="145">
        <f ca="1">IF(Vorrunde!$R17="",0,Vorrunde!$R17)</f>
        <v>0</v>
      </c>
      <c r="AK69" s="141">
        <f ca="1">IF(Vorrunde!$T17="",0,Vorrunde!$T17)</f>
        <v>2</v>
      </c>
      <c r="AL69" s="145">
        <f ca="1">IF($AA69=0,"",IF($AJ69&gt;$AK69,Einstellungen!$C$4,IF($AJ69=$AK69,1,0)))</f>
        <v>0</v>
      </c>
      <c r="AM69" s="141">
        <f ca="1">IF($AA69=0,"",IF($AJ69&lt;$AK69,Einstellungen!$C$4,IF($AJ69=$AK69,1,0)))</f>
        <v>2</v>
      </c>
      <c r="AN69" s="13"/>
    </row>
    <row r="70" spans="2:40" s="2" customFormat="1" x14ac:dyDescent="0.2">
      <c r="P70" s="45"/>
      <c r="Q70" s="60" t="str">
        <f>""</f>
        <v/>
      </c>
      <c r="U70" s="66" t="s">
        <v>16</v>
      </c>
      <c r="V70" s="40" t="str">
        <f ca="1">Planung!$L12</f>
        <v>Borussia Dortmund</v>
      </c>
      <c r="W70" s="13" t="str">
        <f ca="1">Planung!$N12</f>
        <v>FSV Rauen</v>
      </c>
      <c r="X70" s="13">
        <f ca="1">IF(AND($AA70=1,Vorrunde!$I18&lt;&gt;"",Vorrunde!$K18&lt;&gt;"",ABS(Vorrunde!$I18-Vorrunde!$K18)&gt;1),Vorrunde!$I18,"")</f>
        <v>20</v>
      </c>
      <c r="Y70" s="35">
        <f ca="1">IF(AND($AA70=1,Vorrunde!$I18&lt;&gt;"",Vorrunde!$K18&lt;&gt;"",ABS(Vorrunde!$I18-Vorrunde!$K18)&gt;1),Vorrunde!$K18,"")</f>
        <v>25</v>
      </c>
      <c r="Z70" s="34" t="str">
        <f t="shared" ca="1" si="71"/>
        <v>Borussia DortmundFSV Rauen</v>
      </c>
      <c r="AA70" s="13">
        <f ca="1">IF(AND(V70&lt;&gt;"",W70&lt;&gt;"",V70&lt;&gt;W70,Vorrunde!$R18&lt;&gt;"",Vorrunde!$T18&lt;&gt;""),1,0)</f>
        <v>1</v>
      </c>
      <c r="AB70" s="13" t="str">
        <f ca="1">IF(AA70&gt;0,AH70&amp;Sprache!$E$109&amp;AI70,"")</f>
        <v>70 : 61</v>
      </c>
      <c r="AC70" s="141" t="str">
        <f ca="1">IF(AA70&gt;0,AJ70&amp;Sprache!$E$109&amp;AK70,"")</f>
        <v>2 : 1</v>
      </c>
      <c r="AD70" s="145">
        <f ca="1">IF(AND($AA70=1,Vorrunde!$L18&lt;&gt;"",Vorrunde!$N18&lt;&gt;"",ABS(Vorrunde!$L18-Vorrunde!$N18)&gt;1),Vorrunde!$L18,"")</f>
        <v>25</v>
      </c>
      <c r="AE70" s="141">
        <f ca="1">IF(AND($AA70=1,Vorrunde!$L18&lt;&gt;"",Vorrunde!$N18&lt;&gt;"",ABS(Vorrunde!$L18-Vorrunde!$N18)&gt;1),Vorrunde!$N18,"")</f>
        <v>23</v>
      </c>
      <c r="AF70" s="145">
        <f ca="1">IF(AND($AA70=1,Vorrunde!$O18&lt;&gt;"",Vorrunde!$Q18&lt;&gt;"",ABS(Vorrunde!$O18-Vorrunde!$Q18)&gt;1),Vorrunde!$O18,"")</f>
        <v>25</v>
      </c>
      <c r="AG70" s="141">
        <f ca="1">IF(AND($AA70=1,Vorrunde!$O18&lt;&gt;"",Vorrunde!$Q18&lt;&gt;"",ABS(Vorrunde!$O18-Vorrunde!$Q18)&gt;1),Vorrunde!$Q18,"")</f>
        <v>13</v>
      </c>
      <c r="AH70" s="145">
        <f t="shared" ca="1" si="72"/>
        <v>70</v>
      </c>
      <c r="AI70" s="141">
        <f t="shared" ca="1" si="73"/>
        <v>61</v>
      </c>
      <c r="AJ70" s="145">
        <f ca="1">IF(Vorrunde!$R18="",0,Vorrunde!$R18)</f>
        <v>2</v>
      </c>
      <c r="AK70" s="141">
        <f ca="1">IF(Vorrunde!$T18="",0,Vorrunde!$T18)</f>
        <v>1</v>
      </c>
      <c r="AL70" s="145">
        <f ca="1">IF($AA70=0,"",IF($AJ70&gt;$AK70,Einstellungen!$C$4,IF($AJ70=$AK70,1,0)))</f>
        <v>2</v>
      </c>
      <c r="AM70" s="141">
        <f ca="1">IF($AA70=0,"",IF($AJ70&lt;$AK70,Einstellungen!$C$4,IF($AJ70=$AK70,1,0)))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Planung!$L13</f>
        <v>HSV</v>
      </c>
      <c r="W71" s="13" t="str">
        <f ca="1">Planung!$N13</f>
        <v>RB Leipzig</v>
      </c>
      <c r="X71" s="13">
        <f ca="1">IF(AND($AA71=1,Vorrunde!$I19&lt;&gt;"",Vorrunde!$K19&lt;&gt;"",ABS(Vorrunde!$I19-Vorrunde!$K19)&gt;1),Vorrunde!$I19,"")</f>
        <v>19</v>
      </c>
      <c r="Y71" s="35">
        <f ca="1">IF(AND($AA71=1,Vorrunde!$I19&lt;&gt;"",Vorrunde!$K19&lt;&gt;"",ABS(Vorrunde!$I19-Vorrunde!$K19)&gt;1),Vorrunde!$K19,"")</f>
        <v>25</v>
      </c>
      <c r="Z71" s="34" t="str">
        <f t="shared" ca="1" si="71"/>
        <v>HSVRB Leipzig</v>
      </c>
      <c r="AA71" s="13">
        <f ca="1">IF(AND(V71&lt;&gt;"",W71&lt;&gt;"",V71&lt;&gt;W71,Vorrunde!$R19&lt;&gt;"",Vorrunde!$T19&lt;&gt;""),1,0)</f>
        <v>1</v>
      </c>
      <c r="AB71" s="13" t="str">
        <f ca="1">IF(AA71&gt;0,AH71&amp;Sprache!$E$109&amp;AI71,"")</f>
        <v>66 : 67</v>
      </c>
      <c r="AC71" s="141" t="str">
        <f ca="1">IF(AA71&gt;0,AJ71&amp;Sprache!$E$109&amp;AK71,"")</f>
        <v>1 : 2</v>
      </c>
      <c r="AD71" s="145">
        <f ca="1">IF(AND($AA71=1,Vorrunde!$L19&lt;&gt;"",Vorrunde!$N19&lt;&gt;"",ABS(Vorrunde!$L19-Vorrunde!$N19)&gt;1),Vorrunde!$L19,"")</f>
        <v>25</v>
      </c>
      <c r="AE71" s="141">
        <f ca="1">IF(AND($AA71=1,Vorrunde!$L19&lt;&gt;"",Vorrunde!$N19&lt;&gt;"",ABS(Vorrunde!$L19-Vorrunde!$N19)&gt;1),Vorrunde!$N19,"")</f>
        <v>17</v>
      </c>
      <c r="AF71" s="145">
        <f ca="1">IF(AND($AA71=1,Vorrunde!$O19&lt;&gt;"",Vorrunde!$Q19&lt;&gt;"",ABS(Vorrunde!$O19-Vorrunde!$Q19)&gt;1),Vorrunde!$O19,"")</f>
        <v>22</v>
      </c>
      <c r="AG71" s="141">
        <f ca="1">IF(AND($AA71=1,Vorrunde!$O19&lt;&gt;"",Vorrunde!$Q19&lt;&gt;"",ABS(Vorrunde!$O19-Vorrunde!$Q19)&gt;1),Vorrunde!$Q19,"")</f>
        <v>25</v>
      </c>
      <c r="AH71" s="145">
        <f t="shared" ca="1" si="72"/>
        <v>66</v>
      </c>
      <c r="AI71" s="141">
        <f t="shared" ca="1" si="73"/>
        <v>67</v>
      </c>
      <c r="AJ71" s="145">
        <f ca="1">IF(Vorrunde!$R19="",0,Vorrunde!$R19)</f>
        <v>1</v>
      </c>
      <c r="AK71" s="141">
        <f ca="1">IF(Vorrunde!$T19="",0,Vorrunde!$T19)</f>
        <v>2</v>
      </c>
      <c r="AL71" s="145">
        <f ca="1">IF($AA71=0,"",IF($AJ71&gt;$AK71,Einstellungen!$C$4,IF($AJ71=$AK71,1,0)))</f>
        <v>0</v>
      </c>
      <c r="AM71" s="141">
        <f ca="1">IF($AA71=0,"",IF($AJ71&lt;$AK71,Einstellungen!$C$4,IF($AJ71=$AK71,1,0)))</f>
        <v>2</v>
      </c>
      <c r="AN71" s="13"/>
    </row>
    <row r="72" spans="2:40" s="2" customFormat="1" ht="12.75" thickBot="1" x14ac:dyDescent="0.25">
      <c r="B72" s="4"/>
      <c r="C72" s="4"/>
      <c r="D72" s="4"/>
      <c r="E72" s="4"/>
      <c r="F72" s="13"/>
      <c r="G72" s="13"/>
      <c r="H72" s="13"/>
      <c r="I72" s="13"/>
      <c r="J72" s="13"/>
      <c r="K72" s="13"/>
      <c r="L72" s="13"/>
      <c r="M72" s="13"/>
      <c r="P72" s="46"/>
      <c r="Q72" s="61" t="str">
        <f>""</f>
        <v/>
      </c>
      <c r="U72" s="66" t="s">
        <v>18</v>
      </c>
      <c r="V72" s="40" t="str">
        <f ca="1">Planung!$L14</f>
        <v>VFB Essenheim</v>
      </c>
      <c r="W72" s="13" t="str">
        <f ca="1">Planung!$N14</f>
        <v>1. FC Riedwald</v>
      </c>
      <c r="X72" s="13">
        <f ca="1">IF(AND($AA72=1,Vorrunde!$I20&lt;&gt;"",Vorrunde!$K20&lt;&gt;"",ABS(Vorrunde!$I20-Vorrunde!$K20)&gt;1),Vorrunde!$I20,"")</f>
        <v>16</v>
      </c>
      <c r="Y72" s="35">
        <f ca="1">IF(AND($AA72=1,Vorrunde!$I20&lt;&gt;"",Vorrunde!$K20&lt;&gt;"",ABS(Vorrunde!$I20-Vorrunde!$K20)&gt;1),Vorrunde!$K20,"")</f>
        <v>25</v>
      </c>
      <c r="Z72" s="34" t="str">
        <f t="shared" ca="1" si="71"/>
        <v>VFB Essenheim1. FC Riedwald</v>
      </c>
      <c r="AA72" s="13">
        <f ca="1">IF(AND(V72&lt;&gt;"",W72&lt;&gt;"",V72&lt;&gt;W72,Vorrunde!$R20&lt;&gt;"",Vorrunde!$T20&lt;&gt;""),1,0)</f>
        <v>1</v>
      </c>
      <c r="AB72" s="13" t="str">
        <f ca="1">IF(AA72&gt;0,AH72&amp;Sprache!$E$109&amp;AI72,"")</f>
        <v>65 : 69</v>
      </c>
      <c r="AC72" s="141" t="str">
        <f ca="1">IF(AA72&gt;0,AJ72&amp;Sprache!$E$109&amp;AK72,"")</f>
        <v>1 : 2</v>
      </c>
      <c r="AD72" s="145">
        <f ca="1">IF(AND($AA72=1,Vorrunde!$L20&lt;&gt;"",Vorrunde!$N20&lt;&gt;"",ABS(Vorrunde!$L20-Vorrunde!$N20)&gt;1),Vorrunde!$L20,"")</f>
        <v>25</v>
      </c>
      <c r="AE72" s="141">
        <f ca="1">IF(AND($AA72=1,Vorrunde!$L20&lt;&gt;"",Vorrunde!$N20&lt;&gt;"",ABS(Vorrunde!$L20-Vorrunde!$N20)&gt;1),Vorrunde!$N20,"")</f>
        <v>18</v>
      </c>
      <c r="AF72" s="145">
        <f ca="1">IF(AND($AA72=1,Vorrunde!$O20&lt;&gt;"",Vorrunde!$Q20&lt;&gt;"",ABS(Vorrunde!$O20-Vorrunde!$Q20)&gt;1),Vorrunde!$O20,"")</f>
        <v>24</v>
      </c>
      <c r="AG72" s="141">
        <f ca="1">IF(AND($AA72=1,Vorrunde!$O20&lt;&gt;"",Vorrunde!$Q20&lt;&gt;"",ABS(Vorrunde!$O20-Vorrunde!$Q20)&gt;1),Vorrunde!$Q20,"")</f>
        <v>26</v>
      </c>
      <c r="AH72" s="145">
        <f t="shared" ca="1" si="72"/>
        <v>65</v>
      </c>
      <c r="AI72" s="141">
        <f t="shared" ca="1" si="73"/>
        <v>69</v>
      </c>
      <c r="AJ72" s="145">
        <f ca="1">IF(Vorrunde!$R20="",0,Vorrunde!$R20)</f>
        <v>1</v>
      </c>
      <c r="AK72" s="141">
        <f ca="1">IF(Vorrunde!$T20="",0,Vorrunde!$T20)</f>
        <v>2</v>
      </c>
      <c r="AL72" s="145">
        <f ca="1">IF($AA72=0,"",IF($AJ72&gt;$AK72,Einstellungen!$C$4,IF($AJ72=$AK72,1,0)))</f>
        <v>0</v>
      </c>
      <c r="AM72" s="141">
        <f ca="1">IF($AA72=0,"",IF($AJ72&lt;$AK72,Einstellungen!$C$4,IF($AJ72=$AK72,1,0)))</f>
        <v>2</v>
      </c>
      <c r="AN72" s="13"/>
    </row>
    <row r="73" spans="2:40" s="2" customFormat="1" ht="12.75" thickTop="1" x14ac:dyDescent="0.2">
      <c r="B73" s="4"/>
      <c r="C73" s="4"/>
      <c r="D73" s="4"/>
      <c r="E73" s="4"/>
      <c r="F73" s="13"/>
      <c r="G73" s="13"/>
      <c r="H73" s="13"/>
      <c r="I73" s="13"/>
      <c r="J73" s="13"/>
      <c r="K73" s="13"/>
      <c r="L73" s="13"/>
      <c r="M73" s="13"/>
      <c r="U73" s="66" t="s">
        <v>24</v>
      </c>
      <c r="V73" s="40" t="str">
        <f ca="1">Planung!$L15</f>
        <v>FC Grönlingen</v>
      </c>
      <c r="W73" s="13" t="str">
        <f ca="1">Planung!$N15</f>
        <v>Mainz 05</v>
      </c>
      <c r="X73" s="13">
        <f ca="1">IF(AND($AA73=1,Vorrunde!$I21&lt;&gt;"",Vorrunde!$K21&lt;&gt;"",ABS(Vorrunde!$I21-Vorrunde!$K21)&gt;1),Vorrunde!$I21,"")</f>
        <v>14</v>
      </c>
      <c r="Y73" s="35">
        <f ca="1">IF(AND($AA73=1,Vorrunde!$I21&lt;&gt;"",Vorrunde!$K21&lt;&gt;"",ABS(Vorrunde!$I21-Vorrunde!$K21)&gt;1),Vorrunde!$K21,"")</f>
        <v>25</v>
      </c>
      <c r="Z73" s="34" t="str">
        <f t="shared" ca="1" si="71"/>
        <v>FC GrönlingenMainz 05</v>
      </c>
      <c r="AA73" s="13">
        <f ca="1">IF(AND(V73&lt;&gt;"",W73&lt;&gt;"",V73&lt;&gt;W73,Vorrunde!$R21&lt;&gt;"",Vorrunde!$T21&lt;&gt;""),1,0)</f>
        <v>1</v>
      </c>
      <c r="AB73" s="13" t="str">
        <f ca="1">IF(AA73&gt;0,AH73&amp;Sprache!$E$109&amp;AI73,"")</f>
        <v>33 : 50</v>
      </c>
      <c r="AC73" s="141" t="str">
        <f ca="1">IF(AA73&gt;0,AJ73&amp;Sprache!$E$109&amp;AK73,"")</f>
        <v>0 : 2</v>
      </c>
      <c r="AD73" s="145">
        <f ca="1">IF(AND($AA73=1,Vorrunde!$L21&lt;&gt;"",Vorrunde!$N21&lt;&gt;"",ABS(Vorrunde!$L21-Vorrunde!$N21)&gt;1),Vorrunde!$L21,"")</f>
        <v>19</v>
      </c>
      <c r="AE73" s="141">
        <f ca="1">IF(AND($AA73=1,Vorrunde!$L21&lt;&gt;"",Vorrunde!$N21&lt;&gt;"",ABS(Vorrunde!$L21-Vorrunde!$N21)&gt;1),Vorrunde!$N21,"")</f>
        <v>25</v>
      </c>
      <c r="AF73" s="145" t="str">
        <f ca="1">IF(AND($AA73=1,Vorrunde!$O21&lt;&gt;"",Vorrunde!$Q21&lt;&gt;"",ABS(Vorrunde!$O21-Vorrunde!$Q21)&gt;1),Vorrunde!$O21,"")</f>
        <v/>
      </c>
      <c r="AG73" s="141" t="str">
        <f ca="1">IF(AND($AA73=1,Vorrunde!$O21&lt;&gt;"",Vorrunde!$Q21&lt;&gt;"",ABS(Vorrunde!$O21-Vorrunde!$Q21)&gt;1),Vorrunde!$Q21,"")</f>
        <v/>
      </c>
      <c r="AH73" s="145">
        <f t="shared" ca="1" si="72"/>
        <v>33</v>
      </c>
      <c r="AI73" s="141">
        <f t="shared" ca="1" si="73"/>
        <v>50</v>
      </c>
      <c r="AJ73" s="145">
        <f ca="1">IF(Vorrunde!$R21="",0,Vorrunde!$R21)</f>
        <v>0</v>
      </c>
      <c r="AK73" s="141">
        <f ca="1">IF(Vorrunde!$T21="",0,Vorrunde!$T21)</f>
        <v>2</v>
      </c>
      <c r="AL73" s="145">
        <f ca="1">IF($AA73=0,"",IF($AJ73&gt;$AK73,Einstellungen!$C$4,IF($AJ73=$AK73,1,0)))</f>
        <v>0</v>
      </c>
      <c r="AM73" s="141">
        <f ca="1">IF($AA73=0,"",IF($AJ73&lt;$AK73,Einstellungen!$C$4,IF($AJ73=$AK73,1,0)))</f>
        <v>2</v>
      </c>
      <c r="AN73" s="13"/>
    </row>
    <row r="74" spans="2:40" s="2" customFormat="1" x14ac:dyDescent="0.2">
      <c r="B74" s="4"/>
      <c r="C74" s="4"/>
      <c r="D74" s="4"/>
      <c r="E74" s="4"/>
      <c r="F74" s="13"/>
      <c r="G74" s="13"/>
      <c r="H74" s="13"/>
      <c r="I74" s="13"/>
      <c r="J74" s="13"/>
      <c r="K74" s="13"/>
      <c r="L74" s="13"/>
      <c r="M74" s="13"/>
      <c r="U74" s="66" t="s">
        <v>25</v>
      </c>
      <c r="V74" s="40" t="str">
        <f ca="1">Planung!$L16</f>
        <v>1. FC Nürnberg</v>
      </c>
      <c r="W74" s="13" t="str">
        <f ca="1">Planung!$N16</f>
        <v>Kickers Rodendorf</v>
      </c>
      <c r="X74" s="13">
        <f ca="1">IF(AND($AA74=1,Vorrunde!$I22&lt;&gt;"",Vorrunde!$K22&lt;&gt;"",ABS(Vorrunde!$I22-Vorrunde!$K22)&gt;1),Vorrunde!$I22,"")</f>
        <v>25</v>
      </c>
      <c r="Y74" s="35">
        <f ca="1">IF(AND($AA74=1,Vorrunde!$I22&lt;&gt;"",Vorrunde!$K22&lt;&gt;"",ABS(Vorrunde!$I22-Vorrunde!$K22)&gt;1),Vorrunde!$K22,"")</f>
        <v>22</v>
      </c>
      <c r="Z74" s="34" t="str">
        <f ca="1">V74&amp;W74</f>
        <v>1. FC NürnbergKickers Rodendorf</v>
      </c>
      <c r="AA74" s="13">
        <f ca="1">IF(AND(V74&lt;&gt;"",W74&lt;&gt;"",V74&lt;&gt;W74,Vorrunde!$R22&lt;&gt;"",Vorrunde!$T22&lt;&gt;""),1,0)</f>
        <v>1</v>
      </c>
      <c r="AB74" s="13" t="str">
        <f ca="1">IF(AA74&gt;0,AH74&amp;Sprache!$E$109&amp;AI74,"")</f>
        <v>50 : 42</v>
      </c>
      <c r="AC74" s="141" t="str">
        <f ca="1">IF(AA74&gt;0,AJ74&amp;Sprache!$E$109&amp;AK74,"")</f>
        <v>2 : 0</v>
      </c>
      <c r="AD74" s="145">
        <f ca="1">IF(AND($AA74=1,Vorrunde!$L22&lt;&gt;"",Vorrunde!$N22&lt;&gt;"",ABS(Vorrunde!$L22-Vorrunde!$N22)&gt;1),Vorrunde!$L22,"")</f>
        <v>25</v>
      </c>
      <c r="AE74" s="141">
        <f ca="1">IF(AND($AA74=1,Vorrunde!$L22&lt;&gt;"",Vorrunde!$N22&lt;&gt;"",ABS(Vorrunde!$L22-Vorrunde!$N22)&gt;1),Vorrunde!$N22,"")</f>
        <v>20</v>
      </c>
      <c r="AF74" s="145" t="str">
        <f ca="1">IF(AND($AA74=1,Vorrunde!$O22&lt;&gt;"",Vorrunde!$Q22&lt;&gt;"",ABS(Vorrunde!$O22-Vorrunde!$Q22)&gt;1),Vorrunde!$O22,"")</f>
        <v/>
      </c>
      <c r="AG74" s="141" t="str">
        <f ca="1">IF(AND($AA74=1,Vorrunde!$O22&lt;&gt;"",Vorrunde!$Q22&lt;&gt;"",ABS(Vorrunde!$O22-Vorrunde!$Q22)&gt;1),Vorrunde!$Q22,"")</f>
        <v/>
      </c>
      <c r="AH74" s="145">
        <f t="shared" ca="1" si="72"/>
        <v>50</v>
      </c>
      <c r="AI74" s="141">
        <f t="shared" ca="1" si="73"/>
        <v>42</v>
      </c>
      <c r="AJ74" s="145">
        <f ca="1">IF(Vorrunde!$R22="",0,Vorrunde!$R22)</f>
        <v>2</v>
      </c>
      <c r="AK74" s="141">
        <f ca="1">IF(Vorrunde!$T22="",0,Vorrunde!$T22)</f>
        <v>0</v>
      </c>
      <c r="AL74" s="145">
        <f ca="1">IF($AA74=0,"",IF($AJ74&gt;$AK74,Einstellungen!$C$4,IF($AJ74=$AK74,1,0)))</f>
        <v>2</v>
      </c>
      <c r="AM74" s="141">
        <f ca="1">IF($AA74=0,"",IF($AJ74&lt;$AK74,Einstellungen!$C$4,IF($AJ74=$AK74,1,0)))</f>
        <v>0</v>
      </c>
    </row>
    <row r="75" spans="2:40" s="2" customFormat="1" x14ac:dyDescent="0.2">
      <c r="B75" s="4"/>
      <c r="C75" s="4"/>
      <c r="D75" s="4"/>
      <c r="E75" s="4"/>
      <c r="F75" s="13"/>
      <c r="G75" s="13"/>
      <c r="H75" s="13"/>
      <c r="I75" s="13"/>
      <c r="J75" s="13"/>
      <c r="K75" s="13"/>
      <c r="L75" s="13"/>
      <c r="M75" s="13"/>
      <c r="U75" s="66" t="s">
        <v>26</v>
      </c>
      <c r="V75" s="40" t="str">
        <f ca="1">Planung!$L17</f>
        <v>SV Oberredenburg</v>
      </c>
      <c r="W75" s="13" t="str">
        <f ca="1">Planung!$N17</f>
        <v>TSG Saalberg eV</v>
      </c>
      <c r="X75" s="13">
        <f ca="1">IF(AND($AA75=1,Vorrunde!$I23&lt;&gt;"",Vorrunde!$K23&lt;&gt;"",ABS(Vorrunde!$I23-Vorrunde!$K23)&gt;1),Vorrunde!$I23,"")</f>
        <v>19</v>
      </c>
      <c r="Y75" s="35">
        <f ca="1">IF(AND($AA75=1,Vorrunde!$I23&lt;&gt;"",Vorrunde!$K23&lt;&gt;"",ABS(Vorrunde!$I23-Vorrunde!$K23)&gt;1),Vorrunde!$K23,"")</f>
        <v>25</v>
      </c>
      <c r="Z75" s="34" t="str">
        <f t="shared" ref="Z75:Z93" ca="1" si="74">V75&amp;W75</f>
        <v>SV OberredenburgTSG Saalberg eV</v>
      </c>
      <c r="AA75" s="13">
        <f ca="1">IF(AND(V75&lt;&gt;"",W75&lt;&gt;"",V75&lt;&gt;W75,Vorrunde!$R23&lt;&gt;"",Vorrunde!$T23&lt;&gt;""),1,0)</f>
        <v>1</v>
      </c>
      <c r="AB75" s="13" t="str">
        <f ca="1">IF(AA75&gt;0,AH75&amp;Sprache!$E$109&amp;AI75,"")</f>
        <v>42 : 50</v>
      </c>
      <c r="AC75" s="141" t="str">
        <f ca="1">IF(AA75&gt;0,AJ75&amp;Sprache!$E$109&amp;AK75,"")</f>
        <v>0 : 2</v>
      </c>
      <c r="AD75" s="145">
        <f ca="1">IF(AND($AA75=1,Vorrunde!$L23&lt;&gt;"",Vorrunde!$N23&lt;&gt;"",ABS(Vorrunde!$L23-Vorrunde!$N23)&gt;1),Vorrunde!$L23,"")</f>
        <v>23</v>
      </c>
      <c r="AE75" s="141">
        <f ca="1">IF(AND($AA75=1,Vorrunde!$L23&lt;&gt;"",Vorrunde!$N23&lt;&gt;"",ABS(Vorrunde!$L23-Vorrunde!$N23)&gt;1),Vorrunde!$N23,"")</f>
        <v>25</v>
      </c>
      <c r="AF75" s="145" t="str">
        <f ca="1">IF(AND($AA75=1,Vorrunde!$O23&lt;&gt;"",Vorrunde!$Q23&lt;&gt;"",ABS(Vorrunde!$O23-Vorrunde!$Q23)&gt;1),Vorrunde!$O23,"")</f>
        <v/>
      </c>
      <c r="AG75" s="141" t="str">
        <f ca="1">IF(AND($AA75=1,Vorrunde!$O23&lt;&gt;"",Vorrunde!$Q23&lt;&gt;"",ABS(Vorrunde!$O23-Vorrunde!$Q23)&gt;1),Vorrunde!$Q23,"")</f>
        <v/>
      </c>
      <c r="AH75" s="145">
        <f t="shared" ca="1" si="72"/>
        <v>42</v>
      </c>
      <c r="AI75" s="141">
        <f t="shared" ca="1" si="73"/>
        <v>50</v>
      </c>
      <c r="AJ75" s="145">
        <f ca="1">IF(Vorrunde!$R23="",0,Vorrunde!$R23)</f>
        <v>0</v>
      </c>
      <c r="AK75" s="141">
        <f ca="1">IF(Vorrunde!$T23="",0,Vorrunde!$T23)</f>
        <v>2</v>
      </c>
      <c r="AL75" s="145">
        <f ca="1">IF($AA75=0,"",IF($AJ75&gt;$AK75,Einstellungen!$C$4,IF($AJ75=$AK75,1,0)))</f>
        <v>0</v>
      </c>
      <c r="AM75" s="141">
        <f ca="1">IF($AA75=0,"",IF($AJ75&lt;$AK75,Einstellungen!$C$4,IF($AJ75=$AK75,1,0)))</f>
        <v>2</v>
      </c>
    </row>
    <row r="76" spans="2:40" s="2" customFormat="1" x14ac:dyDescent="0.2">
      <c r="B76" s="4"/>
      <c r="C76" s="4"/>
      <c r="D76" s="4"/>
      <c r="E76" s="4"/>
      <c r="F76" s="13"/>
      <c r="G76" s="13"/>
      <c r="H76" s="13"/>
      <c r="I76" s="13"/>
      <c r="J76" s="13"/>
      <c r="K76" s="13"/>
      <c r="L76" s="13"/>
      <c r="M76" s="13"/>
      <c r="U76" s="66" t="s">
        <v>27</v>
      </c>
      <c r="V76" s="40" t="str">
        <f ca="1">Planung!$L18</f>
        <v>FC Barcelona</v>
      </c>
      <c r="W76" s="13" t="str">
        <f ca="1">Planung!$N18</f>
        <v>Eintracht Frankfurt</v>
      </c>
      <c r="X76" s="13">
        <f ca="1">IF(AND($AA76=1,Vorrunde!$I24&lt;&gt;"",Vorrunde!$K24&lt;&gt;"",ABS(Vorrunde!$I24-Vorrunde!$K24)&gt;1),Vorrunde!$I24,"")</f>
        <v>23</v>
      </c>
      <c r="Y76" s="35">
        <f ca="1">IF(AND($AA76=1,Vorrunde!$I24&lt;&gt;"",Vorrunde!$K24&lt;&gt;"",ABS(Vorrunde!$I24-Vorrunde!$K24)&gt;1),Vorrunde!$K24,"")</f>
        <v>25</v>
      </c>
      <c r="Z76" s="34" t="str">
        <f t="shared" ca="1" si="74"/>
        <v>FC BarcelonaEintracht Frankfurt</v>
      </c>
      <c r="AA76" s="13">
        <f ca="1">IF(AND(V76&lt;&gt;"",W76&lt;&gt;"",V76&lt;&gt;W76,Vorrunde!$R24&lt;&gt;"",Vorrunde!$T24&lt;&gt;""),1,0)</f>
        <v>1</v>
      </c>
      <c r="AB76" s="13" t="str">
        <f ca="1">IF(AA76&gt;0,AH76&amp;Sprache!$E$109&amp;AI76,"")</f>
        <v>69 : 72</v>
      </c>
      <c r="AC76" s="141" t="str">
        <f ca="1">IF(AA76&gt;0,AJ76&amp;Sprache!$E$109&amp;AK76,"")</f>
        <v>1 : 2</v>
      </c>
      <c r="AD76" s="145">
        <f ca="1">IF(AND($AA76=1,Vorrunde!$L24&lt;&gt;"",Vorrunde!$N24&lt;&gt;"",ABS(Vorrunde!$L24-Vorrunde!$N24)&gt;1),Vorrunde!$L24,"")</f>
        <v>25</v>
      </c>
      <c r="AE76" s="141">
        <f ca="1">IF(AND($AA76=1,Vorrunde!$L24&lt;&gt;"",Vorrunde!$N24&lt;&gt;"",ABS(Vorrunde!$L24-Vorrunde!$N24)&gt;1),Vorrunde!$N24,"")</f>
        <v>22</v>
      </c>
      <c r="AF76" s="145">
        <f ca="1">IF(AND($AA76=1,Vorrunde!$O24&lt;&gt;"",Vorrunde!$Q24&lt;&gt;"",ABS(Vorrunde!$O24-Vorrunde!$Q24)&gt;1),Vorrunde!$O24,"")</f>
        <v>21</v>
      </c>
      <c r="AG76" s="141">
        <f ca="1">IF(AND($AA76=1,Vorrunde!$O24&lt;&gt;"",Vorrunde!$Q24&lt;&gt;"",ABS(Vorrunde!$O24-Vorrunde!$Q24)&gt;1),Vorrunde!$Q24,"")</f>
        <v>25</v>
      </c>
      <c r="AH76" s="145">
        <f t="shared" ca="1" si="72"/>
        <v>69</v>
      </c>
      <c r="AI76" s="141">
        <f t="shared" ca="1" si="73"/>
        <v>72</v>
      </c>
      <c r="AJ76" s="145">
        <f ca="1">IF(Vorrunde!$R24="",0,Vorrunde!$R24)</f>
        <v>1</v>
      </c>
      <c r="AK76" s="141">
        <f ca="1">IF(Vorrunde!$T24="",0,Vorrunde!$T24)</f>
        <v>2</v>
      </c>
      <c r="AL76" s="145">
        <f ca="1">IF($AA76=0,"",IF($AJ76&gt;$AK76,Einstellungen!$C$4,IF($AJ76=$AK76,1,0)))</f>
        <v>0</v>
      </c>
      <c r="AM76" s="141">
        <f ca="1">IF($AA76=0,"",IF($AJ76&lt;$AK76,Einstellungen!$C$4,IF($AJ76=$AK76,1,0)))</f>
        <v>2</v>
      </c>
    </row>
    <row r="77" spans="2:40" s="2" customFormat="1" x14ac:dyDescent="0.2">
      <c r="B77" s="4"/>
      <c r="C77" s="4"/>
      <c r="D77" s="4"/>
      <c r="E77" s="4"/>
      <c r="F77" s="13"/>
      <c r="G77" s="13"/>
      <c r="H77" s="13"/>
      <c r="I77" s="13"/>
      <c r="J77" s="13"/>
      <c r="K77" s="13"/>
      <c r="L77" s="13"/>
      <c r="M77" s="13"/>
      <c r="U77" s="66" t="s">
        <v>28</v>
      </c>
      <c r="V77" s="40" t="str">
        <f ca="1">Planung!$L19</f>
        <v>Inter Mailand</v>
      </c>
      <c r="W77" s="13" t="str">
        <f ca="1">Planung!$N19</f>
        <v>SSV Wildbach</v>
      </c>
      <c r="X77" s="13">
        <f ca="1">IF(AND($AA77=1,Vorrunde!$I25&lt;&gt;"",Vorrunde!$K25&lt;&gt;"",ABS(Vorrunde!$I25-Vorrunde!$K25)&gt;1),Vorrunde!$I25,"")</f>
        <v>25</v>
      </c>
      <c r="Y77" s="35">
        <f ca="1">IF(AND($AA77=1,Vorrunde!$I25&lt;&gt;"",Vorrunde!$K25&lt;&gt;"",ABS(Vorrunde!$I25-Vorrunde!$K25)&gt;1),Vorrunde!$K25,"")</f>
        <v>14</v>
      </c>
      <c r="Z77" s="34" t="str">
        <f t="shared" ca="1" si="74"/>
        <v>Inter MailandSSV Wildbach</v>
      </c>
      <c r="AA77" s="13">
        <f ca="1">IF(AND(V77&lt;&gt;"",W77&lt;&gt;"",V77&lt;&gt;W77,Vorrunde!$R25&lt;&gt;"",Vorrunde!$T25&lt;&gt;""),1,0)</f>
        <v>1</v>
      </c>
      <c r="AB77" s="13" t="str">
        <f ca="1">IF(AA77&gt;0,AH77&amp;Sprache!$E$109&amp;AI77,"")</f>
        <v>50 : 37</v>
      </c>
      <c r="AC77" s="141" t="str">
        <f ca="1">IF(AA77&gt;0,AJ77&amp;Sprache!$E$109&amp;AK77,"")</f>
        <v>2 : 0</v>
      </c>
      <c r="AD77" s="145">
        <f ca="1">IF(AND($AA77=1,Vorrunde!$L25&lt;&gt;"",Vorrunde!$N25&lt;&gt;"",ABS(Vorrunde!$L25-Vorrunde!$N25)&gt;1),Vorrunde!$L25,"")</f>
        <v>25</v>
      </c>
      <c r="AE77" s="141">
        <f ca="1">IF(AND($AA77=1,Vorrunde!$L25&lt;&gt;"",Vorrunde!$N25&lt;&gt;"",ABS(Vorrunde!$L25-Vorrunde!$N25)&gt;1),Vorrunde!$N25,"")</f>
        <v>23</v>
      </c>
      <c r="AF77" s="145" t="str">
        <f ca="1">IF(AND($AA77=1,Vorrunde!$O25&lt;&gt;"",Vorrunde!$Q25&lt;&gt;"",ABS(Vorrunde!$O25-Vorrunde!$Q25)&gt;1),Vorrunde!$O25,"")</f>
        <v/>
      </c>
      <c r="AG77" s="141" t="str">
        <f ca="1">IF(AND($AA77=1,Vorrunde!$O25&lt;&gt;"",Vorrunde!$Q25&lt;&gt;"",ABS(Vorrunde!$O25-Vorrunde!$Q25)&gt;1),Vorrunde!$Q25,"")</f>
        <v/>
      </c>
      <c r="AH77" s="145">
        <f t="shared" ca="1" si="72"/>
        <v>50</v>
      </c>
      <c r="AI77" s="141">
        <f t="shared" ca="1" si="73"/>
        <v>37</v>
      </c>
      <c r="AJ77" s="145">
        <f ca="1">IF(Vorrunde!$R25="",0,Vorrunde!$R25)</f>
        <v>2</v>
      </c>
      <c r="AK77" s="141">
        <f ca="1">IF(Vorrunde!$T25="",0,Vorrunde!$T25)</f>
        <v>0</v>
      </c>
      <c r="AL77" s="145">
        <f ca="1">IF($AA77=0,"",IF($AJ77&gt;$AK77,Einstellungen!$C$4,IF($AJ77=$AK77,1,0)))</f>
        <v>2</v>
      </c>
      <c r="AM77" s="141">
        <f ca="1">IF($AA77=0,"",IF($AJ77&lt;$AK77,Einstellungen!$C$4,IF($AJ77=$AK77,1,0)))</f>
        <v>0</v>
      </c>
    </row>
    <row r="78" spans="2:40" s="2" customFormat="1" x14ac:dyDescent="0.2">
      <c r="B78" s="4"/>
      <c r="C78" s="4"/>
      <c r="D78" s="4"/>
      <c r="E78" s="4"/>
      <c r="F78" s="13"/>
      <c r="G78" s="13"/>
      <c r="H78" s="13"/>
      <c r="I78" s="13"/>
      <c r="J78" s="13"/>
      <c r="K78" s="13"/>
      <c r="L78" s="13"/>
      <c r="M78" s="13"/>
      <c r="U78" s="66" t="s">
        <v>29</v>
      </c>
      <c r="V78" s="40" t="str">
        <f ca="1">Planung!$L20</f>
        <v>Real Madrid</v>
      </c>
      <c r="W78" s="13" t="str">
        <f ca="1">Planung!$N20</f>
        <v>Borussia Dortmund</v>
      </c>
      <c r="X78" s="13">
        <f ca="1">IF(AND($AA78=1,Vorrunde!$I26&lt;&gt;"",Vorrunde!$K26&lt;&gt;"",ABS(Vorrunde!$I26-Vorrunde!$K26)&gt;1),Vorrunde!$I26,"")</f>
        <v>21</v>
      </c>
      <c r="Y78" s="35">
        <f ca="1">IF(AND($AA78=1,Vorrunde!$I26&lt;&gt;"",Vorrunde!$K26&lt;&gt;"",ABS(Vorrunde!$I26-Vorrunde!$K26)&gt;1),Vorrunde!$K26,"")</f>
        <v>25</v>
      </c>
      <c r="Z78" s="34" t="str">
        <f t="shared" ca="1" si="74"/>
        <v>Real MadridBorussia Dortmund</v>
      </c>
      <c r="AA78" s="13">
        <f ca="1">IF(AND(V78&lt;&gt;"",W78&lt;&gt;"",V78&lt;&gt;W78,Vorrunde!$R26&lt;&gt;"",Vorrunde!$T26&lt;&gt;""),1,0)</f>
        <v>1</v>
      </c>
      <c r="AB78" s="13" t="str">
        <f ca="1">IF(AA78&gt;0,AH78&amp;Sprache!$E$109&amp;AI78,"")</f>
        <v>71 : 62</v>
      </c>
      <c r="AC78" s="141" t="str">
        <f ca="1">IF(AA78&gt;0,AJ78&amp;Sprache!$E$109&amp;AK78,"")</f>
        <v>2 : 1</v>
      </c>
      <c r="AD78" s="145">
        <f ca="1">IF(AND($AA78=1,Vorrunde!$L26&lt;&gt;"",Vorrunde!$N26&lt;&gt;"",ABS(Vorrunde!$L26-Vorrunde!$N26)&gt;1),Vorrunde!$L26,"")</f>
        <v>25</v>
      </c>
      <c r="AE78" s="141">
        <f ca="1">IF(AND($AA78=1,Vorrunde!$L26&lt;&gt;"",Vorrunde!$N26&lt;&gt;"",ABS(Vorrunde!$L26-Vorrunde!$N26)&gt;1),Vorrunde!$N26,"")</f>
        <v>17</v>
      </c>
      <c r="AF78" s="145">
        <f ca="1">IF(AND($AA78=1,Vorrunde!$O26&lt;&gt;"",Vorrunde!$Q26&lt;&gt;"",ABS(Vorrunde!$O26-Vorrunde!$Q26)&gt;1),Vorrunde!$O26,"")</f>
        <v>25</v>
      </c>
      <c r="AG78" s="141">
        <f ca="1">IF(AND($AA78=1,Vorrunde!$O26&lt;&gt;"",Vorrunde!$Q26&lt;&gt;"",ABS(Vorrunde!$O26-Vorrunde!$Q26)&gt;1),Vorrunde!$Q26,"")</f>
        <v>20</v>
      </c>
      <c r="AH78" s="145">
        <f t="shared" ca="1" si="72"/>
        <v>71</v>
      </c>
      <c r="AI78" s="141">
        <f t="shared" ca="1" si="73"/>
        <v>62</v>
      </c>
      <c r="AJ78" s="145">
        <f ca="1">IF(Vorrunde!$R26="",0,Vorrunde!$R26)</f>
        <v>2</v>
      </c>
      <c r="AK78" s="141">
        <f ca="1">IF(Vorrunde!$T26="",0,Vorrunde!$T26)</f>
        <v>1</v>
      </c>
      <c r="AL78" s="145">
        <f ca="1">IF($AA78=0,"",IF($AJ78&gt;$AK78,Einstellungen!$C$4,IF($AJ78=$AK78,1,0)))</f>
        <v>2</v>
      </c>
      <c r="AM78" s="141">
        <f ca="1">IF($AA78=0,"",IF($AJ78&lt;$AK78,Einstellungen!$C$4,IF($AJ78=$AK78,1,0)))</f>
        <v>0</v>
      </c>
    </row>
    <row r="79" spans="2:40" s="2" customFormat="1" x14ac:dyDescent="0.2">
      <c r="B79" s="4"/>
      <c r="C79" s="4"/>
      <c r="D79" s="4"/>
      <c r="E79" s="4"/>
      <c r="F79" s="13"/>
      <c r="G79" s="13"/>
      <c r="H79" s="13"/>
      <c r="I79" s="13"/>
      <c r="J79" s="13"/>
      <c r="K79" s="13"/>
      <c r="L79" s="13"/>
      <c r="M79" s="13"/>
      <c r="U79" s="66" t="s">
        <v>30</v>
      </c>
      <c r="V79" s="40" t="str">
        <f ca="1">Planung!$L21</f>
        <v>Paris St. Germain</v>
      </c>
      <c r="W79" s="13" t="str">
        <f ca="1">Planung!$N21</f>
        <v>HSV</v>
      </c>
      <c r="X79" s="13">
        <f ca="1">IF(AND($AA79=1,Vorrunde!$I27&lt;&gt;"",Vorrunde!$K27&lt;&gt;"",ABS(Vorrunde!$I27-Vorrunde!$K27)&gt;1),Vorrunde!$I27,"")</f>
        <v>25</v>
      </c>
      <c r="Y79" s="35">
        <f ca="1">IF(AND($AA79=1,Vorrunde!$I27&lt;&gt;"",Vorrunde!$K27&lt;&gt;"",ABS(Vorrunde!$I27-Vorrunde!$K27)&gt;1),Vorrunde!$K27,"")</f>
        <v>12</v>
      </c>
      <c r="Z79" s="34" t="str">
        <f t="shared" ca="1" si="74"/>
        <v>Paris St. GermainHSV</v>
      </c>
      <c r="AA79" s="13">
        <f ca="1">IF(AND(V79&lt;&gt;"",W79&lt;&gt;"",V79&lt;&gt;W79,Vorrunde!$R27&lt;&gt;"",Vorrunde!$T27&lt;&gt;""),1,0)</f>
        <v>1</v>
      </c>
      <c r="AB79" s="13" t="str">
        <f ca="1">IF(AA79&gt;0,AH79&amp;Sprache!$E$109&amp;AI79,"")</f>
        <v>50 : 30</v>
      </c>
      <c r="AC79" s="141" t="str">
        <f ca="1">IF(AA79&gt;0,AJ79&amp;Sprache!$E$109&amp;AK79,"")</f>
        <v>2 : 0</v>
      </c>
      <c r="AD79" s="145">
        <f ca="1">IF(AND($AA79=1,Vorrunde!$L27&lt;&gt;"",Vorrunde!$N27&lt;&gt;"",ABS(Vorrunde!$L27-Vorrunde!$N27)&gt;1),Vorrunde!$L27,"")</f>
        <v>25</v>
      </c>
      <c r="AE79" s="141">
        <f ca="1">IF(AND($AA79=1,Vorrunde!$L27&lt;&gt;"",Vorrunde!$N27&lt;&gt;"",ABS(Vorrunde!$L27-Vorrunde!$N27)&gt;1),Vorrunde!$N27,"")</f>
        <v>18</v>
      </c>
      <c r="AF79" s="145" t="str">
        <f ca="1">IF(AND($AA79=1,Vorrunde!$O27&lt;&gt;"",Vorrunde!$Q27&lt;&gt;"",ABS(Vorrunde!$O27-Vorrunde!$Q27)&gt;1),Vorrunde!$O27,"")</f>
        <v/>
      </c>
      <c r="AG79" s="141" t="str">
        <f ca="1">IF(AND($AA79=1,Vorrunde!$O27&lt;&gt;"",Vorrunde!$Q27&lt;&gt;"",ABS(Vorrunde!$O27-Vorrunde!$Q27)&gt;1),Vorrunde!$Q27,"")</f>
        <v/>
      </c>
      <c r="AH79" s="145">
        <f t="shared" ca="1" si="72"/>
        <v>50</v>
      </c>
      <c r="AI79" s="141">
        <f t="shared" ca="1" si="73"/>
        <v>30</v>
      </c>
      <c r="AJ79" s="145">
        <f ca="1">IF(Vorrunde!$R27="",0,Vorrunde!$R27)</f>
        <v>2</v>
      </c>
      <c r="AK79" s="141">
        <f ca="1">IF(Vorrunde!$T27="",0,Vorrunde!$T27)</f>
        <v>0</v>
      </c>
      <c r="AL79" s="145">
        <f ca="1">IF($AA79=0,"",IF($AJ79&gt;$AK79,Einstellungen!$C$4,IF($AJ79=$AK79,1,0)))</f>
        <v>2</v>
      </c>
      <c r="AM79" s="141">
        <f ca="1">IF($AA79=0,"",IF($AJ79&lt;$AK79,Einstellungen!$C$4,IF($AJ79=$AK79,1,0)))</f>
        <v>0</v>
      </c>
    </row>
    <row r="80" spans="2:40" s="2" customFormat="1" x14ac:dyDescent="0.2">
      <c r="B80" s="4"/>
      <c r="C80" s="4"/>
      <c r="D80" s="4"/>
      <c r="E80" s="4"/>
      <c r="F80" s="13"/>
      <c r="G80" s="13"/>
      <c r="H80" s="13"/>
      <c r="I80" s="13"/>
      <c r="J80" s="13"/>
      <c r="K80" s="13"/>
      <c r="L80" s="13"/>
      <c r="M80" s="13"/>
      <c r="U80" s="66" t="s">
        <v>31</v>
      </c>
      <c r="V80" s="40" t="str">
        <f ca="1">Planung!$L22</f>
        <v>1. FC Riedwald</v>
      </c>
      <c r="W80" s="13" t="str">
        <f ca="1">Planung!$N22</f>
        <v>Maibach 1822 eV</v>
      </c>
      <c r="X80" s="13">
        <f ca="1">IF(AND($AA80=1,Vorrunde!$I28&lt;&gt;"",Vorrunde!$K28&lt;&gt;"",ABS(Vorrunde!$I28-Vorrunde!$K28)&gt;1),Vorrunde!$I28,"")</f>
        <v>25</v>
      </c>
      <c r="Y80" s="35">
        <f ca="1">IF(AND($AA80=1,Vorrunde!$I28&lt;&gt;"",Vorrunde!$K28&lt;&gt;"",ABS(Vorrunde!$I28-Vorrunde!$K28)&gt;1),Vorrunde!$K28,"")</f>
        <v>20</v>
      </c>
      <c r="Z80" s="34" t="str">
        <f t="shared" ca="1" si="74"/>
        <v>1. FC RiedwaldMaibach 1822 eV</v>
      </c>
      <c r="AA80" s="13">
        <f ca="1">IF(AND(V80&lt;&gt;"",W80&lt;&gt;"",V80&lt;&gt;W80,Vorrunde!$R28&lt;&gt;"",Vorrunde!$T28&lt;&gt;""),1,0)</f>
        <v>1</v>
      </c>
      <c r="AB80" s="13" t="str">
        <f ca="1">IF(AA80&gt;0,AH80&amp;Sprache!$E$109&amp;AI80,"")</f>
        <v>50 : 39</v>
      </c>
      <c r="AC80" s="141" t="str">
        <f ca="1">IF(AA80&gt;0,AJ80&amp;Sprache!$E$109&amp;AK80,"")</f>
        <v>2 : 0</v>
      </c>
      <c r="AD80" s="145">
        <f ca="1">IF(AND($AA80=1,Vorrunde!$L28&lt;&gt;"",Vorrunde!$N28&lt;&gt;"",ABS(Vorrunde!$L28-Vorrunde!$N28)&gt;1),Vorrunde!$L28,"")</f>
        <v>25</v>
      </c>
      <c r="AE80" s="141">
        <f ca="1">IF(AND($AA80=1,Vorrunde!$L28&lt;&gt;"",Vorrunde!$N28&lt;&gt;"",ABS(Vorrunde!$L28-Vorrunde!$N28)&gt;1),Vorrunde!$N28,"")</f>
        <v>19</v>
      </c>
      <c r="AF80" s="145" t="str">
        <f ca="1">IF(AND($AA80=1,Vorrunde!$O28&lt;&gt;"",Vorrunde!$Q28&lt;&gt;"",ABS(Vorrunde!$O28-Vorrunde!$Q28)&gt;1),Vorrunde!$O28,"")</f>
        <v/>
      </c>
      <c r="AG80" s="141" t="str">
        <f ca="1">IF(AND($AA80=1,Vorrunde!$O28&lt;&gt;"",Vorrunde!$Q28&lt;&gt;"",ABS(Vorrunde!$O28-Vorrunde!$Q28)&gt;1),Vorrunde!$Q28,"")</f>
        <v/>
      </c>
      <c r="AH80" s="145">
        <f t="shared" ca="1" si="72"/>
        <v>50</v>
      </c>
      <c r="AI80" s="141">
        <f t="shared" ca="1" si="73"/>
        <v>39</v>
      </c>
      <c r="AJ80" s="145">
        <f ca="1">IF(Vorrunde!$R28="",0,Vorrunde!$R28)</f>
        <v>2</v>
      </c>
      <c r="AK80" s="141">
        <f ca="1">IF(Vorrunde!$T28="",0,Vorrunde!$T28)</f>
        <v>0</v>
      </c>
      <c r="AL80" s="145">
        <f ca="1">IF($AA80=0,"",IF($AJ80&gt;$AK80,Einstellungen!$C$4,IF($AJ80=$AK80,1,0)))</f>
        <v>2</v>
      </c>
      <c r="AM80" s="141">
        <f ca="1">IF($AA80=0,"",IF($AJ80&lt;$AK80,Einstellungen!$C$4,IF($AJ80=$AK80,1,0)))</f>
        <v>0</v>
      </c>
    </row>
    <row r="81" spans="2:39" s="2" customFormat="1" x14ac:dyDescent="0.2">
      <c r="B81" s="4"/>
      <c r="C81" s="4"/>
      <c r="D81" s="4"/>
      <c r="E81" s="4"/>
      <c r="F81" s="13"/>
      <c r="G81" s="13"/>
      <c r="H81" s="13"/>
      <c r="I81" s="13"/>
      <c r="J81" s="13"/>
      <c r="K81" s="13"/>
      <c r="L81" s="13"/>
      <c r="M81" s="13"/>
      <c r="U81" s="66" t="s">
        <v>32</v>
      </c>
      <c r="V81" s="40" t="str">
        <f ca="1">Planung!$L23</f>
        <v>Mainz 05</v>
      </c>
      <c r="W81" s="13" t="str">
        <f ca="1">Planung!$N23</f>
        <v>Manchester City</v>
      </c>
      <c r="X81" s="13">
        <f ca="1">IF(AND($AA81=1,Vorrunde!$I29&lt;&gt;"",Vorrunde!$K29&lt;&gt;"",ABS(Vorrunde!$I29-Vorrunde!$K29)&gt;1),Vorrunde!$I29,"")</f>
        <v>9</v>
      </c>
      <c r="Y81" s="35">
        <f ca="1">IF(AND($AA81=1,Vorrunde!$I29&lt;&gt;"",Vorrunde!$K29&lt;&gt;"",ABS(Vorrunde!$I29-Vorrunde!$K29)&gt;1),Vorrunde!$K29,"")</f>
        <v>25</v>
      </c>
      <c r="Z81" s="34" t="str">
        <f t="shared" ca="1" si="74"/>
        <v>Mainz 05Manchester City</v>
      </c>
      <c r="AA81" s="13">
        <f ca="1">IF(AND(V81&lt;&gt;"",W81&lt;&gt;"",V81&lt;&gt;W81,Vorrunde!$R29&lt;&gt;"",Vorrunde!$T29&lt;&gt;""),1,0)</f>
        <v>1</v>
      </c>
      <c r="AB81" s="13" t="str">
        <f ca="1">IF(AA81&gt;0,AH81&amp;Sprache!$E$109&amp;AI81,"")</f>
        <v>23 : 50</v>
      </c>
      <c r="AC81" s="141" t="str">
        <f ca="1">IF(AA81&gt;0,AJ81&amp;Sprache!$E$109&amp;AK81,"")</f>
        <v>0 : 2</v>
      </c>
      <c r="AD81" s="145">
        <f ca="1">IF(AND($AA81=1,Vorrunde!$L29&lt;&gt;"",Vorrunde!$N29&lt;&gt;"",ABS(Vorrunde!$L29-Vorrunde!$N29)&gt;1),Vorrunde!$L29,"")</f>
        <v>14</v>
      </c>
      <c r="AE81" s="141">
        <f ca="1">IF(AND($AA81=1,Vorrunde!$L29&lt;&gt;"",Vorrunde!$N29&lt;&gt;"",ABS(Vorrunde!$L29-Vorrunde!$N29)&gt;1),Vorrunde!$N29,"")</f>
        <v>25</v>
      </c>
      <c r="AF81" s="145" t="str">
        <f ca="1">IF(AND($AA81=1,Vorrunde!$O29&lt;&gt;"",Vorrunde!$Q29&lt;&gt;"",ABS(Vorrunde!$O29-Vorrunde!$Q29)&gt;1),Vorrunde!$O29,"")</f>
        <v/>
      </c>
      <c r="AG81" s="141" t="str">
        <f ca="1">IF(AND($AA81=1,Vorrunde!$O29&lt;&gt;"",Vorrunde!$Q29&lt;&gt;"",ABS(Vorrunde!$O29-Vorrunde!$Q29)&gt;1),Vorrunde!$Q29,"")</f>
        <v/>
      </c>
      <c r="AH81" s="145">
        <f t="shared" ca="1" si="72"/>
        <v>23</v>
      </c>
      <c r="AI81" s="141">
        <f t="shared" ca="1" si="73"/>
        <v>50</v>
      </c>
      <c r="AJ81" s="145">
        <f ca="1">IF(Vorrunde!$R29="",0,Vorrunde!$R29)</f>
        <v>0</v>
      </c>
      <c r="AK81" s="141">
        <f ca="1">IF(Vorrunde!$T29="",0,Vorrunde!$T29)</f>
        <v>2</v>
      </c>
      <c r="AL81" s="145">
        <f ca="1">IF($AA81=0,"",IF($AJ81&gt;$AK81,Einstellungen!$C$4,IF($AJ81=$AK81,1,0)))</f>
        <v>0</v>
      </c>
      <c r="AM81" s="141">
        <f ca="1">IF($AA81=0,"",IF($AJ81&lt;$AK81,Einstellungen!$C$4,IF($AJ81=$AK81,1,0)))</f>
        <v>2</v>
      </c>
    </row>
    <row r="82" spans="2:39" s="2" customFormat="1" x14ac:dyDescent="0.2">
      <c r="B82" s="4"/>
      <c r="C82" s="4"/>
      <c r="D82" s="4"/>
      <c r="E82" s="4"/>
      <c r="F82" s="13"/>
      <c r="G82" s="13"/>
      <c r="H82" s="13"/>
      <c r="I82" s="13"/>
      <c r="J82" s="13"/>
      <c r="K82" s="13"/>
      <c r="L82" s="13"/>
      <c r="M82" s="13"/>
      <c r="U82" s="66" t="s">
        <v>33</v>
      </c>
      <c r="V82" s="40" t="str">
        <f ca="1">Planung!$L24</f>
        <v>Kickers Rodendorf</v>
      </c>
      <c r="W82" s="13" t="str">
        <f ca="1">Planung!$N24</f>
        <v>FSV Rauen</v>
      </c>
      <c r="X82" s="13">
        <f ca="1">IF(AND($AA82=1,Vorrunde!$I30&lt;&gt;"",Vorrunde!$K30&lt;&gt;"",ABS(Vorrunde!$I30-Vorrunde!$K30)&gt;1),Vorrunde!$I30,"")</f>
        <v>25</v>
      </c>
      <c r="Y82" s="35">
        <f ca="1">IF(AND($AA82=1,Vorrunde!$I30&lt;&gt;"",Vorrunde!$K30&lt;&gt;"",ABS(Vorrunde!$I30-Vorrunde!$K30)&gt;1),Vorrunde!$K30,"")</f>
        <v>2</v>
      </c>
      <c r="Z82" s="34" t="str">
        <f t="shared" ca="1" si="74"/>
        <v>Kickers RodendorfFSV Rauen</v>
      </c>
      <c r="AA82" s="13">
        <f ca="1">IF(AND(V82&lt;&gt;"",W82&lt;&gt;"",V82&lt;&gt;W82,Vorrunde!$R30&lt;&gt;"",Vorrunde!$T30&lt;&gt;""),1,0)</f>
        <v>1</v>
      </c>
      <c r="AB82" s="13" t="str">
        <f ca="1">IF(AA82&gt;0,AH82&amp;Sprache!$E$109&amp;AI82,"")</f>
        <v>50 : 23</v>
      </c>
      <c r="AC82" s="141" t="str">
        <f ca="1">IF(AA82&gt;0,AJ82&amp;Sprache!$E$109&amp;AK82,"")</f>
        <v>2 : 0</v>
      </c>
      <c r="AD82" s="145">
        <f ca="1">IF(AND($AA82=1,Vorrunde!$L30&lt;&gt;"",Vorrunde!$N30&lt;&gt;"",ABS(Vorrunde!$L30-Vorrunde!$N30)&gt;1),Vorrunde!$L30,"")</f>
        <v>25</v>
      </c>
      <c r="AE82" s="141">
        <f ca="1">IF(AND($AA82=1,Vorrunde!$L30&lt;&gt;"",Vorrunde!$N30&lt;&gt;"",ABS(Vorrunde!$L30-Vorrunde!$N30)&gt;1),Vorrunde!$N30,"")</f>
        <v>21</v>
      </c>
      <c r="AF82" s="145" t="str">
        <f ca="1">IF(AND($AA82=1,Vorrunde!$O30&lt;&gt;"",Vorrunde!$Q30&lt;&gt;"",ABS(Vorrunde!$O30-Vorrunde!$Q30)&gt;1),Vorrunde!$O30,"")</f>
        <v/>
      </c>
      <c r="AG82" s="141" t="str">
        <f ca="1">IF(AND($AA82=1,Vorrunde!$O30&lt;&gt;"",Vorrunde!$Q30&lt;&gt;"",ABS(Vorrunde!$O30-Vorrunde!$Q30)&gt;1),Vorrunde!$Q30,"")</f>
        <v/>
      </c>
      <c r="AH82" s="145">
        <f t="shared" ca="1" si="72"/>
        <v>50</v>
      </c>
      <c r="AI82" s="141">
        <f t="shared" ca="1" si="73"/>
        <v>23</v>
      </c>
      <c r="AJ82" s="145">
        <f ca="1">IF(Vorrunde!$R30="",0,Vorrunde!$R30)</f>
        <v>2</v>
      </c>
      <c r="AK82" s="141">
        <f ca="1">IF(Vorrunde!$T30="",0,Vorrunde!$T30)</f>
        <v>0</v>
      </c>
      <c r="AL82" s="145">
        <f ca="1">IF($AA82=0,"",IF($AJ82&gt;$AK82,Einstellungen!$C$4,IF($AJ82=$AK82,1,0)))</f>
        <v>2</v>
      </c>
      <c r="AM82" s="141">
        <f ca="1">IF($AA82=0,"",IF($AJ82&lt;$AK82,Einstellungen!$C$4,IF($AJ82=$AK82,1,0)))</f>
        <v>0</v>
      </c>
    </row>
    <row r="83" spans="2:39" s="2" customFormat="1" x14ac:dyDescent="0.2">
      <c r="B83" s="4"/>
      <c r="C83" s="4"/>
      <c r="D83" s="4"/>
      <c r="E83" s="4"/>
      <c r="F83" s="13"/>
      <c r="G83" s="13"/>
      <c r="H83" s="13"/>
      <c r="I83" s="13"/>
      <c r="J83" s="13"/>
      <c r="K83" s="13"/>
      <c r="L83" s="13"/>
      <c r="M83" s="13"/>
      <c r="U83" s="66" t="s">
        <v>34</v>
      </c>
      <c r="V83" s="40" t="str">
        <f ca="1">Planung!$L25</f>
        <v>TSG Saalberg eV</v>
      </c>
      <c r="W83" s="13" t="str">
        <f ca="1">Planung!$N25</f>
        <v>RB Leipzig</v>
      </c>
      <c r="X83" s="13">
        <f ca="1">IF(AND($AA83=1,Vorrunde!$I31&lt;&gt;"",Vorrunde!$K31&lt;&gt;"",ABS(Vorrunde!$I31-Vorrunde!$K31)&gt;1),Vorrunde!$I31,"")</f>
        <v>25</v>
      </c>
      <c r="Y83" s="35">
        <f ca="1">IF(AND($AA83=1,Vorrunde!$I31&lt;&gt;"",Vorrunde!$K31&lt;&gt;"",ABS(Vorrunde!$I31-Vorrunde!$K31)&gt;1),Vorrunde!$K31,"")</f>
        <v>2</v>
      </c>
      <c r="Z83" s="34" t="str">
        <f t="shared" ca="1" si="74"/>
        <v>TSG Saalberg eVRB Leipzig</v>
      </c>
      <c r="AA83" s="13">
        <f ca="1">IF(AND(V83&lt;&gt;"",W83&lt;&gt;"",V83&lt;&gt;W83,Vorrunde!$R31&lt;&gt;"",Vorrunde!$T31&lt;&gt;""),1,0)</f>
        <v>1</v>
      </c>
      <c r="AB83" s="13" t="str">
        <f ca="1">IF(AA83&gt;0,AH83&amp;Sprache!$E$109&amp;AI83,"")</f>
        <v>50 : 24</v>
      </c>
      <c r="AC83" s="141" t="str">
        <f ca="1">IF(AA83&gt;0,AJ83&amp;Sprache!$E$109&amp;AK83,"")</f>
        <v>2 : 0</v>
      </c>
      <c r="AD83" s="145">
        <f ca="1">IF(AND($AA83=1,Vorrunde!$L31&lt;&gt;"",Vorrunde!$N31&lt;&gt;"",ABS(Vorrunde!$L31-Vorrunde!$N31)&gt;1),Vorrunde!$L31,"")</f>
        <v>25</v>
      </c>
      <c r="AE83" s="141">
        <f ca="1">IF(AND($AA83=1,Vorrunde!$L31&lt;&gt;"",Vorrunde!$N31&lt;&gt;"",ABS(Vorrunde!$L31-Vorrunde!$N31)&gt;1),Vorrunde!$N31,"")</f>
        <v>22</v>
      </c>
      <c r="AF83" s="145" t="str">
        <f ca="1">IF(AND($AA83=1,Vorrunde!$O31&lt;&gt;"",Vorrunde!$Q31&lt;&gt;"",ABS(Vorrunde!$O31-Vorrunde!$Q31)&gt;1),Vorrunde!$O31,"")</f>
        <v/>
      </c>
      <c r="AG83" s="141" t="str">
        <f ca="1">IF(AND($AA83=1,Vorrunde!$O31&lt;&gt;"",Vorrunde!$Q31&lt;&gt;"",ABS(Vorrunde!$O31-Vorrunde!$Q31)&gt;1),Vorrunde!$Q31,"")</f>
        <v/>
      </c>
      <c r="AH83" s="145">
        <f t="shared" ca="1" si="72"/>
        <v>50</v>
      </c>
      <c r="AI83" s="141">
        <f t="shared" ca="1" si="73"/>
        <v>24</v>
      </c>
      <c r="AJ83" s="145">
        <f ca="1">IF(Vorrunde!$R31="",0,Vorrunde!$R31)</f>
        <v>2</v>
      </c>
      <c r="AK83" s="141">
        <f ca="1">IF(Vorrunde!$T31="",0,Vorrunde!$T31)</f>
        <v>0</v>
      </c>
      <c r="AL83" s="145">
        <f ca="1">IF($AA83=0,"",IF($AJ83&gt;$AK83,Einstellungen!$C$4,IF($AJ83=$AK83,1,0)))</f>
        <v>2</v>
      </c>
      <c r="AM83" s="141">
        <f ca="1">IF($AA83=0,"",IF($AJ83&lt;$AK83,Einstellungen!$C$4,IF($AJ83=$AK83,1,0)))</f>
        <v>0</v>
      </c>
    </row>
    <row r="84" spans="2:39" s="2" customFormat="1" x14ac:dyDescent="0.2">
      <c r="B84" s="4"/>
      <c r="C84" s="4"/>
      <c r="D84" s="4"/>
      <c r="E84" s="4"/>
      <c r="F84" s="13"/>
      <c r="G84" s="13"/>
      <c r="H84" s="13"/>
      <c r="I84" s="13"/>
      <c r="J84" s="13"/>
      <c r="K84" s="13"/>
      <c r="L84" s="13"/>
      <c r="M84" s="13"/>
      <c r="U84" s="66" t="s">
        <v>35</v>
      </c>
      <c r="V84" s="40" t="str">
        <f ca="1">Planung!$L26</f>
        <v>Eintracht Frankfurt</v>
      </c>
      <c r="W84" s="13" t="str">
        <f ca="1">Planung!$N26</f>
        <v>VFB Essenheim</v>
      </c>
      <c r="X84" s="13">
        <f ca="1">IF(AND($AA84=1,Vorrunde!$I32&lt;&gt;"",Vorrunde!$K32&lt;&gt;"",ABS(Vorrunde!$I32-Vorrunde!$K32)&gt;1),Vorrunde!$I32,"")</f>
        <v>12</v>
      </c>
      <c r="Y84" s="35">
        <f ca="1">IF(AND($AA84=1,Vorrunde!$I32&lt;&gt;"",Vorrunde!$K32&lt;&gt;"",ABS(Vorrunde!$I32-Vorrunde!$K32)&gt;1),Vorrunde!$K32,"")</f>
        <v>25</v>
      </c>
      <c r="Z84" s="34" t="str">
        <f t="shared" ca="1" si="74"/>
        <v>Eintracht FrankfurtVFB Essenheim</v>
      </c>
      <c r="AA84" s="13">
        <f ca="1">IF(AND(V84&lt;&gt;"",W84&lt;&gt;"",V84&lt;&gt;W84,Vorrunde!$R32&lt;&gt;"",Vorrunde!$T32&lt;&gt;""),1,0)</f>
        <v>1</v>
      </c>
      <c r="AB84" s="13" t="str">
        <f ca="1">IF(AA84&gt;0,AH84&amp;Sprache!$E$109&amp;AI84,"")</f>
        <v>37 : 37</v>
      </c>
      <c r="AC84" s="141" t="str">
        <f ca="1">IF(AA84&gt;0,AJ84&amp;Sprache!$E$109&amp;AK84,"")</f>
        <v>1 : 1</v>
      </c>
      <c r="AD84" s="145">
        <f ca="1">IF(AND($AA84=1,Vorrunde!$L32&lt;&gt;"",Vorrunde!$N32&lt;&gt;"",ABS(Vorrunde!$L32-Vorrunde!$N32)&gt;1),Vorrunde!$L32,"")</f>
        <v>25</v>
      </c>
      <c r="AE84" s="141">
        <f ca="1">IF(AND($AA84=1,Vorrunde!$L32&lt;&gt;"",Vorrunde!$N32&lt;&gt;"",ABS(Vorrunde!$L32-Vorrunde!$N32)&gt;1),Vorrunde!$N32,"")</f>
        <v>12</v>
      </c>
      <c r="AF84" s="145" t="str">
        <f ca="1">IF(AND($AA84=1,Vorrunde!$O32&lt;&gt;"",Vorrunde!$Q32&lt;&gt;"",ABS(Vorrunde!$O32-Vorrunde!$Q32)&gt;1),Vorrunde!$O32,"")</f>
        <v/>
      </c>
      <c r="AG84" s="141" t="str">
        <f ca="1">IF(AND($AA84=1,Vorrunde!$O32&lt;&gt;"",Vorrunde!$Q32&lt;&gt;"",ABS(Vorrunde!$O32-Vorrunde!$Q32)&gt;1),Vorrunde!$Q32,"")</f>
        <v/>
      </c>
      <c r="AH84" s="145">
        <f t="shared" ca="1" si="72"/>
        <v>37</v>
      </c>
      <c r="AI84" s="141">
        <f t="shared" ca="1" si="73"/>
        <v>37</v>
      </c>
      <c r="AJ84" s="145">
        <f ca="1">IF(Vorrunde!$R32="",0,Vorrunde!$R32)</f>
        <v>1</v>
      </c>
      <c r="AK84" s="141">
        <f ca="1">IF(Vorrunde!$T32="",0,Vorrunde!$T32)</f>
        <v>1</v>
      </c>
      <c r="AL84" s="145">
        <f ca="1">IF($AA84=0,"",IF($AJ84&gt;$AK84,Einstellungen!$C$4,IF($AJ84=$AK84,1,0)))</f>
        <v>1</v>
      </c>
      <c r="AM84" s="141">
        <f ca="1">IF($AA84=0,"",IF($AJ84&lt;$AK84,Einstellungen!$C$4,IF($AJ84=$AK84,1,0)))</f>
        <v>1</v>
      </c>
    </row>
    <row r="85" spans="2:39" s="2" customFormat="1" x14ac:dyDescent="0.2">
      <c r="B85" s="4"/>
      <c r="C85" s="4"/>
      <c r="D85" s="4"/>
      <c r="E85" s="4"/>
      <c r="F85" s="13"/>
      <c r="G85" s="13"/>
      <c r="H85" s="13"/>
      <c r="I85" s="13"/>
      <c r="J85" s="13"/>
      <c r="K85" s="13"/>
      <c r="L85" s="13"/>
      <c r="M85" s="13"/>
      <c r="U85" s="66" t="s">
        <v>36</v>
      </c>
      <c r="V85" s="40" t="str">
        <f ca="1">Planung!$L27</f>
        <v>SSV Wildbach</v>
      </c>
      <c r="W85" s="13" t="str">
        <f ca="1">Planung!$N27</f>
        <v>FC Grönlingen</v>
      </c>
      <c r="X85" s="13">
        <f ca="1">IF(AND($AA85=1,Vorrunde!$I33&lt;&gt;"",Vorrunde!$K33&lt;&gt;"",ABS(Vorrunde!$I33-Vorrunde!$K33)&gt;1),Vorrunde!$I33,"")</f>
        <v>19</v>
      </c>
      <c r="Y85" s="35">
        <f ca="1">IF(AND($AA85=1,Vorrunde!$I33&lt;&gt;"",Vorrunde!$K33&lt;&gt;"",ABS(Vorrunde!$I33-Vorrunde!$K33)&gt;1),Vorrunde!$K33,"")</f>
        <v>25</v>
      </c>
      <c r="Z85" s="34" t="str">
        <f t="shared" ca="1" si="74"/>
        <v>SSV WildbachFC Grönlingen</v>
      </c>
      <c r="AA85" s="13">
        <f ca="1">IF(AND(V85&lt;&gt;"",W85&lt;&gt;"",V85&lt;&gt;W85,Vorrunde!$R33&lt;&gt;"",Vorrunde!$T33&lt;&gt;""),1,0)</f>
        <v>1</v>
      </c>
      <c r="AB85" s="13" t="str">
        <f ca="1">IF(AA85&gt;0,AH85&amp;Sprache!$E$109&amp;AI85,"")</f>
        <v>44 : 42</v>
      </c>
      <c r="AC85" s="141" t="str">
        <f ca="1">IF(AA85&gt;0,AJ85&amp;Sprache!$E$109&amp;AK85,"")</f>
        <v>1 : 1</v>
      </c>
      <c r="AD85" s="145">
        <f ca="1">IF(AND($AA85=1,Vorrunde!$L33&lt;&gt;"",Vorrunde!$N33&lt;&gt;"",ABS(Vorrunde!$L33-Vorrunde!$N33)&gt;1),Vorrunde!$L33,"")</f>
        <v>25</v>
      </c>
      <c r="AE85" s="141">
        <f ca="1">IF(AND($AA85=1,Vorrunde!$L33&lt;&gt;"",Vorrunde!$N33&lt;&gt;"",ABS(Vorrunde!$L33-Vorrunde!$N33)&gt;1),Vorrunde!$N33,"")</f>
        <v>17</v>
      </c>
      <c r="AF85" s="145" t="str">
        <f ca="1">IF(AND($AA85=1,Vorrunde!$O33&lt;&gt;"",Vorrunde!$Q33&lt;&gt;"",ABS(Vorrunde!$O33-Vorrunde!$Q33)&gt;1),Vorrunde!$O33,"")</f>
        <v/>
      </c>
      <c r="AG85" s="141" t="str">
        <f ca="1">IF(AND($AA85=1,Vorrunde!$O33&lt;&gt;"",Vorrunde!$Q33&lt;&gt;"",ABS(Vorrunde!$O33-Vorrunde!$Q33)&gt;1),Vorrunde!$Q33,"")</f>
        <v/>
      </c>
      <c r="AH85" s="145">
        <f t="shared" ca="1" si="72"/>
        <v>44</v>
      </c>
      <c r="AI85" s="141">
        <f t="shared" ca="1" si="73"/>
        <v>42</v>
      </c>
      <c r="AJ85" s="145">
        <f ca="1">IF(Vorrunde!$R33="",0,Vorrunde!$R33)</f>
        <v>1</v>
      </c>
      <c r="AK85" s="141">
        <f ca="1">IF(Vorrunde!$T33="",0,Vorrunde!$T33)</f>
        <v>1</v>
      </c>
      <c r="AL85" s="145">
        <f ca="1">IF($AA85=0,"",IF($AJ85&gt;$AK85,Einstellungen!$C$4,IF($AJ85=$AK85,1,0)))</f>
        <v>1</v>
      </c>
      <c r="AM85" s="141">
        <f ca="1">IF($AA85=0,"",IF($AJ85&lt;$AK85,Einstellungen!$C$4,IF($AJ85=$AK85,1,0)))</f>
        <v>1</v>
      </c>
    </row>
    <row r="86" spans="2:39" s="2" customFormat="1" x14ac:dyDescent="0.2">
      <c r="B86" s="4"/>
      <c r="C86" s="4"/>
      <c r="D86" s="4"/>
      <c r="E86" s="4"/>
      <c r="F86" s="13"/>
      <c r="G86" s="13"/>
      <c r="H86" s="13"/>
      <c r="I86" s="13"/>
      <c r="J86" s="13"/>
      <c r="K86" s="13"/>
      <c r="L86" s="13"/>
      <c r="M86" s="13"/>
      <c r="U86" s="66" t="s">
        <v>37</v>
      </c>
      <c r="V86" s="40" t="str">
        <f ca="1">Planung!$L28</f>
        <v>Borussia Dortmund</v>
      </c>
      <c r="W86" s="13" t="str">
        <f ca="1">Planung!$N28</f>
        <v>1. FC Nürnberg</v>
      </c>
      <c r="X86" s="13">
        <f ca="1">IF(AND($AA86=1,Vorrunde!$I34&lt;&gt;"",Vorrunde!$K34&lt;&gt;"",ABS(Vorrunde!$I34-Vorrunde!$K34)&gt;1),Vorrunde!$I34,"")</f>
        <v>17</v>
      </c>
      <c r="Y86" s="35">
        <f ca="1">IF(AND($AA86=1,Vorrunde!$I34&lt;&gt;"",Vorrunde!$K34&lt;&gt;"",ABS(Vorrunde!$I34-Vorrunde!$K34)&gt;1),Vorrunde!$K34,"")</f>
        <v>25</v>
      </c>
      <c r="Z86" s="34" t="str">
        <f t="shared" ca="1" si="74"/>
        <v>Borussia Dortmund1. FC Nürnberg</v>
      </c>
      <c r="AA86" s="13">
        <f ca="1">IF(AND(V86&lt;&gt;"",W86&lt;&gt;"",V86&lt;&gt;W86,Vorrunde!$R34&lt;&gt;"",Vorrunde!$T34&lt;&gt;""),1,0)</f>
        <v>1</v>
      </c>
      <c r="AB86" s="13" t="str">
        <f ca="1">IF(AA86&gt;0,AH86&amp;Sprache!$E$109&amp;AI86,"")</f>
        <v>42 : 41</v>
      </c>
      <c r="AC86" s="141" t="str">
        <f ca="1">IF(AA86&gt;0,AJ86&amp;Sprache!$E$109&amp;AK86,"")</f>
        <v>1 : 1</v>
      </c>
      <c r="AD86" s="145">
        <f ca="1">IF(AND($AA86=1,Vorrunde!$L34&lt;&gt;"",Vorrunde!$N34&lt;&gt;"",ABS(Vorrunde!$L34-Vorrunde!$N34)&gt;1),Vorrunde!$L34,"")</f>
        <v>25</v>
      </c>
      <c r="AE86" s="141">
        <f ca="1">IF(AND($AA86=1,Vorrunde!$L34&lt;&gt;"",Vorrunde!$N34&lt;&gt;"",ABS(Vorrunde!$L34-Vorrunde!$N34)&gt;1),Vorrunde!$N34,"")</f>
        <v>16</v>
      </c>
      <c r="AF86" s="145" t="str">
        <f ca="1">IF(AND($AA86=1,Vorrunde!$O34&lt;&gt;"",Vorrunde!$Q34&lt;&gt;"",ABS(Vorrunde!$O34-Vorrunde!$Q34)&gt;1),Vorrunde!$O34,"")</f>
        <v/>
      </c>
      <c r="AG86" s="141" t="str">
        <f ca="1">IF(AND($AA86=1,Vorrunde!$O34&lt;&gt;"",Vorrunde!$Q34&lt;&gt;"",ABS(Vorrunde!$O34-Vorrunde!$Q34)&gt;1),Vorrunde!$Q34,"")</f>
        <v/>
      </c>
      <c r="AH86" s="145">
        <f t="shared" ca="1" si="72"/>
        <v>42</v>
      </c>
      <c r="AI86" s="141">
        <f t="shared" ca="1" si="73"/>
        <v>41</v>
      </c>
      <c r="AJ86" s="145">
        <f ca="1">IF(Vorrunde!$R34="",0,Vorrunde!$R34)</f>
        <v>1</v>
      </c>
      <c r="AK86" s="141">
        <f ca="1">IF(Vorrunde!$T34="",0,Vorrunde!$T34)</f>
        <v>1</v>
      </c>
      <c r="AL86" s="145">
        <f ca="1">IF($AA86=0,"",IF($AJ86&gt;$AK86,Einstellungen!$C$4,IF($AJ86=$AK86,1,0)))</f>
        <v>1</v>
      </c>
      <c r="AM86" s="141">
        <f ca="1">IF($AA86=0,"",IF($AJ86&lt;$AK86,Einstellungen!$C$4,IF($AJ86=$AK86,1,0)))</f>
        <v>1</v>
      </c>
    </row>
    <row r="87" spans="2:39" s="2" customFormat="1" x14ac:dyDescent="0.2">
      <c r="B87" s="4"/>
      <c r="C87" s="4"/>
      <c r="D87" s="4"/>
      <c r="E87" s="4"/>
      <c r="F87" s="13"/>
      <c r="G87" s="13"/>
      <c r="H87" s="13"/>
      <c r="I87" s="13"/>
      <c r="J87" s="13"/>
      <c r="K87" s="13"/>
      <c r="L87" s="13"/>
      <c r="M87" s="13"/>
      <c r="U87" s="66" t="s">
        <v>38</v>
      </c>
      <c r="V87" s="40" t="str">
        <f ca="1">Planung!$L29</f>
        <v>HSV</v>
      </c>
      <c r="W87" s="13" t="str">
        <f ca="1">Planung!$N29</f>
        <v>SV Oberredenburg</v>
      </c>
      <c r="X87" s="13">
        <f ca="1">IF(AND($AA87=1,Vorrunde!$I35&lt;&gt;"",Vorrunde!$K35&lt;&gt;"",ABS(Vorrunde!$I35-Vorrunde!$K35)&gt;1),Vorrunde!$I35,"")</f>
        <v>14</v>
      </c>
      <c r="Y87" s="35">
        <f ca="1">IF(AND($AA87=1,Vorrunde!$I35&lt;&gt;"",Vorrunde!$K35&lt;&gt;"",ABS(Vorrunde!$I35-Vorrunde!$K35)&gt;1),Vorrunde!$K35,"")</f>
        <v>25</v>
      </c>
      <c r="Z87" s="34" t="str">
        <f t="shared" ca="1" si="74"/>
        <v>HSVSV Oberredenburg</v>
      </c>
      <c r="AA87" s="13">
        <f ca="1">IF(AND(V87&lt;&gt;"",W87&lt;&gt;"",V87&lt;&gt;W87,Vorrunde!$R35&lt;&gt;"",Vorrunde!$T35&lt;&gt;""),1,0)</f>
        <v>1</v>
      </c>
      <c r="AB87" s="13" t="str">
        <f ca="1">IF(AA87&gt;0,AH87&amp;Sprache!$E$109&amp;AI87,"")</f>
        <v>39 : 44</v>
      </c>
      <c r="AC87" s="141" t="str">
        <f ca="1">IF(AA87&gt;0,AJ87&amp;Sprache!$E$109&amp;AK87,"")</f>
        <v>1 : 1</v>
      </c>
      <c r="AD87" s="145">
        <f ca="1">IF(AND($AA87=1,Vorrunde!$L35&lt;&gt;"",Vorrunde!$N35&lt;&gt;"",ABS(Vorrunde!$L35-Vorrunde!$N35)&gt;1),Vorrunde!$L35,"")</f>
        <v>25</v>
      </c>
      <c r="AE87" s="141">
        <f ca="1">IF(AND($AA87=1,Vorrunde!$L35&lt;&gt;"",Vorrunde!$N35&lt;&gt;"",ABS(Vorrunde!$L35-Vorrunde!$N35)&gt;1),Vorrunde!$N35,"")</f>
        <v>19</v>
      </c>
      <c r="AF87" s="145" t="str">
        <f ca="1">IF(AND($AA87=1,Vorrunde!$O35&lt;&gt;"",Vorrunde!$Q35&lt;&gt;"",ABS(Vorrunde!$O35-Vorrunde!$Q35)&gt;1),Vorrunde!$O35,"")</f>
        <v/>
      </c>
      <c r="AG87" s="141" t="str">
        <f ca="1">IF(AND($AA87=1,Vorrunde!$O35&lt;&gt;"",Vorrunde!$Q35&lt;&gt;"",ABS(Vorrunde!$O35-Vorrunde!$Q35)&gt;1),Vorrunde!$Q35,"")</f>
        <v/>
      </c>
      <c r="AH87" s="145">
        <f t="shared" ca="1" si="72"/>
        <v>39</v>
      </c>
      <c r="AI87" s="141">
        <f t="shared" ca="1" si="73"/>
        <v>44</v>
      </c>
      <c r="AJ87" s="145">
        <f ca="1">IF(Vorrunde!$R35="",0,Vorrunde!$R35)</f>
        <v>1</v>
      </c>
      <c r="AK87" s="141">
        <f ca="1">IF(Vorrunde!$T35="",0,Vorrunde!$T35)</f>
        <v>1</v>
      </c>
      <c r="AL87" s="145">
        <f ca="1">IF($AA87=0,"",IF($AJ87&gt;$AK87,Einstellungen!$C$4,IF($AJ87=$AK87,1,0)))</f>
        <v>1</v>
      </c>
      <c r="AM87" s="141">
        <f ca="1">IF($AA87=0,"",IF($AJ87&lt;$AK87,Einstellungen!$C$4,IF($AJ87=$AK87,1,0)))</f>
        <v>1</v>
      </c>
    </row>
    <row r="88" spans="2:39" s="2" customFormat="1" x14ac:dyDescent="0.2">
      <c r="B88" s="4"/>
      <c r="C88" s="4"/>
      <c r="D88" s="4"/>
      <c r="E88" s="4"/>
      <c r="F88" s="13"/>
      <c r="G88" s="13"/>
      <c r="H88" s="13"/>
      <c r="I88" s="13"/>
      <c r="J88" s="13"/>
      <c r="K88" s="13"/>
      <c r="L88" s="13"/>
      <c r="M88" s="13"/>
      <c r="U88" s="66" t="s">
        <v>39</v>
      </c>
      <c r="V88" s="40" t="str">
        <f ca="1">Planung!$L30</f>
        <v>FC Barcelona</v>
      </c>
      <c r="W88" s="13" t="str">
        <f ca="1">Planung!$N30</f>
        <v>Maibach 1822 eV</v>
      </c>
      <c r="X88" s="13">
        <f ca="1">IF(AND($AA88=1,Vorrunde!$I36&lt;&gt;"",Vorrunde!$K36&lt;&gt;"",ABS(Vorrunde!$I36-Vorrunde!$K36)&gt;1),Vorrunde!$I36,"")</f>
        <v>20</v>
      </c>
      <c r="Y88" s="35">
        <f ca="1">IF(AND($AA88=1,Vorrunde!$I36&lt;&gt;"",Vorrunde!$K36&lt;&gt;"",ABS(Vorrunde!$I36-Vorrunde!$K36)&gt;1),Vorrunde!$K36,"")</f>
        <v>25</v>
      </c>
      <c r="Z88" s="34" t="str">
        <f t="shared" ca="1" si="74"/>
        <v>FC BarcelonaMaibach 1822 eV</v>
      </c>
      <c r="AA88" s="13">
        <f ca="1">IF(AND(V88&lt;&gt;"",W88&lt;&gt;"",V88&lt;&gt;W88,Vorrunde!$R36&lt;&gt;"",Vorrunde!$T36&lt;&gt;""),1,0)</f>
        <v>1</v>
      </c>
      <c r="AB88" s="13" t="str">
        <f ca="1">IF(AA88&gt;0,AH88&amp;Sprache!$E$109&amp;AI88,"")</f>
        <v>45 : 45</v>
      </c>
      <c r="AC88" s="141" t="str">
        <f ca="1">IF(AA88&gt;0,AJ88&amp;Sprache!$E$109&amp;AK88,"")</f>
        <v>1 : 1</v>
      </c>
      <c r="AD88" s="145">
        <f ca="1">IF(AND($AA88=1,Vorrunde!$L36&lt;&gt;"",Vorrunde!$N36&lt;&gt;"",ABS(Vorrunde!$L36-Vorrunde!$N36)&gt;1),Vorrunde!$L36,"")</f>
        <v>25</v>
      </c>
      <c r="AE88" s="141">
        <f ca="1">IF(AND($AA88=1,Vorrunde!$L36&lt;&gt;"",Vorrunde!$N36&lt;&gt;"",ABS(Vorrunde!$L36-Vorrunde!$N36)&gt;1),Vorrunde!$N36,"")</f>
        <v>20</v>
      </c>
      <c r="AF88" s="145" t="str">
        <f ca="1">IF(AND($AA88=1,Vorrunde!$O36&lt;&gt;"",Vorrunde!$Q36&lt;&gt;"",ABS(Vorrunde!$O36-Vorrunde!$Q36)&gt;1),Vorrunde!$O36,"")</f>
        <v/>
      </c>
      <c r="AG88" s="141" t="str">
        <f ca="1">IF(AND($AA88=1,Vorrunde!$O36&lt;&gt;"",Vorrunde!$Q36&lt;&gt;"",ABS(Vorrunde!$O36-Vorrunde!$Q36)&gt;1),Vorrunde!$Q36,"")</f>
        <v/>
      </c>
      <c r="AH88" s="145">
        <f t="shared" ca="1" si="72"/>
        <v>45</v>
      </c>
      <c r="AI88" s="141">
        <f t="shared" ca="1" si="73"/>
        <v>45</v>
      </c>
      <c r="AJ88" s="145">
        <f ca="1">IF(Vorrunde!$R36="",0,Vorrunde!$R36)</f>
        <v>1</v>
      </c>
      <c r="AK88" s="141">
        <f ca="1">IF(Vorrunde!$T36="",0,Vorrunde!$T36)</f>
        <v>1</v>
      </c>
      <c r="AL88" s="145">
        <f ca="1">IF($AA88=0,"",IF($AJ88&gt;$AK88,Einstellungen!$C$4,IF($AJ88=$AK88,1,0)))</f>
        <v>1</v>
      </c>
      <c r="AM88" s="141">
        <f ca="1">IF($AA88=0,"",IF($AJ88&lt;$AK88,Einstellungen!$C$4,IF($AJ88=$AK88,1,0)))</f>
        <v>1</v>
      </c>
    </row>
    <row r="89" spans="2:39" s="2" customFormat="1" x14ac:dyDescent="0.2">
      <c r="B89" s="4"/>
      <c r="C89" s="4"/>
      <c r="D89" s="4"/>
      <c r="E89" s="4"/>
      <c r="F89" s="13"/>
      <c r="G89" s="13"/>
      <c r="H89" s="13"/>
      <c r="I89" s="13"/>
      <c r="J89" s="13"/>
      <c r="K89" s="13"/>
      <c r="L89" s="13"/>
      <c r="M89" s="13"/>
      <c r="U89" s="66" t="s">
        <v>40</v>
      </c>
      <c r="V89" s="40" t="str">
        <f ca="1">Planung!$L31</f>
        <v>Inter Mailand</v>
      </c>
      <c r="W89" s="13" t="str">
        <f ca="1">Planung!$N31</f>
        <v>Manchester City</v>
      </c>
      <c r="X89" s="13">
        <f ca="1">IF(AND($AA89=1,Vorrunde!$I37&lt;&gt;"",Vorrunde!$K37&lt;&gt;"",ABS(Vorrunde!$I37-Vorrunde!$K37)&gt;1),Vorrunde!$I37,"")</f>
        <v>19</v>
      </c>
      <c r="Y89" s="35">
        <f ca="1">IF(AND($AA89=1,Vorrunde!$I37&lt;&gt;"",Vorrunde!$K37&lt;&gt;"",ABS(Vorrunde!$I37-Vorrunde!$K37)&gt;1),Vorrunde!$K37,"")</f>
        <v>25</v>
      </c>
      <c r="Z89" s="34" t="str">
        <f t="shared" ca="1" si="74"/>
        <v>Inter MailandManchester City</v>
      </c>
      <c r="AA89" s="13">
        <f ca="1">IF(AND(V89&lt;&gt;"",W89&lt;&gt;"",V89&lt;&gt;W89,Vorrunde!$R37&lt;&gt;"",Vorrunde!$T37&lt;&gt;""),1,0)</f>
        <v>1</v>
      </c>
      <c r="AB89" s="13" t="str">
        <f ca="1">IF(AA89&gt;0,AH89&amp;Sprache!$E$109&amp;AI89,"")</f>
        <v>44 : 46</v>
      </c>
      <c r="AC89" s="141" t="str">
        <f ca="1">IF(AA89&gt;0,AJ89&amp;Sprache!$E$109&amp;AK89,"")</f>
        <v>1 : 1</v>
      </c>
      <c r="AD89" s="145">
        <f ca="1">IF(AND($AA89=1,Vorrunde!$L37&lt;&gt;"",Vorrunde!$N37&lt;&gt;"",ABS(Vorrunde!$L37-Vorrunde!$N37)&gt;1),Vorrunde!$L37,"")</f>
        <v>25</v>
      </c>
      <c r="AE89" s="141">
        <f ca="1">IF(AND($AA89=1,Vorrunde!$L37&lt;&gt;"",Vorrunde!$N37&lt;&gt;"",ABS(Vorrunde!$L37-Vorrunde!$N37)&gt;1),Vorrunde!$N37,"")</f>
        <v>21</v>
      </c>
      <c r="AF89" s="145" t="str">
        <f ca="1">IF(AND($AA89=1,Vorrunde!$O37&lt;&gt;"",Vorrunde!$Q37&lt;&gt;"",ABS(Vorrunde!$O37-Vorrunde!$Q37)&gt;1),Vorrunde!$O37,"")</f>
        <v/>
      </c>
      <c r="AG89" s="141" t="str">
        <f ca="1">IF(AND($AA89=1,Vorrunde!$O37&lt;&gt;"",Vorrunde!$Q37&lt;&gt;"",ABS(Vorrunde!$O37-Vorrunde!$Q37)&gt;1),Vorrunde!$Q37,"")</f>
        <v/>
      </c>
      <c r="AH89" s="145">
        <f t="shared" ca="1" si="72"/>
        <v>44</v>
      </c>
      <c r="AI89" s="141">
        <f t="shared" ca="1" si="73"/>
        <v>46</v>
      </c>
      <c r="AJ89" s="145">
        <f ca="1">IF(Vorrunde!$R37="",0,Vorrunde!$R37)</f>
        <v>1</v>
      </c>
      <c r="AK89" s="141">
        <f ca="1">IF(Vorrunde!$T37="",0,Vorrunde!$T37)</f>
        <v>1</v>
      </c>
      <c r="AL89" s="145">
        <f ca="1">IF($AA89=0,"",IF($AJ89&gt;$AK89,Einstellungen!$C$4,IF($AJ89=$AK89,1,0)))</f>
        <v>1</v>
      </c>
      <c r="AM89" s="141">
        <f ca="1">IF($AA89=0,"",IF($AJ89&lt;$AK89,Einstellungen!$C$4,IF($AJ89=$AK89,1,0)))</f>
        <v>1</v>
      </c>
    </row>
    <row r="90" spans="2:39" s="2" customFormat="1" x14ac:dyDescent="0.2">
      <c r="B90" s="4"/>
      <c r="C90" s="4"/>
      <c r="D90" s="4"/>
      <c r="E90" s="4"/>
      <c r="F90" s="13"/>
      <c r="G90" s="13"/>
      <c r="H90" s="13"/>
      <c r="I90" s="13"/>
      <c r="J90" s="13"/>
      <c r="K90" s="13"/>
      <c r="L90" s="13"/>
      <c r="M90" s="13"/>
      <c r="U90" s="66" t="s">
        <v>41</v>
      </c>
      <c r="V90" s="40" t="str">
        <f ca="1">Planung!$L32</f>
        <v>Real Madrid</v>
      </c>
      <c r="W90" s="13" t="str">
        <f ca="1">Planung!$N32</f>
        <v>FSV Rauen</v>
      </c>
      <c r="X90" s="13">
        <f ca="1">IF(AND($AA90=1,Vorrunde!$I38&lt;&gt;"",Vorrunde!$K38&lt;&gt;"",ABS(Vorrunde!$I38-Vorrunde!$K38)&gt;1),Vorrunde!$I38,"")</f>
        <v>17</v>
      </c>
      <c r="Y90" s="35">
        <f ca="1">IF(AND($AA90=1,Vorrunde!$I38&lt;&gt;"",Vorrunde!$K38&lt;&gt;"",ABS(Vorrunde!$I38-Vorrunde!$K38)&gt;1),Vorrunde!$K38,"")</f>
        <v>25</v>
      </c>
      <c r="Z90" s="34" t="str">
        <f t="shared" ca="1" si="74"/>
        <v>Real MadridFSV Rauen</v>
      </c>
      <c r="AA90" s="13">
        <f ca="1">IF(AND(V90&lt;&gt;"",W90&lt;&gt;"",V90&lt;&gt;W90,Vorrunde!$R38&lt;&gt;"",Vorrunde!$T38&lt;&gt;""),1,0)</f>
        <v>1</v>
      </c>
      <c r="AB90" s="13" t="str">
        <f ca="1">IF(AA90&gt;0,AH90&amp;Sprache!$E$109&amp;AI90,"")</f>
        <v>42 : 47</v>
      </c>
      <c r="AC90" s="141" t="str">
        <f ca="1">IF(AA90&gt;0,AJ90&amp;Sprache!$E$109&amp;AK90,"")</f>
        <v>1 : 1</v>
      </c>
      <c r="AD90" s="145">
        <f ca="1">IF(AND($AA90=1,Vorrunde!$L38&lt;&gt;"",Vorrunde!$N38&lt;&gt;"",ABS(Vorrunde!$L38-Vorrunde!$N38)&gt;1),Vorrunde!$L38,"")</f>
        <v>25</v>
      </c>
      <c r="AE90" s="141">
        <f ca="1">IF(AND($AA90=1,Vorrunde!$L38&lt;&gt;"",Vorrunde!$N38&lt;&gt;"",ABS(Vorrunde!$L38-Vorrunde!$N38)&gt;1),Vorrunde!$N38,"")</f>
        <v>22</v>
      </c>
      <c r="AF90" s="145" t="str">
        <f ca="1">IF(AND($AA90=1,Vorrunde!$O38&lt;&gt;"",Vorrunde!$Q38&lt;&gt;"",ABS(Vorrunde!$O38-Vorrunde!$Q38)&gt;1),Vorrunde!$O38,"")</f>
        <v/>
      </c>
      <c r="AG90" s="141" t="str">
        <f ca="1">IF(AND($AA90=1,Vorrunde!$O38&lt;&gt;"",Vorrunde!$Q38&lt;&gt;"",ABS(Vorrunde!$O38-Vorrunde!$Q38)&gt;1),Vorrunde!$Q38,"")</f>
        <v/>
      </c>
      <c r="AH90" s="145">
        <f t="shared" ca="1" si="72"/>
        <v>42</v>
      </c>
      <c r="AI90" s="141">
        <f t="shared" ca="1" si="73"/>
        <v>47</v>
      </c>
      <c r="AJ90" s="145">
        <f ca="1">IF(Vorrunde!$R38="",0,Vorrunde!$R38)</f>
        <v>1</v>
      </c>
      <c r="AK90" s="141">
        <f ca="1">IF(Vorrunde!$T38="",0,Vorrunde!$T38)</f>
        <v>1</v>
      </c>
      <c r="AL90" s="145">
        <f ca="1">IF($AA90=0,"",IF($AJ90&gt;$AK90,Einstellungen!$C$4,IF($AJ90=$AK90,1,0)))</f>
        <v>1</v>
      </c>
      <c r="AM90" s="141">
        <f ca="1">IF($AA90=0,"",IF($AJ90&lt;$AK90,Einstellungen!$C$4,IF($AJ90=$AK90,1,0)))</f>
        <v>1</v>
      </c>
    </row>
    <row r="91" spans="2:39" s="2" customFormat="1" x14ac:dyDescent="0.2">
      <c r="B91" s="4"/>
      <c r="C91" s="4"/>
      <c r="D91" s="4"/>
      <c r="E91" s="4"/>
      <c r="F91" s="13"/>
      <c r="G91" s="13"/>
      <c r="H91" s="13"/>
      <c r="I91" s="13"/>
      <c r="J91" s="13"/>
      <c r="K91" s="13"/>
      <c r="L91" s="13"/>
      <c r="M91" s="13"/>
      <c r="U91" s="66" t="s">
        <v>42</v>
      </c>
      <c r="V91" s="40" t="str">
        <f ca="1">Planung!$L33</f>
        <v>Paris St. Germain</v>
      </c>
      <c r="W91" s="13" t="str">
        <f ca="1">Planung!$N33</f>
        <v>RB Leipzig</v>
      </c>
      <c r="X91" s="13">
        <f ca="1">IF(AND($AA91=1,Vorrunde!$I39&lt;&gt;"",Vorrunde!$K39&lt;&gt;"",ABS(Vorrunde!$I39-Vorrunde!$K39)&gt;1),Vorrunde!$I39,"")</f>
        <v>19</v>
      </c>
      <c r="Y91" s="35">
        <f ca="1">IF(AND($AA91=1,Vorrunde!$I39&lt;&gt;"",Vorrunde!$K39&lt;&gt;"",ABS(Vorrunde!$I39-Vorrunde!$K39)&gt;1),Vorrunde!$K39,"")</f>
        <v>25</v>
      </c>
      <c r="Z91" s="34" t="str">
        <f t="shared" ca="1" si="74"/>
        <v>Paris St. GermainRB Leipzig</v>
      </c>
      <c r="AA91" s="13">
        <f ca="1">IF(AND(V91&lt;&gt;"",W91&lt;&gt;"",V91&lt;&gt;W91,Vorrunde!$R39&lt;&gt;"",Vorrunde!$T39&lt;&gt;""),1,0)</f>
        <v>1</v>
      </c>
      <c r="AB91" s="13" t="str">
        <f ca="1">IF(AA91&gt;0,AH91&amp;Sprache!$E$109&amp;AI91,"")</f>
        <v>44 : 48</v>
      </c>
      <c r="AC91" s="141" t="str">
        <f ca="1">IF(AA91&gt;0,AJ91&amp;Sprache!$E$109&amp;AK91,"")</f>
        <v>1 : 1</v>
      </c>
      <c r="AD91" s="145">
        <f ca="1">IF(AND($AA91=1,Vorrunde!$L39&lt;&gt;"",Vorrunde!$N39&lt;&gt;"",ABS(Vorrunde!$L39-Vorrunde!$N39)&gt;1),Vorrunde!$L39,"")</f>
        <v>25</v>
      </c>
      <c r="AE91" s="141">
        <f ca="1">IF(AND($AA91=1,Vorrunde!$L39&lt;&gt;"",Vorrunde!$N39&lt;&gt;"",ABS(Vorrunde!$L39-Vorrunde!$N39)&gt;1),Vorrunde!$N39,"")</f>
        <v>23</v>
      </c>
      <c r="AF91" s="145" t="str">
        <f ca="1">IF(AND($AA91=1,Vorrunde!$O39&lt;&gt;"",Vorrunde!$Q39&lt;&gt;"",ABS(Vorrunde!$O39-Vorrunde!$Q39)&gt;1),Vorrunde!$O39,"")</f>
        <v/>
      </c>
      <c r="AG91" s="141" t="str">
        <f ca="1">IF(AND($AA91=1,Vorrunde!$O39&lt;&gt;"",Vorrunde!$Q39&lt;&gt;"",ABS(Vorrunde!$O39-Vorrunde!$Q39)&gt;1),Vorrunde!$Q39,"")</f>
        <v/>
      </c>
      <c r="AH91" s="145">
        <f t="shared" ca="1" si="72"/>
        <v>44</v>
      </c>
      <c r="AI91" s="141">
        <f t="shared" ca="1" si="73"/>
        <v>48</v>
      </c>
      <c r="AJ91" s="145">
        <f ca="1">IF(Vorrunde!$R39="",0,Vorrunde!$R39)</f>
        <v>1</v>
      </c>
      <c r="AK91" s="141">
        <f ca="1">IF(Vorrunde!$T39="",0,Vorrunde!$T39)</f>
        <v>1</v>
      </c>
      <c r="AL91" s="145">
        <f ca="1">IF($AA91=0,"",IF($AJ91&gt;$AK91,Einstellungen!$C$4,IF($AJ91=$AK91,1,0)))</f>
        <v>1</v>
      </c>
      <c r="AM91" s="141">
        <f ca="1">IF($AA91=0,"",IF($AJ91&lt;$AK91,Einstellungen!$C$4,IF($AJ91=$AK91,1,0)))</f>
        <v>1</v>
      </c>
    </row>
    <row r="92" spans="2:39" s="2" customFormat="1" x14ac:dyDescent="0.2">
      <c r="B92" s="4"/>
      <c r="C92" s="4"/>
      <c r="D92" s="4"/>
      <c r="E92" s="4"/>
      <c r="F92" s="13"/>
      <c r="G92" s="13"/>
      <c r="H92" s="13"/>
      <c r="I92" s="13"/>
      <c r="J92" s="13"/>
      <c r="K92" s="13"/>
      <c r="L92" s="13"/>
      <c r="M92" s="13"/>
      <c r="U92" s="66" t="s">
        <v>43</v>
      </c>
      <c r="V92" s="40" t="str">
        <f ca="1">Planung!$L34</f>
        <v>Eintracht Frankfurt</v>
      </c>
      <c r="W92" s="13" t="str">
        <f ca="1">Planung!$N34</f>
        <v>1. FC Riedwald</v>
      </c>
      <c r="X92" s="13">
        <f ca="1">IF(AND($AA92=1,Vorrunde!$I40&lt;&gt;"",Vorrunde!$K40&lt;&gt;"",ABS(Vorrunde!$I40-Vorrunde!$K40)&gt;1),Vorrunde!$I40,"")</f>
        <v>25</v>
      </c>
      <c r="Y92" s="35">
        <f ca="1">IF(AND($AA92=1,Vorrunde!$I40&lt;&gt;"",Vorrunde!$K40&lt;&gt;"",ABS(Vorrunde!$I40-Vorrunde!$K40)&gt;1),Vorrunde!$K40,"")</f>
        <v>17</v>
      </c>
      <c r="Z92" s="34" t="str">
        <f t="shared" ca="1" si="74"/>
        <v>Eintracht Frankfurt1. FC Riedwald</v>
      </c>
      <c r="AA92" s="13">
        <f ca="1">IF(AND(V92&lt;&gt;"",W92&lt;&gt;"",V92&lt;&gt;W92,Vorrunde!$R40&lt;&gt;"",Vorrunde!$T40&lt;&gt;""),1,0)</f>
        <v>1</v>
      </c>
      <c r="AB92" s="13" t="str">
        <f ca="1">IF(AA92&gt;0,AH92&amp;Sprache!$E$109&amp;AI92,"")</f>
        <v>50 : 34</v>
      </c>
      <c r="AC92" s="141" t="str">
        <f ca="1">IF(AA92&gt;0,AJ92&amp;Sprache!$E$109&amp;AK92,"")</f>
        <v>2 : 0</v>
      </c>
      <c r="AD92" s="145">
        <f ca="1">IF(AND($AA92=1,Vorrunde!$L40&lt;&gt;"",Vorrunde!$N40&lt;&gt;"",ABS(Vorrunde!$L40-Vorrunde!$N40)&gt;1),Vorrunde!$L40,"")</f>
        <v>25</v>
      </c>
      <c r="AE92" s="141">
        <f ca="1">IF(AND($AA92=1,Vorrunde!$L40&lt;&gt;"",Vorrunde!$N40&lt;&gt;"",ABS(Vorrunde!$L40-Vorrunde!$N40)&gt;1),Vorrunde!$N40,"")</f>
        <v>17</v>
      </c>
      <c r="AF92" s="145" t="str">
        <f ca="1">IF(AND($AA92=1,Vorrunde!$O40&lt;&gt;"",Vorrunde!$Q40&lt;&gt;"",ABS(Vorrunde!$O40-Vorrunde!$Q40)&gt;1),Vorrunde!$O40,"")</f>
        <v/>
      </c>
      <c r="AG92" s="141" t="str">
        <f ca="1">IF(AND($AA92=1,Vorrunde!$O40&lt;&gt;"",Vorrunde!$Q40&lt;&gt;"",ABS(Vorrunde!$O40-Vorrunde!$Q40)&gt;1),Vorrunde!$Q40,"")</f>
        <v/>
      </c>
      <c r="AH92" s="145">
        <f t="shared" ca="1" si="72"/>
        <v>50</v>
      </c>
      <c r="AI92" s="141">
        <f t="shared" ca="1" si="73"/>
        <v>34</v>
      </c>
      <c r="AJ92" s="145">
        <f ca="1">IF(Vorrunde!$R40="",0,Vorrunde!$R40)</f>
        <v>2</v>
      </c>
      <c r="AK92" s="141">
        <f ca="1">IF(Vorrunde!$T40="",0,Vorrunde!$T40)</f>
        <v>0</v>
      </c>
      <c r="AL92" s="145">
        <f ca="1">IF($AA92=0,"",IF($AJ92&gt;$AK92,Einstellungen!$C$4,IF($AJ92=$AK92,1,0)))</f>
        <v>2</v>
      </c>
      <c r="AM92" s="141">
        <f ca="1">IF($AA92=0,"",IF($AJ92&lt;$AK92,Einstellungen!$C$4,IF($AJ92=$AK92,1,0)))</f>
        <v>0</v>
      </c>
    </row>
    <row r="93" spans="2:39" s="2" customFormat="1" x14ac:dyDescent="0.2">
      <c r="B93" s="4"/>
      <c r="C93" s="4"/>
      <c r="D93" s="4"/>
      <c r="E93" s="4"/>
      <c r="F93" s="13"/>
      <c r="G93" s="13"/>
      <c r="H93" s="13"/>
      <c r="I93" s="13"/>
      <c r="J93" s="13"/>
      <c r="K93" s="13"/>
      <c r="L93" s="13"/>
      <c r="M93" s="13"/>
      <c r="U93" s="66" t="s">
        <v>44</v>
      </c>
      <c r="V93" s="40" t="str">
        <f ca="1">Planung!$L35</f>
        <v>SSV Wildbach</v>
      </c>
      <c r="W93" s="13" t="str">
        <f ca="1">Planung!$N35</f>
        <v>Mainz 05</v>
      </c>
      <c r="X93" s="13">
        <f ca="1">IF(AND($AA93=1,Vorrunde!$I41&lt;&gt;"",Vorrunde!$K41&lt;&gt;"",ABS(Vorrunde!$I41-Vorrunde!$K41)&gt;1),Vorrunde!$I41,"")</f>
        <v>14</v>
      </c>
      <c r="Y93" s="35">
        <f ca="1">IF(AND($AA93=1,Vorrunde!$I41&lt;&gt;"",Vorrunde!$K41&lt;&gt;"",ABS(Vorrunde!$I41-Vorrunde!$K41)&gt;1),Vorrunde!$K41,"")</f>
        <v>25</v>
      </c>
      <c r="Z93" s="34" t="str">
        <f t="shared" ca="1" si="74"/>
        <v>SSV WildbachMainz 05</v>
      </c>
      <c r="AA93" s="13">
        <f ca="1">IF(AND(V93&lt;&gt;"",W93&lt;&gt;"",V93&lt;&gt;W93,Vorrunde!$R41&lt;&gt;"",Vorrunde!$T41&lt;&gt;""),1,0)</f>
        <v>1</v>
      </c>
      <c r="AB93" s="13" t="str">
        <f ca="1">IF(AA93&gt;0,AH93&amp;Sprache!$E$109&amp;AI93,"")</f>
        <v>39 : 43</v>
      </c>
      <c r="AC93" s="141" t="str">
        <f ca="1">IF(AA93&gt;0,AJ93&amp;Sprache!$E$109&amp;AK93,"")</f>
        <v>1 : 1</v>
      </c>
      <c r="AD93" s="145">
        <f ca="1">IF(AND($AA93=1,Vorrunde!$L41&lt;&gt;"",Vorrunde!$N41&lt;&gt;"",ABS(Vorrunde!$L41-Vorrunde!$N41)&gt;1),Vorrunde!$L41,"")</f>
        <v>25</v>
      </c>
      <c r="AE93" s="141">
        <f ca="1">IF(AND($AA93=1,Vorrunde!$L41&lt;&gt;"",Vorrunde!$N41&lt;&gt;"",ABS(Vorrunde!$L41-Vorrunde!$N41)&gt;1),Vorrunde!$N41,"")</f>
        <v>18</v>
      </c>
      <c r="AF93" s="145" t="str">
        <f ca="1">IF(AND($AA93=1,Vorrunde!$O41&lt;&gt;"",Vorrunde!$Q41&lt;&gt;"",ABS(Vorrunde!$O41-Vorrunde!$Q41)&gt;1),Vorrunde!$O41,"")</f>
        <v/>
      </c>
      <c r="AG93" s="141" t="str">
        <f ca="1">IF(AND($AA93=1,Vorrunde!$O41&lt;&gt;"",Vorrunde!$Q41&lt;&gt;"",ABS(Vorrunde!$O41-Vorrunde!$Q41)&gt;1),Vorrunde!$Q41,"")</f>
        <v/>
      </c>
      <c r="AH93" s="145">
        <f t="shared" ca="1" si="72"/>
        <v>39</v>
      </c>
      <c r="AI93" s="141">
        <f t="shared" ca="1" si="73"/>
        <v>43</v>
      </c>
      <c r="AJ93" s="145">
        <f ca="1">IF(Vorrunde!$R41="",0,Vorrunde!$R41)</f>
        <v>1</v>
      </c>
      <c r="AK93" s="141">
        <f ca="1">IF(Vorrunde!$T41="",0,Vorrunde!$T41)</f>
        <v>1</v>
      </c>
      <c r="AL93" s="145">
        <f ca="1">IF($AA93=0,"",IF($AJ93&gt;$AK93,Einstellungen!$C$4,IF($AJ93=$AK93,1,0)))</f>
        <v>1</v>
      </c>
      <c r="AM93" s="141">
        <f ca="1">IF($AA93=0,"",IF($AJ93&lt;$AK93,Einstellungen!$C$4,IF($AJ93=$AK93,1,0)))</f>
        <v>1</v>
      </c>
    </row>
    <row r="94" spans="2:39" s="2" customFormat="1" x14ac:dyDescent="0.2">
      <c r="B94" s="4"/>
      <c r="C94" s="4"/>
      <c r="D94" s="4"/>
      <c r="E94" s="4"/>
      <c r="F94" s="13"/>
      <c r="G94" s="13"/>
      <c r="H94" s="13"/>
      <c r="I94" s="13"/>
      <c r="J94" s="13"/>
      <c r="K94" s="13"/>
      <c r="L94" s="13"/>
      <c r="M94" s="13"/>
      <c r="U94" s="66" t="s">
        <v>45</v>
      </c>
      <c r="V94" s="40" t="str">
        <f ca="1">Planung!$L36</f>
        <v>Borussia Dortmund</v>
      </c>
      <c r="W94" s="13" t="str">
        <f ca="1">Planung!$N36</f>
        <v>Kickers Rodendorf</v>
      </c>
      <c r="X94" s="13">
        <f ca="1">IF(AND($AA94=1,Vorrunde!$I42&lt;&gt;"",Vorrunde!$K42&lt;&gt;"",ABS(Vorrunde!$I42-Vorrunde!$K42)&gt;1),Vorrunde!$I42,"")</f>
        <v>20</v>
      </c>
      <c r="Y94" s="35">
        <f ca="1">IF(AND($AA94=1,Vorrunde!$I42&lt;&gt;"",Vorrunde!$K42&lt;&gt;"",ABS(Vorrunde!$I42-Vorrunde!$K42)&gt;1),Vorrunde!$K42,"")</f>
        <v>25</v>
      </c>
      <c r="Z94" s="34" t="str">
        <f t="shared" ref="Z94:Z123" ca="1" si="75">V94&amp;W94</f>
        <v>Borussia DortmundKickers Rodendorf</v>
      </c>
      <c r="AA94" s="13">
        <f ca="1">IF(AND(V94&lt;&gt;"",W94&lt;&gt;"",V94&lt;&gt;W94,Vorrunde!$R42&lt;&gt;"",Vorrunde!$T42&lt;&gt;""),1,0)</f>
        <v>1</v>
      </c>
      <c r="AB94" s="13" t="str">
        <f ca="1">IF(AA94&gt;0,AH94&amp;Sprache!$E$109&amp;AI94,"")</f>
        <v>45 : 44</v>
      </c>
      <c r="AC94" s="141" t="str">
        <f ca="1">IF(AA94&gt;0,AJ94&amp;Sprache!$E$109&amp;AK94,"")</f>
        <v>1 : 1</v>
      </c>
      <c r="AD94" s="145">
        <f ca="1">IF(AND($AA94=1,Vorrunde!$L42&lt;&gt;"",Vorrunde!$N42&lt;&gt;"",ABS(Vorrunde!$L42-Vorrunde!$N42)&gt;1),Vorrunde!$L42,"")</f>
        <v>25</v>
      </c>
      <c r="AE94" s="141">
        <f ca="1">IF(AND($AA94=1,Vorrunde!$L42&lt;&gt;"",Vorrunde!$N42&lt;&gt;"",ABS(Vorrunde!$L42-Vorrunde!$N42)&gt;1),Vorrunde!$N42,"")</f>
        <v>19</v>
      </c>
      <c r="AF94" s="145" t="str">
        <f ca="1">IF(AND($AA94=1,Vorrunde!$O42&lt;&gt;"",Vorrunde!$Q42&lt;&gt;"",ABS(Vorrunde!$O42-Vorrunde!$Q42)&gt;1),Vorrunde!$O42,"")</f>
        <v/>
      </c>
      <c r="AG94" s="141" t="str">
        <f ca="1">IF(AND($AA94=1,Vorrunde!$O42&lt;&gt;"",Vorrunde!$Q42&lt;&gt;"",ABS(Vorrunde!$O42-Vorrunde!$Q42)&gt;1),Vorrunde!$Q42,"")</f>
        <v/>
      </c>
      <c r="AH94" s="145">
        <f t="shared" ca="1" si="72"/>
        <v>45</v>
      </c>
      <c r="AI94" s="141">
        <f t="shared" ca="1" si="73"/>
        <v>44</v>
      </c>
      <c r="AJ94" s="145">
        <f ca="1">IF(Vorrunde!$R42="",0,Vorrunde!$R42)</f>
        <v>1</v>
      </c>
      <c r="AK94" s="141">
        <f ca="1">IF(Vorrunde!$T42="",0,Vorrunde!$T42)</f>
        <v>1</v>
      </c>
      <c r="AL94" s="145">
        <f ca="1">IF($AA94=0,"",IF($AJ94&gt;$AK94,Einstellungen!$C$4,IF($AJ94=$AK94,1,0)))</f>
        <v>1</v>
      </c>
      <c r="AM94" s="141">
        <f ca="1">IF($AA94=0,"",IF($AJ94&lt;$AK94,Einstellungen!$C$4,IF($AJ94=$AK94,1,0)))</f>
        <v>1</v>
      </c>
    </row>
    <row r="95" spans="2:39" s="2" customFormat="1" x14ac:dyDescent="0.2">
      <c r="B95" s="4"/>
      <c r="C95" s="4"/>
      <c r="D95" s="4"/>
      <c r="E95" s="4"/>
      <c r="F95" s="13"/>
      <c r="G95" s="13"/>
      <c r="H95" s="13"/>
      <c r="I95" s="13"/>
      <c r="J95" s="13"/>
      <c r="K95" s="13"/>
      <c r="L95" s="13"/>
      <c r="M95" s="13"/>
      <c r="U95" s="66" t="s">
        <v>46</v>
      </c>
      <c r="V95" s="40" t="str">
        <f ca="1">Planung!$L37</f>
        <v>HSV</v>
      </c>
      <c r="W95" s="13" t="str">
        <f ca="1">Planung!$N37</f>
        <v>TSG Saalberg eV</v>
      </c>
      <c r="X95" s="13">
        <f ca="1">IF(AND($AA95=1,Vorrunde!$I43&lt;&gt;"",Vorrunde!$K43&lt;&gt;"",ABS(Vorrunde!$I43-Vorrunde!$K43)&gt;1),Vorrunde!$I43,"")</f>
        <v>19</v>
      </c>
      <c r="Y95" s="35">
        <f ca="1">IF(AND($AA95=1,Vorrunde!$I43&lt;&gt;"",Vorrunde!$K43&lt;&gt;"",ABS(Vorrunde!$I43-Vorrunde!$K43)&gt;1),Vorrunde!$K43,"")</f>
        <v>25</v>
      </c>
      <c r="Z95" s="34" t="str">
        <f t="shared" ca="1" si="75"/>
        <v>HSVTSG Saalberg eV</v>
      </c>
      <c r="AA95" s="13">
        <f ca="1">IF(AND(V95&lt;&gt;"",W95&lt;&gt;"",V95&lt;&gt;W95,Vorrunde!$R43&lt;&gt;"",Vorrunde!$T43&lt;&gt;""),1,0)</f>
        <v>1</v>
      </c>
      <c r="AB95" s="13" t="str">
        <f ca="1">IF(AA95&gt;0,AH95&amp;Sprache!$E$109&amp;AI95,"")</f>
        <v>44 : 45</v>
      </c>
      <c r="AC95" s="141" t="str">
        <f ca="1">IF(AA95&gt;0,AJ95&amp;Sprache!$E$109&amp;AK95,"")</f>
        <v>1 : 1</v>
      </c>
      <c r="AD95" s="145">
        <f ca="1">IF(AND($AA95=1,Vorrunde!$L43&lt;&gt;"",Vorrunde!$N43&lt;&gt;"",ABS(Vorrunde!$L43-Vorrunde!$N43)&gt;1),Vorrunde!$L43,"")</f>
        <v>25</v>
      </c>
      <c r="AE95" s="141">
        <f ca="1">IF(AND($AA95=1,Vorrunde!$L43&lt;&gt;"",Vorrunde!$N43&lt;&gt;"",ABS(Vorrunde!$L43-Vorrunde!$N43)&gt;1),Vorrunde!$N43,"")</f>
        <v>20</v>
      </c>
      <c r="AF95" s="145" t="str">
        <f ca="1">IF(AND($AA95=1,Vorrunde!$O43&lt;&gt;"",Vorrunde!$Q43&lt;&gt;"",ABS(Vorrunde!$O43-Vorrunde!$Q43)&gt;1),Vorrunde!$O43,"")</f>
        <v/>
      </c>
      <c r="AG95" s="141" t="str">
        <f ca="1">IF(AND($AA95=1,Vorrunde!$O43&lt;&gt;"",Vorrunde!$Q43&lt;&gt;"",ABS(Vorrunde!$O43-Vorrunde!$Q43)&gt;1),Vorrunde!$Q43,"")</f>
        <v/>
      </c>
      <c r="AH95" s="145">
        <f t="shared" ca="1" si="72"/>
        <v>44</v>
      </c>
      <c r="AI95" s="141">
        <f t="shared" ca="1" si="73"/>
        <v>45</v>
      </c>
      <c r="AJ95" s="145">
        <f ca="1">IF(Vorrunde!$R43="",0,Vorrunde!$R43)</f>
        <v>1</v>
      </c>
      <c r="AK95" s="141">
        <f ca="1">IF(Vorrunde!$T43="",0,Vorrunde!$T43)</f>
        <v>1</v>
      </c>
      <c r="AL95" s="145">
        <f ca="1">IF($AA95=0,"",IF($AJ95&gt;$AK95,Einstellungen!$C$4,IF($AJ95=$AK95,1,0)))</f>
        <v>1</v>
      </c>
      <c r="AM95" s="141">
        <f ca="1">IF($AA95=0,"",IF($AJ95&lt;$AK95,Einstellungen!$C$4,IF($AJ95=$AK95,1,0)))</f>
        <v>1</v>
      </c>
    </row>
    <row r="96" spans="2:39" s="2" customFormat="1" x14ac:dyDescent="0.2">
      <c r="B96" s="4"/>
      <c r="C96" s="4"/>
      <c r="D96" s="4"/>
      <c r="E96" s="4"/>
      <c r="F96" s="13"/>
      <c r="G96" s="13"/>
      <c r="H96" s="13"/>
      <c r="I96" s="13"/>
      <c r="J96" s="13"/>
      <c r="K96" s="13"/>
      <c r="L96" s="13"/>
      <c r="M96" s="13"/>
      <c r="U96" s="66" t="s">
        <v>47</v>
      </c>
      <c r="V96" s="40" t="str">
        <f ca="1">Planung!$L38</f>
        <v>Maibach 1822 eV</v>
      </c>
      <c r="W96" s="13" t="str">
        <f ca="1">Planung!$N38</f>
        <v>VFB Essenheim</v>
      </c>
      <c r="X96" s="13">
        <f ca="1">IF(AND($AA96=1,Vorrunde!$I44&lt;&gt;"",Vorrunde!$K44&lt;&gt;"",ABS(Vorrunde!$I44-Vorrunde!$K44)&gt;1),Vorrunde!$I44,"")</f>
        <v>17</v>
      </c>
      <c r="Y96" s="35">
        <f ca="1">IF(AND($AA96=1,Vorrunde!$I44&lt;&gt;"",Vorrunde!$K44&lt;&gt;"",ABS(Vorrunde!$I44-Vorrunde!$K44)&gt;1),Vorrunde!$K44,"")</f>
        <v>25</v>
      </c>
      <c r="Z96" s="34" t="str">
        <f t="shared" ca="1" si="75"/>
        <v>Maibach 1822 eVVFB Essenheim</v>
      </c>
      <c r="AA96" s="13">
        <f ca="1">IF(AND(V96&lt;&gt;"",W96&lt;&gt;"",V96&lt;&gt;W96,Vorrunde!$R44&lt;&gt;"",Vorrunde!$T44&lt;&gt;""),1,0)</f>
        <v>1</v>
      </c>
      <c r="AB96" s="13" t="str">
        <f ca="1">IF(AA96&gt;0,AH96&amp;Sprache!$E$109&amp;AI96,"")</f>
        <v>42 : 46</v>
      </c>
      <c r="AC96" s="141" t="str">
        <f ca="1">IF(AA96&gt;0,AJ96&amp;Sprache!$E$109&amp;AK96,"")</f>
        <v>1 : 1</v>
      </c>
      <c r="AD96" s="145">
        <f ca="1">IF(AND($AA96=1,Vorrunde!$L44&lt;&gt;"",Vorrunde!$N44&lt;&gt;"",ABS(Vorrunde!$L44-Vorrunde!$N44)&gt;1),Vorrunde!$L44,"")</f>
        <v>25</v>
      </c>
      <c r="AE96" s="141">
        <f ca="1">IF(AND($AA96=1,Vorrunde!$L44&lt;&gt;"",Vorrunde!$N44&lt;&gt;"",ABS(Vorrunde!$L44-Vorrunde!$N44)&gt;1),Vorrunde!$N44,"")</f>
        <v>21</v>
      </c>
      <c r="AF96" s="145" t="str">
        <f ca="1">IF(AND($AA96=1,Vorrunde!$O44&lt;&gt;"",Vorrunde!$Q44&lt;&gt;"",ABS(Vorrunde!$O44-Vorrunde!$Q44)&gt;1),Vorrunde!$O44,"")</f>
        <v/>
      </c>
      <c r="AG96" s="141" t="str">
        <f ca="1">IF(AND($AA96=1,Vorrunde!$O44&lt;&gt;"",Vorrunde!$Q44&lt;&gt;"",ABS(Vorrunde!$O44-Vorrunde!$Q44)&gt;1),Vorrunde!$Q44,"")</f>
        <v/>
      </c>
      <c r="AH96" s="145">
        <f t="shared" ca="1" si="72"/>
        <v>42</v>
      </c>
      <c r="AI96" s="141">
        <f t="shared" ca="1" si="73"/>
        <v>46</v>
      </c>
      <c r="AJ96" s="145">
        <f ca="1">IF(Vorrunde!$R44="",0,Vorrunde!$R44)</f>
        <v>1</v>
      </c>
      <c r="AK96" s="141">
        <f ca="1">IF(Vorrunde!$T44="",0,Vorrunde!$T44)</f>
        <v>1</v>
      </c>
      <c r="AL96" s="145">
        <f ca="1">IF($AA96=0,"",IF($AJ96&gt;$AK96,Einstellungen!$C$4,IF($AJ96=$AK96,1,0)))</f>
        <v>1</v>
      </c>
      <c r="AM96" s="141">
        <f ca="1">IF($AA96=0,"",IF($AJ96&lt;$AK96,Einstellungen!$C$4,IF($AJ96=$AK96,1,0)))</f>
        <v>1</v>
      </c>
    </row>
    <row r="97" spans="2:39" s="2" customFormat="1" x14ac:dyDescent="0.2">
      <c r="B97" s="4"/>
      <c r="C97" s="4"/>
      <c r="D97" s="4"/>
      <c r="E97" s="4"/>
      <c r="F97" s="13"/>
      <c r="G97" s="13"/>
      <c r="H97" s="13"/>
      <c r="I97" s="13"/>
      <c r="J97" s="13"/>
      <c r="K97" s="13"/>
      <c r="L97" s="13"/>
      <c r="M97" s="13"/>
      <c r="U97" s="66" t="s">
        <v>48</v>
      </c>
      <c r="V97" s="40" t="str">
        <f ca="1">Planung!$L39</f>
        <v>Manchester City</v>
      </c>
      <c r="W97" s="13" t="str">
        <f ca="1">Planung!$N39</f>
        <v>FC Grönlingen</v>
      </c>
      <c r="X97" s="13">
        <f ca="1">IF(AND($AA97=1,Vorrunde!$I45&lt;&gt;"",Vorrunde!$K45&lt;&gt;"",ABS(Vorrunde!$I45-Vorrunde!$K45)&gt;1),Vorrunde!$I45,"")</f>
        <v>14</v>
      </c>
      <c r="Y97" s="35">
        <f ca="1">IF(AND($AA97=1,Vorrunde!$I45&lt;&gt;"",Vorrunde!$K45&lt;&gt;"",ABS(Vorrunde!$I45-Vorrunde!$K45)&gt;1),Vorrunde!$K45,"")</f>
        <v>25</v>
      </c>
      <c r="Z97" s="34" t="str">
        <f t="shared" ca="1" si="75"/>
        <v>Manchester CityFC Grönlingen</v>
      </c>
      <c r="AA97" s="13">
        <f ca="1">IF(AND(V97&lt;&gt;"",W97&lt;&gt;"",V97&lt;&gt;W97,Vorrunde!$R45&lt;&gt;"",Vorrunde!$T45&lt;&gt;""),1,0)</f>
        <v>1</v>
      </c>
      <c r="AB97" s="13" t="str">
        <f ca="1">IF(AA97&gt;0,AH97&amp;Sprache!$E$109&amp;AI97,"")</f>
        <v>39 : 47</v>
      </c>
      <c r="AC97" s="141" t="str">
        <f ca="1">IF(AA97&gt;0,AJ97&amp;Sprache!$E$109&amp;AK97,"")</f>
        <v>1 : 1</v>
      </c>
      <c r="AD97" s="145">
        <f ca="1">IF(AND($AA97=1,Vorrunde!$L45&lt;&gt;"",Vorrunde!$N45&lt;&gt;"",ABS(Vorrunde!$L45-Vorrunde!$N45)&gt;1),Vorrunde!$L45,"")</f>
        <v>25</v>
      </c>
      <c r="AE97" s="141">
        <f ca="1">IF(AND($AA97=1,Vorrunde!$L45&lt;&gt;"",Vorrunde!$N45&lt;&gt;"",ABS(Vorrunde!$L45-Vorrunde!$N45)&gt;1),Vorrunde!$N45,"")</f>
        <v>22</v>
      </c>
      <c r="AF97" s="145" t="str">
        <f ca="1">IF(AND($AA97=1,Vorrunde!$O45&lt;&gt;"",Vorrunde!$Q45&lt;&gt;"",ABS(Vorrunde!$O45-Vorrunde!$Q45)&gt;1),Vorrunde!$O45,"")</f>
        <v/>
      </c>
      <c r="AG97" s="141" t="str">
        <f ca="1">IF(AND($AA97=1,Vorrunde!$O45&lt;&gt;"",Vorrunde!$Q45&lt;&gt;"",ABS(Vorrunde!$O45-Vorrunde!$Q45)&gt;1),Vorrunde!$Q45,"")</f>
        <v/>
      </c>
      <c r="AH97" s="145">
        <f t="shared" ca="1" si="72"/>
        <v>39</v>
      </c>
      <c r="AI97" s="141">
        <f t="shared" ca="1" si="73"/>
        <v>47</v>
      </c>
      <c r="AJ97" s="145">
        <f ca="1">IF(Vorrunde!$R45="",0,Vorrunde!$R45)</f>
        <v>1</v>
      </c>
      <c r="AK97" s="141">
        <f ca="1">IF(Vorrunde!$T45="",0,Vorrunde!$T45)</f>
        <v>1</v>
      </c>
      <c r="AL97" s="145">
        <f ca="1">IF($AA97=0,"",IF($AJ97&gt;$AK97,Einstellungen!$C$4,IF($AJ97=$AK97,1,0)))</f>
        <v>1</v>
      </c>
      <c r="AM97" s="141">
        <f ca="1">IF($AA97=0,"",IF($AJ97&lt;$AK97,Einstellungen!$C$4,IF($AJ97=$AK97,1,0)))</f>
        <v>1</v>
      </c>
    </row>
    <row r="98" spans="2:39" s="2" customFormat="1" x14ac:dyDescent="0.2">
      <c r="B98" s="4"/>
      <c r="C98" s="4"/>
      <c r="D98" s="4"/>
      <c r="E98" s="4"/>
      <c r="F98" s="13"/>
      <c r="G98" s="13"/>
      <c r="H98" s="13"/>
      <c r="I98" s="13"/>
      <c r="J98" s="13"/>
      <c r="K98" s="13"/>
      <c r="L98" s="13"/>
      <c r="M98" s="13"/>
      <c r="U98" s="66" t="s">
        <v>49</v>
      </c>
      <c r="V98" s="40" t="str">
        <f ca="1">Planung!$L40</f>
        <v>FSV Rauen</v>
      </c>
      <c r="W98" s="13" t="str">
        <f ca="1">Planung!$N40</f>
        <v>1. FC Nürnberg</v>
      </c>
      <c r="X98" s="13">
        <f ca="1">IF(AND($AA98=1,Vorrunde!$I46&lt;&gt;"",Vorrunde!$K46&lt;&gt;"",ABS(Vorrunde!$I46-Vorrunde!$K46)&gt;1),Vorrunde!$I46,"")</f>
        <v>25</v>
      </c>
      <c r="Y98" s="35">
        <f ca="1">IF(AND($AA98=1,Vorrunde!$I46&lt;&gt;"",Vorrunde!$K46&lt;&gt;"",ABS(Vorrunde!$I46-Vorrunde!$K46)&gt;1),Vorrunde!$K46,"")</f>
        <v>21</v>
      </c>
      <c r="Z98" s="34" t="str">
        <f t="shared" ca="1" si="75"/>
        <v>FSV Rauen1. FC Nürnberg</v>
      </c>
      <c r="AA98" s="13">
        <f ca="1">IF(AND(V98&lt;&gt;"",W98&lt;&gt;"",V98&lt;&gt;W98,Vorrunde!$R46&lt;&gt;"",Vorrunde!$T46&lt;&gt;""),1,0)</f>
        <v>1</v>
      </c>
      <c r="AB98" s="13" t="str">
        <f ca="1">IF(AA98&gt;0,AH98&amp;Sprache!$E$109&amp;AI98,"")</f>
        <v>50 : 34</v>
      </c>
      <c r="AC98" s="141" t="str">
        <f ca="1">IF(AA98&gt;0,AJ98&amp;Sprache!$E$109&amp;AK98,"")</f>
        <v>2 : 0</v>
      </c>
      <c r="AD98" s="145">
        <f ca="1">IF(AND($AA98=1,Vorrunde!$L46&lt;&gt;"",Vorrunde!$N46&lt;&gt;"",ABS(Vorrunde!$L46-Vorrunde!$N46)&gt;1),Vorrunde!$L46,"")</f>
        <v>25</v>
      </c>
      <c r="AE98" s="141">
        <f ca="1">IF(AND($AA98=1,Vorrunde!$L46&lt;&gt;"",Vorrunde!$N46&lt;&gt;"",ABS(Vorrunde!$L46-Vorrunde!$N46)&gt;1),Vorrunde!$N46,"")</f>
        <v>13</v>
      </c>
      <c r="AF98" s="145" t="str">
        <f ca="1">IF(AND($AA98=1,Vorrunde!$O46&lt;&gt;"",Vorrunde!$Q46&lt;&gt;"",ABS(Vorrunde!$O46-Vorrunde!$Q46)&gt;1),Vorrunde!$O46,"")</f>
        <v/>
      </c>
      <c r="AG98" s="141" t="str">
        <f ca="1">IF(AND($AA98=1,Vorrunde!$O46&lt;&gt;"",Vorrunde!$Q46&lt;&gt;"",ABS(Vorrunde!$O46-Vorrunde!$Q46)&gt;1),Vorrunde!$Q46,"")</f>
        <v/>
      </c>
      <c r="AH98" s="145">
        <f t="shared" ca="1" si="72"/>
        <v>50</v>
      </c>
      <c r="AI98" s="141">
        <f t="shared" ca="1" si="73"/>
        <v>34</v>
      </c>
      <c r="AJ98" s="145">
        <f ca="1">IF(Vorrunde!$R46="",0,Vorrunde!$R46)</f>
        <v>2</v>
      </c>
      <c r="AK98" s="141">
        <f ca="1">IF(Vorrunde!$T46="",0,Vorrunde!$T46)</f>
        <v>0</v>
      </c>
      <c r="AL98" s="145">
        <f ca="1">IF($AA98=0,"",IF($AJ98&gt;$AK98,Einstellungen!$C$4,IF($AJ98=$AK98,1,0)))</f>
        <v>2</v>
      </c>
      <c r="AM98" s="141">
        <f ca="1">IF($AA98=0,"",IF($AJ98&lt;$AK98,Einstellungen!$C$4,IF($AJ98=$AK98,1,0)))</f>
        <v>0</v>
      </c>
    </row>
    <row r="99" spans="2:39" s="2" customFormat="1" x14ac:dyDescent="0.2">
      <c r="B99" s="4"/>
      <c r="C99" s="4"/>
      <c r="D99" s="4"/>
      <c r="E99" s="4"/>
      <c r="F99" s="13"/>
      <c r="G99" s="13"/>
      <c r="H99" s="13"/>
      <c r="I99" s="13"/>
      <c r="J99" s="13"/>
      <c r="K99" s="13"/>
      <c r="L99" s="13"/>
      <c r="M99" s="13"/>
      <c r="U99" s="66" t="s">
        <v>50</v>
      </c>
      <c r="V99" s="40" t="str">
        <f ca="1">Planung!$L41</f>
        <v>RB Leipzig</v>
      </c>
      <c r="W99" s="13" t="str">
        <f ca="1">Planung!$N41</f>
        <v>SV Oberredenburg</v>
      </c>
      <c r="X99" s="13">
        <f ca="1">IF(AND($AA99=1,Vorrunde!$I47&lt;&gt;"",Vorrunde!$K47&lt;&gt;"",ABS(Vorrunde!$I47-Vorrunde!$K47)&gt;1),Vorrunde!$I47,"")</f>
        <v>25</v>
      </c>
      <c r="Y99" s="35">
        <f ca="1">IF(AND($AA99=1,Vorrunde!$I47&lt;&gt;"",Vorrunde!$K47&lt;&gt;"",ABS(Vorrunde!$I47-Vorrunde!$K47)&gt;1),Vorrunde!$K47,"")</f>
        <v>19</v>
      </c>
      <c r="Z99" s="34" t="str">
        <f t="shared" ca="1" si="75"/>
        <v>RB LeipzigSV Oberredenburg</v>
      </c>
      <c r="AA99" s="13">
        <f ca="1">IF(AND(V99&lt;&gt;"",W99&lt;&gt;"",V99&lt;&gt;W99,Vorrunde!$R47&lt;&gt;"",Vorrunde!$T47&lt;&gt;""),1,0)</f>
        <v>1</v>
      </c>
      <c r="AB99" s="13" t="str">
        <f ca="1">IF(AA99&gt;0,AH99&amp;Sprache!$E$109&amp;AI99,"")</f>
        <v>50 : 36</v>
      </c>
      <c r="AC99" s="141" t="str">
        <f ca="1">IF(AA99&gt;0,AJ99&amp;Sprache!$E$109&amp;AK99,"")</f>
        <v>2 : 0</v>
      </c>
      <c r="AD99" s="145">
        <f ca="1">IF(AND($AA99=1,Vorrunde!$L47&lt;&gt;"",Vorrunde!$N47&lt;&gt;"",ABS(Vorrunde!$L47-Vorrunde!$N47)&gt;1),Vorrunde!$L47,"")</f>
        <v>25</v>
      </c>
      <c r="AE99" s="141">
        <f ca="1">IF(AND($AA99=1,Vorrunde!$L47&lt;&gt;"",Vorrunde!$N47&lt;&gt;"",ABS(Vorrunde!$L47-Vorrunde!$N47)&gt;1),Vorrunde!$N47,"")</f>
        <v>17</v>
      </c>
      <c r="AF99" s="145" t="str">
        <f ca="1">IF(AND($AA99=1,Vorrunde!$O47&lt;&gt;"",Vorrunde!$Q47&lt;&gt;"",ABS(Vorrunde!$O47-Vorrunde!$Q47)&gt;1),Vorrunde!$O47,"")</f>
        <v/>
      </c>
      <c r="AG99" s="141" t="str">
        <f ca="1">IF(AND($AA99=1,Vorrunde!$O47&lt;&gt;"",Vorrunde!$Q47&lt;&gt;"",ABS(Vorrunde!$O47-Vorrunde!$Q47)&gt;1),Vorrunde!$Q47,"")</f>
        <v/>
      </c>
      <c r="AH99" s="145">
        <f t="shared" ca="1" si="72"/>
        <v>50</v>
      </c>
      <c r="AI99" s="141">
        <f t="shared" ca="1" si="73"/>
        <v>36</v>
      </c>
      <c r="AJ99" s="145">
        <f ca="1">IF(Vorrunde!$R47="",0,Vorrunde!$R47)</f>
        <v>2</v>
      </c>
      <c r="AK99" s="141">
        <f ca="1">IF(Vorrunde!$T47="",0,Vorrunde!$T47)</f>
        <v>0</v>
      </c>
      <c r="AL99" s="145">
        <f ca="1">IF($AA99=0,"",IF($AJ99&gt;$AK99,Einstellungen!$C$4,IF($AJ99=$AK99,1,0)))</f>
        <v>2</v>
      </c>
      <c r="AM99" s="141">
        <f ca="1">IF($AA99=0,"",IF($AJ99&lt;$AK99,Einstellungen!$C$4,IF($AJ99=$AK99,1,0)))</f>
        <v>0</v>
      </c>
    </row>
    <row r="100" spans="2:39" s="2" customFormat="1" x14ac:dyDescent="0.2">
      <c r="B100" s="4"/>
      <c r="C100" s="4"/>
      <c r="D100" s="4"/>
      <c r="E100" s="4"/>
      <c r="F100" s="13"/>
      <c r="G100" s="13"/>
      <c r="H100" s="13"/>
      <c r="I100" s="13"/>
      <c r="J100" s="13"/>
      <c r="K100" s="13"/>
      <c r="L100" s="13"/>
      <c r="M100" s="13"/>
      <c r="U100" s="66" t="s">
        <v>58</v>
      </c>
      <c r="V100" s="40" t="str">
        <f ca="1">Planung!$L42</f>
        <v>1. FC Riedwald</v>
      </c>
      <c r="W100" s="13" t="str">
        <f ca="1">Planung!$N42</f>
        <v>FC Barcelona</v>
      </c>
      <c r="X100" s="13">
        <f ca="1">IF(AND($AA100=1,Vorrunde!$I48&lt;&gt;"",Vorrunde!$K48&lt;&gt;"",ABS(Vorrunde!$I48-Vorrunde!$K48)&gt;1),Vorrunde!$I48,"")</f>
        <v>17</v>
      </c>
      <c r="Y100" s="35">
        <f ca="1">IF(AND($AA100=1,Vorrunde!$I48&lt;&gt;"",Vorrunde!$K48&lt;&gt;"",ABS(Vorrunde!$I48-Vorrunde!$K48)&gt;1),Vorrunde!$K48,"")</f>
        <v>25</v>
      </c>
      <c r="Z100" s="34" t="str">
        <f t="shared" ca="1" si="75"/>
        <v>1. FC RiedwaldFC Barcelona</v>
      </c>
      <c r="AA100" s="13">
        <f ca="1">IF(AND(V100&lt;&gt;"",W100&lt;&gt;"",V100&lt;&gt;W100,Vorrunde!$R48&lt;&gt;"",Vorrunde!$T48&lt;&gt;""),1,0)</f>
        <v>1</v>
      </c>
      <c r="AB100" s="13" t="str">
        <f ca="1">IF(AA100&gt;0,AH100&amp;Sprache!$E$109&amp;AI100,"")</f>
        <v>35 : 50</v>
      </c>
      <c r="AC100" s="141" t="str">
        <f ca="1">IF(AA100&gt;0,AJ100&amp;Sprache!$E$109&amp;AK100,"")</f>
        <v>0 : 2</v>
      </c>
      <c r="AD100" s="145">
        <f ca="1">IF(AND($AA100=1,Vorrunde!$L48&lt;&gt;"",Vorrunde!$N48&lt;&gt;"",ABS(Vorrunde!$L48-Vorrunde!$N48)&gt;1),Vorrunde!$L48,"")</f>
        <v>18</v>
      </c>
      <c r="AE100" s="141">
        <f ca="1">IF(AND($AA100=1,Vorrunde!$L48&lt;&gt;"",Vorrunde!$N48&lt;&gt;"",ABS(Vorrunde!$L48-Vorrunde!$N48)&gt;1),Vorrunde!$N48,"")</f>
        <v>25</v>
      </c>
      <c r="AF100" s="145" t="str">
        <f ca="1">IF(AND($AA100=1,Vorrunde!$O48&lt;&gt;"",Vorrunde!$Q48&lt;&gt;"",ABS(Vorrunde!$O48-Vorrunde!$Q48)&gt;1),Vorrunde!$O48,"")</f>
        <v/>
      </c>
      <c r="AG100" s="141" t="str">
        <f ca="1">IF(AND($AA100=1,Vorrunde!$O48&lt;&gt;"",Vorrunde!$Q48&lt;&gt;"",ABS(Vorrunde!$O48-Vorrunde!$Q48)&gt;1),Vorrunde!$Q48,"")</f>
        <v/>
      </c>
      <c r="AH100" s="145">
        <f t="shared" ca="1" si="72"/>
        <v>35</v>
      </c>
      <c r="AI100" s="141">
        <f t="shared" ca="1" si="73"/>
        <v>50</v>
      </c>
      <c r="AJ100" s="145">
        <f ca="1">IF(Vorrunde!$R48="",0,Vorrunde!$R48)</f>
        <v>0</v>
      </c>
      <c r="AK100" s="141">
        <f ca="1">IF(Vorrunde!$T48="",0,Vorrunde!$T48)</f>
        <v>2</v>
      </c>
      <c r="AL100" s="145">
        <f ca="1">IF($AA100=0,"",IF($AJ100&gt;$AK100,Einstellungen!$C$4,IF($AJ100=$AK100,1,0)))</f>
        <v>0</v>
      </c>
      <c r="AM100" s="141">
        <f ca="1">IF($AA100=0,"",IF($AJ100&lt;$AK100,Einstellungen!$C$4,IF($AJ100=$AK100,1,0)))</f>
        <v>2</v>
      </c>
    </row>
    <row r="101" spans="2:39" s="2" customFormat="1" x14ac:dyDescent="0.2">
      <c r="B101" s="4"/>
      <c r="C101" s="4"/>
      <c r="D101" s="4"/>
      <c r="E101" s="4"/>
      <c r="F101" s="13"/>
      <c r="G101" s="13"/>
      <c r="H101" s="13"/>
      <c r="I101" s="13"/>
      <c r="J101" s="13"/>
      <c r="K101" s="13"/>
      <c r="L101" s="13"/>
      <c r="M101" s="13"/>
      <c r="U101" s="66" t="s">
        <v>59</v>
      </c>
      <c r="V101" s="40" t="str">
        <f ca="1">Planung!$L43</f>
        <v>Mainz 05</v>
      </c>
      <c r="W101" s="13" t="str">
        <f ca="1">Planung!$N43</f>
        <v>Inter Mailand</v>
      </c>
      <c r="X101" s="13">
        <f ca="1">IF(AND($AA101=1,Vorrunde!$I49&lt;&gt;"",Vorrunde!$K49&lt;&gt;"",ABS(Vorrunde!$I49-Vorrunde!$K49)&gt;1),Vorrunde!$I49,"")</f>
        <v>14</v>
      </c>
      <c r="Y101" s="35">
        <f ca="1">IF(AND($AA101=1,Vorrunde!$I49&lt;&gt;"",Vorrunde!$K49&lt;&gt;"",ABS(Vorrunde!$I49-Vorrunde!$K49)&gt;1),Vorrunde!$K49,"")</f>
        <v>25</v>
      </c>
      <c r="Z101" s="34" t="str">
        <f t="shared" ca="1" si="75"/>
        <v>Mainz 05Inter Mailand</v>
      </c>
      <c r="AA101" s="13">
        <f ca="1">IF(AND(V101&lt;&gt;"",W101&lt;&gt;"",V101&lt;&gt;W101,Vorrunde!$R49&lt;&gt;"",Vorrunde!$T49&lt;&gt;""),1,0)</f>
        <v>1</v>
      </c>
      <c r="AB101" s="13" t="str">
        <f ca="1">IF(AA101&gt;0,AH101&amp;Sprache!$E$109&amp;AI101,"")</f>
        <v>33 : 50</v>
      </c>
      <c r="AC101" s="141" t="str">
        <f ca="1">IF(AA101&gt;0,AJ101&amp;Sprache!$E$109&amp;AK101,"")</f>
        <v>0 : 2</v>
      </c>
      <c r="AD101" s="145">
        <f ca="1">IF(AND($AA101=1,Vorrunde!$L49&lt;&gt;"",Vorrunde!$N49&lt;&gt;"",ABS(Vorrunde!$L49-Vorrunde!$N49)&gt;1),Vorrunde!$L49,"")</f>
        <v>19</v>
      </c>
      <c r="AE101" s="141">
        <f ca="1">IF(AND($AA101=1,Vorrunde!$L49&lt;&gt;"",Vorrunde!$N49&lt;&gt;"",ABS(Vorrunde!$L49-Vorrunde!$N49)&gt;1),Vorrunde!$N49,"")</f>
        <v>25</v>
      </c>
      <c r="AF101" s="145" t="str">
        <f ca="1">IF(AND($AA101=1,Vorrunde!$O49&lt;&gt;"",Vorrunde!$Q49&lt;&gt;"",ABS(Vorrunde!$O49-Vorrunde!$Q49)&gt;1),Vorrunde!$O49,"")</f>
        <v/>
      </c>
      <c r="AG101" s="141" t="str">
        <f ca="1">IF(AND($AA101=1,Vorrunde!$O49&lt;&gt;"",Vorrunde!$Q49&lt;&gt;"",ABS(Vorrunde!$O49-Vorrunde!$Q49)&gt;1),Vorrunde!$Q49,"")</f>
        <v/>
      </c>
      <c r="AH101" s="145">
        <f t="shared" ca="1" si="72"/>
        <v>33</v>
      </c>
      <c r="AI101" s="141">
        <f t="shared" ca="1" si="73"/>
        <v>50</v>
      </c>
      <c r="AJ101" s="145">
        <f ca="1">IF(Vorrunde!$R49="",0,Vorrunde!$R49)</f>
        <v>0</v>
      </c>
      <c r="AK101" s="141">
        <f ca="1">IF(Vorrunde!$T49="",0,Vorrunde!$T49)</f>
        <v>2</v>
      </c>
      <c r="AL101" s="145">
        <f ca="1">IF($AA101=0,"",IF($AJ101&gt;$AK101,Einstellungen!$C$4,IF($AJ101=$AK101,1,0)))</f>
        <v>0</v>
      </c>
      <c r="AM101" s="141">
        <f ca="1">IF($AA101=0,"",IF($AJ101&lt;$AK101,Einstellungen!$C$4,IF($AJ101=$AK101,1,0)))</f>
        <v>2</v>
      </c>
    </row>
    <row r="102" spans="2:39" s="2" customFormat="1" x14ac:dyDescent="0.2">
      <c r="B102" s="4"/>
      <c r="C102" s="4"/>
      <c r="D102" s="4"/>
      <c r="E102" s="4"/>
      <c r="F102" s="13"/>
      <c r="G102" s="13"/>
      <c r="H102" s="13"/>
      <c r="I102" s="13"/>
      <c r="J102" s="13"/>
      <c r="K102" s="13"/>
      <c r="L102" s="13"/>
      <c r="M102" s="13"/>
      <c r="U102" s="66" t="s">
        <v>60</v>
      </c>
      <c r="V102" s="40" t="str">
        <f ca="1">Planung!$L44</f>
        <v>Kickers Rodendorf</v>
      </c>
      <c r="W102" s="13" t="str">
        <f ca="1">Planung!$N44</f>
        <v>Real Madrid</v>
      </c>
      <c r="X102" s="13">
        <f ca="1">IF(AND($AA102=1,Vorrunde!$I50&lt;&gt;"",Vorrunde!$K50&lt;&gt;"",ABS(Vorrunde!$I50-Vorrunde!$K50)&gt;1),Vorrunde!$I50,"")</f>
        <v>13</v>
      </c>
      <c r="Y102" s="35">
        <f ca="1">IF(AND($AA102=1,Vorrunde!$I50&lt;&gt;"",Vorrunde!$K50&lt;&gt;"",ABS(Vorrunde!$I50-Vorrunde!$K50)&gt;1),Vorrunde!$K50,"")</f>
        <v>25</v>
      </c>
      <c r="Z102" s="34" t="str">
        <f t="shared" ca="1" si="75"/>
        <v>Kickers RodendorfReal Madrid</v>
      </c>
      <c r="AA102" s="13">
        <f ca="1">IF(AND(V102&lt;&gt;"",W102&lt;&gt;"",V102&lt;&gt;W102,Vorrunde!$R50&lt;&gt;"",Vorrunde!$T50&lt;&gt;""),1,0)</f>
        <v>1</v>
      </c>
      <c r="AB102" s="13" t="str">
        <f ca="1">IF(AA102&gt;0,AH102&amp;Sprache!$E$109&amp;AI102,"")</f>
        <v>38 : 45</v>
      </c>
      <c r="AC102" s="141" t="str">
        <f ca="1">IF(AA102&gt;0,AJ102&amp;Sprache!$E$109&amp;AK102,"")</f>
        <v>1 : 1</v>
      </c>
      <c r="AD102" s="145">
        <f ca="1">IF(AND($AA102=1,Vorrunde!$L50&lt;&gt;"",Vorrunde!$N50&lt;&gt;"",ABS(Vorrunde!$L50-Vorrunde!$N50)&gt;1),Vorrunde!$L50,"")</f>
        <v>25</v>
      </c>
      <c r="AE102" s="141">
        <f ca="1">IF(AND($AA102=1,Vorrunde!$L50&lt;&gt;"",Vorrunde!$N50&lt;&gt;"",ABS(Vorrunde!$L50-Vorrunde!$N50)&gt;1),Vorrunde!$N50,"")</f>
        <v>20</v>
      </c>
      <c r="AF102" s="145" t="str">
        <f ca="1">IF(AND($AA102=1,Vorrunde!$O50&lt;&gt;"",Vorrunde!$Q50&lt;&gt;"",ABS(Vorrunde!$O50-Vorrunde!$Q50)&gt;1),Vorrunde!$O50,"")</f>
        <v/>
      </c>
      <c r="AG102" s="141" t="str">
        <f ca="1">IF(AND($AA102=1,Vorrunde!$O50&lt;&gt;"",Vorrunde!$Q50&lt;&gt;"",ABS(Vorrunde!$O50-Vorrunde!$Q50)&gt;1),Vorrunde!$Q50,"")</f>
        <v/>
      </c>
      <c r="AH102" s="145">
        <f t="shared" ca="1" si="72"/>
        <v>38</v>
      </c>
      <c r="AI102" s="141">
        <f t="shared" ca="1" si="73"/>
        <v>45</v>
      </c>
      <c r="AJ102" s="145">
        <f ca="1">IF(Vorrunde!$R50="",0,Vorrunde!$R50)</f>
        <v>1</v>
      </c>
      <c r="AK102" s="141">
        <f ca="1">IF(Vorrunde!$T50="",0,Vorrunde!$T50)</f>
        <v>1</v>
      </c>
      <c r="AL102" s="145">
        <f ca="1">IF($AA102=0,"",IF($AJ102&gt;$AK102,Einstellungen!$C$4,IF($AJ102=$AK102,1,0)))</f>
        <v>1</v>
      </c>
      <c r="AM102" s="141">
        <f ca="1">IF($AA102=0,"",IF($AJ102&lt;$AK102,Einstellungen!$C$4,IF($AJ102=$AK102,1,0)))</f>
        <v>1</v>
      </c>
    </row>
    <row r="103" spans="2:39" s="2" customFormat="1" x14ac:dyDescent="0.2">
      <c r="B103" s="4"/>
      <c r="C103" s="4"/>
      <c r="D103" s="4"/>
      <c r="E103" s="4"/>
      <c r="F103" s="13"/>
      <c r="G103" s="13"/>
      <c r="H103" s="13"/>
      <c r="I103" s="13"/>
      <c r="J103" s="13"/>
      <c r="K103" s="13"/>
      <c r="L103" s="13"/>
      <c r="M103" s="13"/>
      <c r="U103" s="66" t="s">
        <v>61</v>
      </c>
      <c r="V103" s="40" t="str">
        <f ca="1">Planung!$L45</f>
        <v>TSG Saalberg eV</v>
      </c>
      <c r="W103" s="13" t="str">
        <f ca="1">Planung!$N45</f>
        <v>Paris St. Germain</v>
      </c>
      <c r="X103" s="13">
        <f ca="1">IF(AND($AA103=1,Vorrunde!$I51&lt;&gt;"",Vorrunde!$K51&lt;&gt;"",ABS(Vorrunde!$I51-Vorrunde!$K51)&gt;1),Vorrunde!$I51,"")</f>
        <v>18</v>
      </c>
      <c r="Y103" s="35">
        <f ca="1">IF(AND($AA103=1,Vorrunde!$I51&lt;&gt;"",Vorrunde!$K51&lt;&gt;"",ABS(Vorrunde!$I51-Vorrunde!$K51)&gt;1),Vorrunde!$K51,"")</f>
        <v>25</v>
      </c>
      <c r="Z103" s="34" t="str">
        <f t="shared" ca="1" si="75"/>
        <v>TSG Saalberg eVParis St. Germain</v>
      </c>
      <c r="AA103" s="13">
        <f ca="1">IF(AND(V103&lt;&gt;"",W103&lt;&gt;"",V103&lt;&gt;W103,Vorrunde!$R51&lt;&gt;"",Vorrunde!$T51&lt;&gt;""),1,0)</f>
        <v>1</v>
      </c>
      <c r="AB103" s="13" t="str">
        <f ca="1">IF(AA103&gt;0,AH103&amp;Sprache!$E$109&amp;AI103,"")</f>
        <v>43 : 46</v>
      </c>
      <c r="AC103" s="141" t="str">
        <f ca="1">IF(AA103&gt;0,AJ103&amp;Sprache!$E$109&amp;AK103,"")</f>
        <v>1 : 1</v>
      </c>
      <c r="AD103" s="145">
        <f ca="1">IF(AND($AA103=1,Vorrunde!$L51&lt;&gt;"",Vorrunde!$N51&lt;&gt;"",ABS(Vorrunde!$L51-Vorrunde!$N51)&gt;1),Vorrunde!$L51,"")</f>
        <v>25</v>
      </c>
      <c r="AE103" s="141">
        <f ca="1">IF(AND($AA103=1,Vorrunde!$L51&lt;&gt;"",Vorrunde!$N51&lt;&gt;"",ABS(Vorrunde!$L51-Vorrunde!$N51)&gt;1),Vorrunde!$N51,"")</f>
        <v>21</v>
      </c>
      <c r="AF103" s="145" t="str">
        <f ca="1">IF(AND($AA103=1,Vorrunde!$O51&lt;&gt;"",Vorrunde!$Q51&lt;&gt;"",ABS(Vorrunde!$O51-Vorrunde!$Q51)&gt;1),Vorrunde!$O51,"")</f>
        <v/>
      </c>
      <c r="AG103" s="141" t="str">
        <f ca="1">IF(AND($AA103=1,Vorrunde!$O51&lt;&gt;"",Vorrunde!$Q51&lt;&gt;"",ABS(Vorrunde!$O51-Vorrunde!$Q51)&gt;1),Vorrunde!$Q51,"")</f>
        <v/>
      </c>
      <c r="AH103" s="145">
        <f t="shared" ca="1" si="72"/>
        <v>43</v>
      </c>
      <c r="AI103" s="141">
        <f t="shared" ca="1" si="73"/>
        <v>46</v>
      </c>
      <c r="AJ103" s="145">
        <f ca="1">IF(Vorrunde!$R51="",0,Vorrunde!$R51)</f>
        <v>1</v>
      </c>
      <c r="AK103" s="141">
        <f ca="1">IF(Vorrunde!$T51="",0,Vorrunde!$T51)</f>
        <v>1</v>
      </c>
      <c r="AL103" s="145">
        <f ca="1">IF($AA103=0,"",IF($AJ103&gt;$AK103,Einstellungen!$C$4,IF($AJ103=$AK103,1,0)))</f>
        <v>1</v>
      </c>
      <c r="AM103" s="141">
        <f ca="1">IF($AA103=0,"",IF($AJ103&lt;$AK103,Einstellungen!$C$4,IF($AJ103=$AK103,1,0)))</f>
        <v>1</v>
      </c>
    </row>
    <row r="104" spans="2:39" s="2" customFormat="1" x14ac:dyDescent="0.2">
      <c r="B104" s="4"/>
      <c r="C104" s="4"/>
      <c r="D104" s="4"/>
      <c r="E104" s="4"/>
      <c r="F104" s="13"/>
      <c r="G104" s="13"/>
      <c r="H104" s="13"/>
      <c r="I104" s="13"/>
      <c r="J104" s="13"/>
      <c r="K104" s="13"/>
      <c r="L104" s="13"/>
      <c r="M104" s="13"/>
      <c r="U104" s="66" t="s">
        <v>62</v>
      </c>
      <c r="V104" s="40" t="str">
        <f ca="1">Planung!$L46</f>
        <v/>
      </c>
      <c r="W104" s="13" t="str">
        <f ca="1">Planung!$N46</f>
        <v/>
      </c>
      <c r="X104" s="13" t="str">
        <f ca="1">IF(AND($AA104=1,Vorrunde!$I52&lt;&gt;"",Vorrunde!$K52&lt;&gt;"",ABS(Vorrunde!$I52-Vorrunde!$K52)&gt;1),Vorrunde!$I52,"")</f>
        <v/>
      </c>
      <c r="Y104" s="35" t="str">
        <f ca="1">IF(AND($AA104=1,Vorrunde!$I52&lt;&gt;"",Vorrunde!$K52&lt;&gt;"",ABS(Vorrunde!$I52-Vorrunde!$K52)&gt;1),Vorrunde!$K52,"")</f>
        <v/>
      </c>
      <c r="Z104" s="34" t="str">
        <f t="shared" ca="1" si="75"/>
        <v/>
      </c>
      <c r="AA104" s="13">
        <f ca="1">IF(AND(V104&lt;&gt;"",W104&lt;&gt;"",V104&lt;&gt;W104,Vorrunde!$R52&lt;&gt;"",Vorrunde!$T52&lt;&gt;""),1,0)</f>
        <v>0</v>
      </c>
      <c r="AB104" s="13" t="str">
        <f ca="1">IF(AA104&gt;0,AH104&amp;Sprache!$E$109&amp;AI104,"")</f>
        <v/>
      </c>
      <c r="AC104" s="141" t="str">
        <f ca="1">IF(AA104&gt;0,AJ104&amp;Sprache!$E$109&amp;AK104,"")</f>
        <v/>
      </c>
      <c r="AD104" s="145" t="str">
        <f ca="1">IF(AND($AA104=1,Vorrunde!$L52&lt;&gt;"",Vorrunde!$N52&lt;&gt;"",ABS(Vorrunde!$L52-Vorrunde!$N52)&gt;1),Vorrunde!$L52,"")</f>
        <v/>
      </c>
      <c r="AE104" s="141" t="str">
        <f ca="1">IF(AND($AA104=1,Vorrunde!$L52&lt;&gt;"",Vorrunde!$N52&lt;&gt;"",ABS(Vorrunde!$L52-Vorrunde!$N52)&gt;1),Vorrunde!$N52,"")</f>
        <v/>
      </c>
      <c r="AF104" s="145" t="str">
        <f ca="1">IF(AND($AA104=1,Vorrunde!$O52&lt;&gt;"",Vorrunde!$Q52&lt;&gt;"",ABS(Vorrunde!$O52-Vorrunde!$Q52)&gt;1),Vorrunde!$O52,"")</f>
        <v/>
      </c>
      <c r="AG104" s="141" t="str">
        <f ca="1">IF(AND($AA104=1,Vorrunde!$O52&lt;&gt;"",Vorrunde!$Q52&lt;&gt;"",ABS(Vorrunde!$O52-Vorrunde!$Q52)&gt;1),Vorrunde!$Q52,"")</f>
        <v/>
      </c>
      <c r="AH104" s="145" t="str">
        <f t="shared" ca="1" si="72"/>
        <v/>
      </c>
      <c r="AI104" s="141" t="str">
        <f t="shared" ca="1" si="73"/>
        <v/>
      </c>
      <c r="AJ104" s="145">
        <f ca="1">IF(Vorrunde!$R52="",0,Vorrunde!$R52)</f>
        <v>0</v>
      </c>
      <c r="AK104" s="141">
        <f ca="1">IF(Vorrunde!$T52="",0,Vorrunde!$T52)</f>
        <v>0</v>
      </c>
      <c r="AL104" s="145" t="str">
        <f ca="1">IF($AA104=0,"",IF($AJ104&gt;$AK104,Einstellungen!$C$4,IF($AJ104=$AK104,1,0)))</f>
        <v/>
      </c>
      <c r="AM104" s="141" t="str">
        <f ca="1">IF($AA104=0,"",IF($AJ104&lt;$AK104,Einstellungen!$C$4,IF($AJ104=$AK104,1,0)))</f>
        <v/>
      </c>
    </row>
    <row r="105" spans="2:39" s="2" customFormat="1" x14ac:dyDescent="0.2">
      <c r="B105" s="4"/>
      <c r="C105" s="4"/>
      <c r="D105" s="4"/>
      <c r="E105" s="4"/>
      <c r="F105" s="13"/>
      <c r="G105" s="13"/>
      <c r="H105" s="13"/>
      <c r="I105" s="13"/>
      <c r="J105" s="13"/>
      <c r="K105" s="13"/>
      <c r="L105" s="13"/>
      <c r="M105" s="13"/>
      <c r="U105" s="66" t="s">
        <v>63</v>
      </c>
      <c r="V105" s="40" t="str">
        <f ca="1">Planung!$L47</f>
        <v/>
      </c>
      <c r="W105" s="13" t="str">
        <f ca="1">Planung!$N47</f>
        <v/>
      </c>
      <c r="X105" s="13" t="str">
        <f ca="1">IF(AND($AA105=1,Vorrunde!$I53&lt;&gt;"",Vorrunde!$K53&lt;&gt;"",ABS(Vorrunde!$I53-Vorrunde!$K53)&gt;1),Vorrunde!$I53,"")</f>
        <v/>
      </c>
      <c r="Y105" s="35" t="str">
        <f ca="1">IF(AND($AA105=1,Vorrunde!$I53&lt;&gt;"",Vorrunde!$K53&lt;&gt;"",ABS(Vorrunde!$I53-Vorrunde!$K53)&gt;1),Vorrunde!$K53,"")</f>
        <v/>
      </c>
      <c r="Z105" s="34" t="str">
        <f t="shared" ca="1" si="75"/>
        <v/>
      </c>
      <c r="AA105" s="13">
        <f ca="1">IF(AND(V105&lt;&gt;"",W105&lt;&gt;"",V105&lt;&gt;W105,Vorrunde!$R53&lt;&gt;"",Vorrunde!$T53&lt;&gt;""),1,0)</f>
        <v>0</v>
      </c>
      <c r="AB105" s="13" t="str">
        <f ca="1">IF(AA105&gt;0,AH105&amp;Sprache!$E$109&amp;AI105,"")</f>
        <v/>
      </c>
      <c r="AC105" s="141" t="str">
        <f ca="1">IF(AA105&gt;0,AJ105&amp;Sprache!$E$109&amp;AK105,"")</f>
        <v/>
      </c>
      <c r="AD105" s="145" t="str">
        <f ca="1">IF(AND($AA105=1,Vorrunde!$L53&lt;&gt;"",Vorrunde!$N53&lt;&gt;"",ABS(Vorrunde!$L53-Vorrunde!$N53)&gt;1),Vorrunde!$L53,"")</f>
        <v/>
      </c>
      <c r="AE105" s="141" t="str">
        <f ca="1">IF(AND($AA105=1,Vorrunde!$L53&lt;&gt;"",Vorrunde!$N53&lt;&gt;"",ABS(Vorrunde!$L53-Vorrunde!$N53)&gt;1),Vorrunde!$N53,"")</f>
        <v/>
      </c>
      <c r="AF105" s="145" t="str">
        <f ca="1">IF(AND($AA105=1,Vorrunde!$O53&lt;&gt;"",Vorrunde!$Q53&lt;&gt;"",ABS(Vorrunde!$O53-Vorrunde!$Q53)&gt;1),Vorrunde!$O53,"")</f>
        <v/>
      </c>
      <c r="AG105" s="141" t="str">
        <f ca="1">IF(AND($AA105=1,Vorrunde!$O53&lt;&gt;"",Vorrunde!$Q53&lt;&gt;"",ABS(Vorrunde!$O53-Vorrunde!$Q53)&gt;1),Vorrunde!$Q53,"")</f>
        <v/>
      </c>
      <c r="AH105" s="145" t="str">
        <f t="shared" ca="1" si="72"/>
        <v/>
      </c>
      <c r="AI105" s="141" t="str">
        <f t="shared" ca="1" si="73"/>
        <v/>
      </c>
      <c r="AJ105" s="145">
        <f ca="1">IF(Vorrunde!$R53="",0,Vorrunde!$R53)</f>
        <v>0</v>
      </c>
      <c r="AK105" s="141">
        <f ca="1">IF(Vorrunde!$T53="",0,Vorrunde!$T53)</f>
        <v>0</v>
      </c>
      <c r="AL105" s="145" t="str">
        <f ca="1">IF($AA105=0,"",IF($AJ105&gt;$AK105,Einstellungen!$C$4,IF($AJ105=$AK105,1,0)))</f>
        <v/>
      </c>
      <c r="AM105" s="141" t="str">
        <f ca="1">IF($AA105=0,"",IF($AJ105&lt;$AK105,Einstellungen!$C$4,IF($AJ105=$AK105,1,0)))</f>
        <v/>
      </c>
    </row>
    <row r="106" spans="2:39" s="2" customFormat="1" x14ac:dyDescent="0.2">
      <c r="B106" s="4"/>
      <c r="C106" s="4"/>
      <c r="D106" s="4"/>
      <c r="E106" s="4"/>
      <c r="F106" s="13"/>
      <c r="G106" s="13"/>
      <c r="H106" s="13"/>
      <c r="I106" s="13"/>
      <c r="J106" s="13"/>
      <c r="K106" s="13"/>
      <c r="L106" s="13"/>
      <c r="M106" s="13"/>
      <c r="U106" s="66" t="s">
        <v>64</v>
      </c>
      <c r="V106" s="40" t="str">
        <f ca="1">Planung!$L48</f>
        <v/>
      </c>
      <c r="W106" s="13" t="str">
        <f ca="1">Planung!$N48</f>
        <v/>
      </c>
      <c r="X106" s="13" t="str">
        <f ca="1">IF(AND($AA106=1,Vorrunde!$I54&lt;&gt;"",Vorrunde!$K54&lt;&gt;"",ABS(Vorrunde!$I54-Vorrunde!$K54)&gt;1),Vorrunde!$I54,"")</f>
        <v/>
      </c>
      <c r="Y106" s="35" t="str">
        <f ca="1">IF(AND($AA106=1,Vorrunde!$I54&lt;&gt;"",Vorrunde!$K54&lt;&gt;"",ABS(Vorrunde!$I54-Vorrunde!$K54)&gt;1),Vorrunde!$K54,"")</f>
        <v/>
      </c>
      <c r="Z106" s="34" t="str">
        <f t="shared" ca="1" si="75"/>
        <v/>
      </c>
      <c r="AA106" s="13">
        <f ca="1">IF(AND(V106&lt;&gt;"",W106&lt;&gt;"",V106&lt;&gt;W106,Vorrunde!$R54&lt;&gt;"",Vorrunde!$T54&lt;&gt;""),1,0)</f>
        <v>0</v>
      </c>
      <c r="AB106" s="13" t="str">
        <f ca="1">IF(AA106&gt;0,AH106&amp;Sprache!$E$109&amp;AI106,"")</f>
        <v/>
      </c>
      <c r="AC106" s="141" t="str">
        <f ca="1">IF(AA106&gt;0,AJ106&amp;Sprache!$E$109&amp;AK106,"")</f>
        <v/>
      </c>
      <c r="AD106" s="145" t="str">
        <f ca="1">IF(AND($AA106=1,Vorrunde!$L54&lt;&gt;"",Vorrunde!$N54&lt;&gt;"",ABS(Vorrunde!$L54-Vorrunde!$N54)&gt;1),Vorrunde!$L54,"")</f>
        <v/>
      </c>
      <c r="AE106" s="141" t="str">
        <f ca="1">IF(AND($AA106=1,Vorrunde!$L54&lt;&gt;"",Vorrunde!$N54&lt;&gt;"",ABS(Vorrunde!$L54-Vorrunde!$N54)&gt;1),Vorrunde!$N54,"")</f>
        <v/>
      </c>
      <c r="AF106" s="145" t="str">
        <f ca="1">IF(AND($AA106=1,Vorrunde!$O54&lt;&gt;"",Vorrunde!$Q54&lt;&gt;"",ABS(Vorrunde!$O54-Vorrunde!$Q54)&gt;1),Vorrunde!$O54,"")</f>
        <v/>
      </c>
      <c r="AG106" s="141" t="str">
        <f ca="1">IF(AND($AA106=1,Vorrunde!$O54&lt;&gt;"",Vorrunde!$Q54&lt;&gt;"",ABS(Vorrunde!$O54-Vorrunde!$Q54)&gt;1),Vorrunde!$Q54,"")</f>
        <v/>
      </c>
      <c r="AH106" s="145" t="str">
        <f t="shared" ca="1" si="72"/>
        <v/>
      </c>
      <c r="AI106" s="141" t="str">
        <f t="shared" ca="1" si="73"/>
        <v/>
      </c>
      <c r="AJ106" s="145">
        <f ca="1">IF(Vorrunde!$R54="",0,Vorrunde!$R54)</f>
        <v>0</v>
      </c>
      <c r="AK106" s="141">
        <f ca="1">IF(Vorrunde!$T54="",0,Vorrunde!$T54)</f>
        <v>0</v>
      </c>
      <c r="AL106" s="145" t="str">
        <f ca="1">IF($AA106=0,"",IF($AJ106&gt;$AK106,Einstellungen!$C$4,IF($AJ106=$AK106,1,0)))</f>
        <v/>
      </c>
      <c r="AM106" s="141" t="str">
        <f ca="1">IF($AA106=0,"",IF($AJ106&lt;$AK106,Einstellungen!$C$4,IF($AJ106=$AK106,1,0)))</f>
        <v/>
      </c>
    </row>
    <row r="107" spans="2:39" s="2" customFormat="1" x14ac:dyDescent="0.2">
      <c r="B107" s="4"/>
      <c r="C107" s="4"/>
      <c r="D107" s="4"/>
      <c r="E107" s="4"/>
      <c r="F107" s="13"/>
      <c r="G107" s="13"/>
      <c r="H107" s="13"/>
      <c r="I107" s="13"/>
      <c r="J107" s="13"/>
      <c r="K107" s="13"/>
      <c r="L107" s="13"/>
      <c r="M107" s="13"/>
      <c r="U107" s="66" t="s">
        <v>65</v>
      </c>
      <c r="V107" s="40" t="str">
        <f ca="1">Planung!$L49</f>
        <v/>
      </c>
      <c r="W107" s="13" t="str">
        <f ca="1">Planung!$N49</f>
        <v/>
      </c>
      <c r="X107" s="13" t="str">
        <f ca="1">IF(AND($AA107=1,Vorrunde!$I55&lt;&gt;"",Vorrunde!$K55&lt;&gt;"",ABS(Vorrunde!$I55-Vorrunde!$K55)&gt;1),Vorrunde!$I55,"")</f>
        <v/>
      </c>
      <c r="Y107" s="35" t="str">
        <f ca="1">IF(AND($AA107=1,Vorrunde!$I55&lt;&gt;"",Vorrunde!$K55&lt;&gt;"",ABS(Vorrunde!$I55-Vorrunde!$K55)&gt;1),Vorrunde!$K55,"")</f>
        <v/>
      </c>
      <c r="Z107" s="34" t="str">
        <f t="shared" ca="1" si="75"/>
        <v/>
      </c>
      <c r="AA107" s="13">
        <f ca="1">IF(AND(V107&lt;&gt;"",W107&lt;&gt;"",V107&lt;&gt;W107,Vorrunde!$R55&lt;&gt;"",Vorrunde!$T55&lt;&gt;""),1,0)</f>
        <v>0</v>
      </c>
      <c r="AB107" s="13" t="str">
        <f ca="1">IF(AA107&gt;0,AH107&amp;Sprache!$E$109&amp;AI107,"")</f>
        <v/>
      </c>
      <c r="AC107" s="141" t="str">
        <f ca="1">IF(AA107&gt;0,AJ107&amp;Sprache!$E$109&amp;AK107,"")</f>
        <v/>
      </c>
      <c r="AD107" s="145" t="str">
        <f ca="1">IF(AND($AA107=1,Vorrunde!$L55&lt;&gt;"",Vorrunde!$N55&lt;&gt;"",ABS(Vorrunde!$L55-Vorrunde!$N55)&gt;1),Vorrunde!$L55,"")</f>
        <v/>
      </c>
      <c r="AE107" s="141" t="str">
        <f ca="1">IF(AND($AA107=1,Vorrunde!$L55&lt;&gt;"",Vorrunde!$N55&lt;&gt;"",ABS(Vorrunde!$L55-Vorrunde!$N55)&gt;1),Vorrunde!$N55,"")</f>
        <v/>
      </c>
      <c r="AF107" s="145" t="str">
        <f ca="1">IF(AND($AA107=1,Vorrunde!$O55&lt;&gt;"",Vorrunde!$Q55&lt;&gt;"",ABS(Vorrunde!$O55-Vorrunde!$Q55)&gt;1),Vorrunde!$O55,"")</f>
        <v/>
      </c>
      <c r="AG107" s="141" t="str">
        <f ca="1">IF(AND($AA107=1,Vorrunde!$O55&lt;&gt;"",Vorrunde!$Q55&lt;&gt;"",ABS(Vorrunde!$O55-Vorrunde!$Q55)&gt;1),Vorrunde!$Q55,"")</f>
        <v/>
      </c>
      <c r="AH107" s="145" t="str">
        <f t="shared" ca="1" si="72"/>
        <v/>
      </c>
      <c r="AI107" s="141" t="str">
        <f t="shared" ca="1" si="73"/>
        <v/>
      </c>
      <c r="AJ107" s="145">
        <f ca="1">IF(Vorrunde!$R55="",0,Vorrunde!$R55)</f>
        <v>0</v>
      </c>
      <c r="AK107" s="141">
        <f ca="1">IF(Vorrunde!$T55="",0,Vorrunde!$T55)</f>
        <v>0</v>
      </c>
      <c r="AL107" s="145" t="str">
        <f ca="1">IF($AA107=0,"",IF($AJ107&gt;$AK107,Einstellungen!$C$4,IF($AJ107=$AK107,1,0)))</f>
        <v/>
      </c>
      <c r="AM107" s="141" t="str">
        <f ca="1">IF($AA107=0,"",IF($AJ107&lt;$AK107,Einstellungen!$C$4,IF($AJ107=$AK107,1,0)))</f>
        <v/>
      </c>
    </row>
    <row r="108" spans="2:39" s="2" customFormat="1" x14ac:dyDescent="0.2">
      <c r="B108" s="4"/>
      <c r="C108" s="4"/>
      <c r="D108" s="4"/>
      <c r="E108" s="4"/>
      <c r="F108" s="13"/>
      <c r="G108" s="13"/>
      <c r="H108" s="13"/>
      <c r="I108" s="13"/>
      <c r="J108" s="13"/>
      <c r="K108" s="13"/>
      <c r="L108" s="13"/>
      <c r="M108" s="13"/>
      <c r="U108" s="66" t="s">
        <v>66</v>
      </c>
      <c r="V108" s="40" t="str">
        <f ca="1">Planung!$L50</f>
        <v/>
      </c>
      <c r="W108" s="13" t="str">
        <f ca="1">Planung!$N50</f>
        <v/>
      </c>
      <c r="X108" s="13" t="str">
        <f ca="1">IF(AND($AA108=1,Vorrunde!$I56&lt;&gt;"",Vorrunde!$K56&lt;&gt;"",ABS(Vorrunde!$I56-Vorrunde!$K56)&gt;1),Vorrunde!$I56,"")</f>
        <v/>
      </c>
      <c r="Y108" s="35" t="str">
        <f ca="1">IF(AND($AA108=1,Vorrunde!$I56&lt;&gt;"",Vorrunde!$K56&lt;&gt;"",ABS(Vorrunde!$I56-Vorrunde!$K56)&gt;1),Vorrunde!$K56,"")</f>
        <v/>
      </c>
      <c r="Z108" s="34" t="str">
        <f t="shared" ca="1" si="75"/>
        <v/>
      </c>
      <c r="AA108" s="13">
        <f ca="1">IF(AND(V108&lt;&gt;"",W108&lt;&gt;"",V108&lt;&gt;W108,Vorrunde!$R56&lt;&gt;"",Vorrunde!$T56&lt;&gt;""),1,0)</f>
        <v>0</v>
      </c>
      <c r="AB108" s="13" t="str">
        <f ca="1">IF(AA108&gt;0,AH108&amp;Sprache!$E$109&amp;AI108,"")</f>
        <v/>
      </c>
      <c r="AC108" s="141" t="str">
        <f ca="1">IF(AA108&gt;0,AJ108&amp;Sprache!$E$109&amp;AK108,"")</f>
        <v/>
      </c>
      <c r="AD108" s="145" t="str">
        <f ca="1">IF(AND($AA108=1,Vorrunde!$L56&lt;&gt;"",Vorrunde!$N56&lt;&gt;"",ABS(Vorrunde!$L56-Vorrunde!$N56)&gt;1),Vorrunde!$L56,"")</f>
        <v/>
      </c>
      <c r="AE108" s="141" t="str">
        <f ca="1">IF(AND($AA108=1,Vorrunde!$L56&lt;&gt;"",Vorrunde!$N56&lt;&gt;"",ABS(Vorrunde!$L56-Vorrunde!$N56)&gt;1),Vorrunde!$N56,"")</f>
        <v/>
      </c>
      <c r="AF108" s="145" t="str">
        <f ca="1">IF(AND($AA108=1,Vorrunde!$O56&lt;&gt;"",Vorrunde!$Q56&lt;&gt;"",ABS(Vorrunde!$O56-Vorrunde!$Q56)&gt;1),Vorrunde!$O56,"")</f>
        <v/>
      </c>
      <c r="AG108" s="141" t="str">
        <f ca="1">IF(AND($AA108=1,Vorrunde!$O56&lt;&gt;"",Vorrunde!$Q56&lt;&gt;"",ABS(Vorrunde!$O56-Vorrunde!$Q56)&gt;1),Vorrunde!$Q56,"")</f>
        <v/>
      </c>
      <c r="AH108" s="145" t="str">
        <f t="shared" ca="1" si="72"/>
        <v/>
      </c>
      <c r="AI108" s="141" t="str">
        <f t="shared" ca="1" si="73"/>
        <v/>
      </c>
      <c r="AJ108" s="145">
        <f ca="1">IF(Vorrunde!$R56="",0,Vorrunde!$R56)</f>
        <v>0</v>
      </c>
      <c r="AK108" s="141">
        <f ca="1">IF(Vorrunde!$T56="",0,Vorrunde!$T56)</f>
        <v>0</v>
      </c>
      <c r="AL108" s="145" t="str">
        <f ca="1">IF($AA108=0,"",IF($AJ108&gt;$AK108,Einstellungen!$C$4,IF($AJ108=$AK108,1,0)))</f>
        <v/>
      </c>
      <c r="AM108" s="141" t="str">
        <f ca="1">IF($AA108=0,"",IF($AJ108&lt;$AK108,Einstellungen!$C$4,IF($AJ108=$AK108,1,0)))</f>
        <v/>
      </c>
    </row>
    <row r="109" spans="2:39" s="2" customFormat="1" x14ac:dyDescent="0.2">
      <c r="B109" s="4"/>
      <c r="C109" s="4"/>
      <c r="D109" s="4"/>
      <c r="E109" s="4"/>
      <c r="F109" s="13"/>
      <c r="G109" s="13"/>
      <c r="H109" s="13"/>
      <c r="I109" s="13"/>
      <c r="J109" s="13"/>
      <c r="K109" s="13"/>
      <c r="L109" s="13"/>
      <c r="M109" s="13"/>
      <c r="U109" s="66" t="s">
        <v>67</v>
      </c>
      <c r="V109" s="40" t="str">
        <f ca="1">Planung!$L51</f>
        <v/>
      </c>
      <c r="W109" s="13" t="str">
        <f ca="1">Planung!$N51</f>
        <v/>
      </c>
      <c r="X109" s="13" t="str">
        <f ca="1">IF(AND($AA109=1,Vorrunde!$I57&lt;&gt;"",Vorrunde!$K57&lt;&gt;"",ABS(Vorrunde!$I57-Vorrunde!$K57)&gt;1),Vorrunde!$I57,"")</f>
        <v/>
      </c>
      <c r="Y109" s="35" t="str">
        <f ca="1">IF(AND($AA109=1,Vorrunde!$I57&lt;&gt;"",Vorrunde!$K57&lt;&gt;"",ABS(Vorrunde!$I57-Vorrunde!$K57)&gt;1),Vorrunde!$K57,"")</f>
        <v/>
      </c>
      <c r="Z109" s="34" t="str">
        <f t="shared" ca="1" si="75"/>
        <v/>
      </c>
      <c r="AA109" s="13">
        <f ca="1">IF(AND(V109&lt;&gt;"",W109&lt;&gt;"",V109&lt;&gt;W109,Vorrunde!$R57&lt;&gt;"",Vorrunde!$T57&lt;&gt;""),1,0)</f>
        <v>0</v>
      </c>
      <c r="AB109" s="13" t="str">
        <f ca="1">IF(AA109&gt;0,AH109&amp;Sprache!$E$109&amp;AI109,"")</f>
        <v/>
      </c>
      <c r="AC109" s="141" t="str">
        <f ca="1">IF(AA109&gt;0,AJ109&amp;Sprache!$E$109&amp;AK109,"")</f>
        <v/>
      </c>
      <c r="AD109" s="145" t="str">
        <f ca="1">IF(AND($AA109=1,Vorrunde!$L57&lt;&gt;"",Vorrunde!$N57&lt;&gt;"",ABS(Vorrunde!$L57-Vorrunde!$N57)&gt;1),Vorrunde!$L57,"")</f>
        <v/>
      </c>
      <c r="AE109" s="141" t="str">
        <f ca="1">IF(AND($AA109=1,Vorrunde!$L57&lt;&gt;"",Vorrunde!$N57&lt;&gt;"",ABS(Vorrunde!$L57-Vorrunde!$N57)&gt;1),Vorrunde!$N57,"")</f>
        <v/>
      </c>
      <c r="AF109" s="145" t="str">
        <f ca="1">IF(AND($AA109=1,Vorrunde!$O57&lt;&gt;"",Vorrunde!$Q57&lt;&gt;"",ABS(Vorrunde!$O57-Vorrunde!$Q57)&gt;1),Vorrunde!$O57,"")</f>
        <v/>
      </c>
      <c r="AG109" s="141" t="str">
        <f ca="1">IF(AND($AA109=1,Vorrunde!$O57&lt;&gt;"",Vorrunde!$Q57&lt;&gt;"",ABS(Vorrunde!$O57-Vorrunde!$Q57)&gt;1),Vorrunde!$Q57,"")</f>
        <v/>
      </c>
      <c r="AH109" s="145" t="str">
        <f t="shared" ca="1" si="72"/>
        <v/>
      </c>
      <c r="AI109" s="141" t="str">
        <f t="shared" ca="1" si="73"/>
        <v/>
      </c>
      <c r="AJ109" s="145">
        <f ca="1">IF(Vorrunde!$R57="",0,Vorrunde!$R57)</f>
        <v>0</v>
      </c>
      <c r="AK109" s="141">
        <f ca="1">IF(Vorrunde!$T57="",0,Vorrunde!$T57)</f>
        <v>0</v>
      </c>
      <c r="AL109" s="145" t="str">
        <f ca="1">IF($AA109=0,"",IF($AJ109&gt;$AK109,Einstellungen!$C$4,IF($AJ109=$AK109,1,0)))</f>
        <v/>
      </c>
      <c r="AM109" s="141" t="str">
        <f ca="1">IF($AA109=0,"",IF($AJ109&lt;$AK109,Einstellungen!$C$4,IF($AJ109=$AK109,1,0)))</f>
        <v/>
      </c>
    </row>
    <row r="110" spans="2:39" s="2" customFormat="1" x14ac:dyDescent="0.2">
      <c r="B110" s="4"/>
      <c r="C110" s="4"/>
      <c r="D110" s="4"/>
      <c r="E110" s="4"/>
      <c r="F110" s="13"/>
      <c r="G110" s="13"/>
      <c r="H110" s="13"/>
      <c r="I110" s="13"/>
      <c r="J110" s="13"/>
      <c r="K110" s="13"/>
      <c r="L110" s="13"/>
      <c r="M110" s="13"/>
      <c r="U110" s="66" t="s">
        <v>68</v>
      </c>
      <c r="V110" s="40" t="str">
        <f ca="1">Planung!$L52</f>
        <v/>
      </c>
      <c r="W110" s="13" t="str">
        <f ca="1">Planung!$N52</f>
        <v/>
      </c>
      <c r="X110" s="13" t="str">
        <f ca="1">IF(AND($AA110=1,Vorrunde!$I58&lt;&gt;"",Vorrunde!$K58&lt;&gt;"",ABS(Vorrunde!$I58-Vorrunde!$K58)&gt;1),Vorrunde!$I58,"")</f>
        <v/>
      </c>
      <c r="Y110" s="35" t="str">
        <f ca="1">IF(AND($AA110=1,Vorrunde!$I58&lt;&gt;"",Vorrunde!$K58&lt;&gt;"",ABS(Vorrunde!$I58-Vorrunde!$K58)&gt;1),Vorrunde!$K58,"")</f>
        <v/>
      </c>
      <c r="Z110" s="34" t="str">
        <f t="shared" ca="1" si="75"/>
        <v/>
      </c>
      <c r="AA110" s="13">
        <f ca="1">IF(AND(V110&lt;&gt;"",W110&lt;&gt;"",V110&lt;&gt;W110,Vorrunde!$R58&lt;&gt;"",Vorrunde!$T58&lt;&gt;""),1,0)</f>
        <v>0</v>
      </c>
      <c r="AB110" s="13" t="str">
        <f ca="1">IF(AA110&gt;0,AH110&amp;Sprache!$E$109&amp;AI110,"")</f>
        <v/>
      </c>
      <c r="AC110" s="141" t="str">
        <f ca="1">IF(AA110&gt;0,AJ110&amp;Sprache!$E$109&amp;AK110,"")</f>
        <v/>
      </c>
      <c r="AD110" s="145" t="str">
        <f ca="1">IF(AND($AA110=1,Vorrunde!$L58&lt;&gt;"",Vorrunde!$N58&lt;&gt;"",ABS(Vorrunde!$L58-Vorrunde!$N58)&gt;1),Vorrunde!$L58,"")</f>
        <v/>
      </c>
      <c r="AE110" s="141" t="str">
        <f ca="1">IF(AND($AA110=1,Vorrunde!$L58&lt;&gt;"",Vorrunde!$N58&lt;&gt;"",ABS(Vorrunde!$L58-Vorrunde!$N58)&gt;1),Vorrunde!$N58,"")</f>
        <v/>
      </c>
      <c r="AF110" s="145" t="str">
        <f ca="1">IF(AND($AA110=1,Vorrunde!$O58&lt;&gt;"",Vorrunde!$Q58&lt;&gt;"",ABS(Vorrunde!$O58-Vorrunde!$Q58)&gt;1),Vorrunde!$O58,"")</f>
        <v/>
      </c>
      <c r="AG110" s="141" t="str">
        <f ca="1">IF(AND($AA110=1,Vorrunde!$O58&lt;&gt;"",Vorrunde!$Q58&lt;&gt;"",ABS(Vorrunde!$O58-Vorrunde!$Q58)&gt;1),Vorrunde!$Q58,"")</f>
        <v/>
      </c>
      <c r="AH110" s="145" t="str">
        <f t="shared" ca="1" si="72"/>
        <v/>
      </c>
      <c r="AI110" s="141" t="str">
        <f t="shared" ca="1" si="73"/>
        <v/>
      </c>
      <c r="AJ110" s="145">
        <f ca="1">IF(Vorrunde!$R58="",0,Vorrunde!$R58)</f>
        <v>0</v>
      </c>
      <c r="AK110" s="141">
        <f ca="1">IF(Vorrunde!$T58="",0,Vorrunde!$T58)</f>
        <v>0</v>
      </c>
      <c r="AL110" s="145" t="str">
        <f ca="1">IF($AA110=0,"",IF($AJ110&gt;$AK110,Einstellungen!$C$4,IF($AJ110=$AK110,1,0)))</f>
        <v/>
      </c>
      <c r="AM110" s="141" t="str">
        <f ca="1">IF($AA110=0,"",IF($AJ110&lt;$AK110,Einstellungen!$C$4,IF($AJ110=$AK110,1,0)))</f>
        <v/>
      </c>
    </row>
    <row r="111" spans="2:39" s="2" customFormat="1" x14ac:dyDescent="0.2">
      <c r="B111" s="4"/>
      <c r="C111" s="4"/>
      <c r="D111" s="4"/>
      <c r="E111" s="4"/>
      <c r="F111" s="13"/>
      <c r="G111" s="13"/>
      <c r="H111" s="13"/>
      <c r="I111" s="13"/>
      <c r="J111" s="13"/>
      <c r="K111" s="13"/>
      <c r="L111" s="13"/>
      <c r="M111" s="13"/>
      <c r="U111" s="66" t="s">
        <v>69</v>
      </c>
      <c r="V111" s="40" t="str">
        <f ca="1">Planung!$L53</f>
        <v/>
      </c>
      <c r="W111" s="13" t="str">
        <f ca="1">Planung!$N53</f>
        <v/>
      </c>
      <c r="X111" s="13" t="str">
        <f ca="1">IF(AND($AA111=1,Vorrunde!$I59&lt;&gt;"",Vorrunde!$K59&lt;&gt;"",ABS(Vorrunde!$I59-Vorrunde!$K59)&gt;1),Vorrunde!$I59,"")</f>
        <v/>
      </c>
      <c r="Y111" s="35" t="str">
        <f ca="1">IF(AND($AA111=1,Vorrunde!$I59&lt;&gt;"",Vorrunde!$K59&lt;&gt;"",ABS(Vorrunde!$I59-Vorrunde!$K59)&gt;1),Vorrunde!$K59,"")</f>
        <v/>
      </c>
      <c r="Z111" s="34" t="str">
        <f t="shared" ca="1" si="75"/>
        <v/>
      </c>
      <c r="AA111" s="13">
        <f ca="1">IF(AND(V111&lt;&gt;"",W111&lt;&gt;"",V111&lt;&gt;W111,Vorrunde!$R59&lt;&gt;"",Vorrunde!$T59&lt;&gt;""),1,0)</f>
        <v>0</v>
      </c>
      <c r="AB111" s="13" t="str">
        <f ca="1">IF(AA111&gt;0,AH111&amp;Sprache!$E$109&amp;AI111,"")</f>
        <v/>
      </c>
      <c r="AC111" s="141" t="str">
        <f ca="1">IF(AA111&gt;0,AJ111&amp;Sprache!$E$109&amp;AK111,"")</f>
        <v/>
      </c>
      <c r="AD111" s="145" t="str">
        <f ca="1">IF(AND($AA111=1,Vorrunde!$L59&lt;&gt;"",Vorrunde!$N59&lt;&gt;"",ABS(Vorrunde!$L59-Vorrunde!$N59)&gt;1),Vorrunde!$L59,"")</f>
        <v/>
      </c>
      <c r="AE111" s="141" t="str">
        <f ca="1">IF(AND($AA111=1,Vorrunde!$L59&lt;&gt;"",Vorrunde!$N59&lt;&gt;"",ABS(Vorrunde!$L59-Vorrunde!$N59)&gt;1),Vorrunde!$N59,"")</f>
        <v/>
      </c>
      <c r="AF111" s="145" t="str">
        <f ca="1">IF(AND($AA111=1,Vorrunde!$O59&lt;&gt;"",Vorrunde!$Q59&lt;&gt;"",ABS(Vorrunde!$O59-Vorrunde!$Q59)&gt;1),Vorrunde!$O59,"")</f>
        <v/>
      </c>
      <c r="AG111" s="141" t="str">
        <f ca="1">IF(AND($AA111=1,Vorrunde!$O59&lt;&gt;"",Vorrunde!$Q59&lt;&gt;"",ABS(Vorrunde!$O59-Vorrunde!$Q59)&gt;1),Vorrunde!$Q59,"")</f>
        <v/>
      </c>
      <c r="AH111" s="145" t="str">
        <f t="shared" ca="1" si="72"/>
        <v/>
      </c>
      <c r="AI111" s="141" t="str">
        <f t="shared" ca="1" si="73"/>
        <v/>
      </c>
      <c r="AJ111" s="145">
        <f ca="1">IF(Vorrunde!$R59="",0,Vorrunde!$R59)</f>
        <v>0</v>
      </c>
      <c r="AK111" s="141">
        <f ca="1">IF(Vorrunde!$T59="",0,Vorrunde!$T59)</f>
        <v>0</v>
      </c>
      <c r="AL111" s="145" t="str">
        <f ca="1">IF($AA111=0,"",IF($AJ111&gt;$AK111,Einstellungen!$C$4,IF($AJ111=$AK111,1,0)))</f>
        <v/>
      </c>
      <c r="AM111" s="141" t="str">
        <f ca="1">IF($AA111=0,"",IF($AJ111&lt;$AK111,Einstellungen!$C$4,IF($AJ111=$AK111,1,0)))</f>
        <v/>
      </c>
    </row>
    <row r="112" spans="2:39" s="2" customFormat="1" x14ac:dyDescent="0.2">
      <c r="B112" s="4"/>
      <c r="C112" s="4"/>
      <c r="D112" s="4"/>
      <c r="E112" s="4"/>
      <c r="F112" s="13"/>
      <c r="G112" s="13"/>
      <c r="H112" s="13"/>
      <c r="I112" s="13"/>
      <c r="J112" s="13"/>
      <c r="K112" s="13"/>
      <c r="L112" s="13"/>
      <c r="M112" s="13"/>
      <c r="U112" s="66" t="s">
        <v>70</v>
      </c>
      <c r="V112" s="40" t="str">
        <f ca="1">Planung!$L54</f>
        <v/>
      </c>
      <c r="W112" s="13" t="str">
        <f ca="1">Planung!$N54</f>
        <v/>
      </c>
      <c r="X112" s="13" t="str">
        <f ca="1">IF(AND($AA112=1,Vorrunde!$I60&lt;&gt;"",Vorrunde!$K60&lt;&gt;"",ABS(Vorrunde!$I60-Vorrunde!$K60)&gt;1),Vorrunde!$I60,"")</f>
        <v/>
      </c>
      <c r="Y112" s="35" t="str">
        <f ca="1">IF(AND($AA112=1,Vorrunde!$I60&lt;&gt;"",Vorrunde!$K60&lt;&gt;"",ABS(Vorrunde!$I60-Vorrunde!$K60)&gt;1),Vorrunde!$K60,"")</f>
        <v/>
      </c>
      <c r="Z112" s="34" t="str">
        <f t="shared" ca="1" si="75"/>
        <v/>
      </c>
      <c r="AA112" s="13">
        <f ca="1">IF(AND(V112&lt;&gt;"",W112&lt;&gt;"",V112&lt;&gt;W112,Vorrunde!$R60&lt;&gt;"",Vorrunde!$T60&lt;&gt;""),1,0)</f>
        <v>0</v>
      </c>
      <c r="AB112" s="13" t="str">
        <f ca="1">IF(AA112&gt;0,AH112&amp;Sprache!$E$109&amp;AI112,"")</f>
        <v/>
      </c>
      <c r="AC112" s="141" t="str">
        <f ca="1">IF(AA112&gt;0,AJ112&amp;Sprache!$E$109&amp;AK112,"")</f>
        <v/>
      </c>
      <c r="AD112" s="145" t="str">
        <f ca="1">IF(AND($AA112=1,Vorrunde!$L60&lt;&gt;"",Vorrunde!$N60&lt;&gt;"",ABS(Vorrunde!$L60-Vorrunde!$N60)&gt;1),Vorrunde!$L60,"")</f>
        <v/>
      </c>
      <c r="AE112" s="141" t="str">
        <f ca="1">IF(AND($AA112=1,Vorrunde!$L60&lt;&gt;"",Vorrunde!$N60&lt;&gt;"",ABS(Vorrunde!$L60-Vorrunde!$N60)&gt;1),Vorrunde!$N60,"")</f>
        <v/>
      </c>
      <c r="AF112" s="145" t="str">
        <f ca="1">IF(AND($AA112=1,Vorrunde!$O60&lt;&gt;"",Vorrunde!$Q60&lt;&gt;"",ABS(Vorrunde!$O60-Vorrunde!$Q60)&gt;1),Vorrunde!$O60,"")</f>
        <v/>
      </c>
      <c r="AG112" s="141" t="str">
        <f ca="1">IF(AND($AA112=1,Vorrunde!$O60&lt;&gt;"",Vorrunde!$Q60&lt;&gt;"",ABS(Vorrunde!$O60-Vorrunde!$Q60)&gt;1),Vorrunde!$Q60,"")</f>
        <v/>
      </c>
      <c r="AH112" s="145" t="str">
        <f t="shared" ca="1" si="72"/>
        <v/>
      </c>
      <c r="AI112" s="141" t="str">
        <f t="shared" ca="1" si="73"/>
        <v/>
      </c>
      <c r="AJ112" s="145">
        <f ca="1">IF(Vorrunde!$R60="",0,Vorrunde!$R60)</f>
        <v>0</v>
      </c>
      <c r="AK112" s="141">
        <f ca="1">IF(Vorrunde!$T60="",0,Vorrunde!$T60)</f>
        <v>0</v>
      </c>
      <c r="AL112" s="145" t="str">
        <f ca="1">IF($AA112=0,"",IF($AJ112&gt;$AK112,Einstellungen!$C$4,IF($AJ112=$AK112,1,0)))</f>
        <v/>
      </c>
      <c r="AM112" s="141" t="str">
        <f ca="1">IF($AA112=0,"",IF($AJ112&lt;$AK112,Einstellungen!$C$4,IF($AJ112=$AK112,1,0)))</f>
        <v/>
      </c>
    </row>
    <row r="113" spans="2:39" s="2" customFormat="1" x14ac:dyDescent="0.2">
      <c r="B113" s="4"/>
      <c r="C113" s="4"/>
      <c r="D113" s="4"/>
      <c r="E113" s="4"/>
      <c r="F113" s="13"/>
      <c r="G113" s="13"/>
      <c r="H113" s="13"/>
      <c r="I113" s="13"/>
      <c r="J113" s="13"/>
      <c r="K113" s="13"/>
      <c r="L113" s="13"/>
      <c r="M113" s="13"/>
      <c r="U113" s="66" t="s">
        <v>71</v>
      </c>
      <c r="V113" s="40" t="str">
        <f ca="1">Planung!$L55</f>
        <v/>
      </c>
      <c r="W113" s="13" t="str">
        <f ca="1">Planung!$N55</f>
        <v/>
      </c>
      <c r="X113" s="13" t="str">
        <f ca="1">IF(AND($AA113=1,Vorrunde!$I61&lt;&gt;"",Vorrunde!$K61&lt;&gt;"",ABS(Vorrunde!$I61-Vorrunde!$K61)&gt;1),Vorrunde!$I61,"")</f>
        <v/>
      </c>
      <c r="Y113" s="35" t="str">
        <f ca="1">IF(AND($AA113=1,Vorrunde!$I61&lt;&gt;"",Vorrunde!$K61&lt;&gt;"",ABS(Vorrunde!$I61-Vorrunde!$K61)&gt;1),Vorrunde!$K61,"")</f>
        <v/>
      </c>
      <c r="Z113" s="34" t="str">
        <f t="shared" ca="1" si="75"/>
        <v/>
      </c>
      <c r="AA113" s="13">
        <f ca="1">IF(AND(V113&lt;&gt;"",W113&lt;&gt;"",V113&lt;&gt;W113,Vorrunde!$R61&lt;&gt;"",Vorrunde!$T61&lt;&gt;""),1,0)</f>
        <v>0</v>
      </c>
      <c r="AB113" s="13" t="str">
        <f ca="1">IF(AA113&gt;0,AH113&amp;Sprache!$E$109&amp;AI113,"")</f>
        <v/>
      </c>
      <c r="AC113" s="141" t="str">
        <f ca="1">IF(AA113&gt;0,AJ113&amp;Sprache!$E$109&amp;AK113,"")</f>
        <v/>
      </c>
      <c r="AD113" s="145" t="str">
        <f ca="1">IF(AND($AA113=1,Vorrunde!$L61&lt;&gt;"",Vorrunde!$N61&lt;&gt;"",ABS(Vorrunde!$L61-Vorrunde!$N61)&gt;1),Vorrunde!$L61,"")</f>
        <v/>
      </c>
      <c r="AE113" s="141" t="str">
        <f ca="1">IF(AND($AA113=1,Vorrunde!$L61&lt;&gt;"",Vorrunde!$N61&lt;&gt;"",ABS(Vorrunde!$L61-Vorrunde!$N61)&gt;1),Vorrunde!$N61,"")</f>
        <v/>
      </c>
      <c r="AF113" s="145" t="str">
        <f ca="1">IF(AND($AA113=1,Vorrunde!$O61&lt;&gt;"",Vorrunde!$Q61&lt;&gt;"",ABS(Vorrunde!$O61-Vorrunde!$Q61)&gt;1),Vorrunde!$O61,"")</f>
        <v/>
      </c>
      <c r="AG113" s="141" t="str">
        <f ca="1">IF(AND($AA113=1,Vorrunde!$O61&lt;&gt;"",Vorrunde!$Q61&lt;&gt;"",ABS(Vorrunde!$O61-Vorrunde!$Q61)&gt;1),Vorrunde!$Q61,"")</f>
        <v/>
      </c>
      <c r="AH113" s="145" t="str">
        <f t="shared" ca="1" si="72"/>
        <v/>
      </c>
      <c r="AI113" s="141" t="str">
        <f t="shared" ca="1" si="73"/>
        <v/>
      </c>
      <c r="AJ113" s="145">
        <f ca="1">IF(Vorrunde!$R61="",0,Vorrunde!$R61)</f>
        <v>0</v>
      </c>
      <c r="AK113" s="141">
        <f ca="1">IF(Vorrunde!$T61="",0,Vorrunde!$T61)</f>
        <v>0</v>
      </c>
      <c r="AL113" s="145" t="str">
        <f ca="1">IF($AA113=0,"",IF($AJ113&gt;$AK113,Einstellungen!$C$4,IF($AJ113=$AK113,1,0)))</f>
        <v/>
      </c>
      <c r="AM113" s="141" t="str">
        <f ca="1">IF($AA113=0,"",IF($AJ113&lt;$AK113,Einstellungen!$C$4,IF($AJ113=$AK113,1,0)))</f>
        <v/>
      </c>
    </row>
    <row r="114" spans="2:39" s="2" customFormat="1" x14ac:dyDescent="0.2">
      <c r="B114" s="4"/>
      <c r="C114" s="4"/>
      <c r="D114" s="4"/>
      <c r="E114" s="4"/>
      <c r="F114" s="13"/>
      <c r="G114" s="13"/>
      <c r="H114" s="13"/>
      <c r="I114" s="13"/>
      <c r="J114" s="13"/>
      <c r="K114" s="13"/>
      <c r="L114" s="13"/>
      <c r="M114" s="13"/>
      <c r="U114" s="66" t="s">
        <v>72</v>
      </c>
      <c r="V114" s="40" t="str">
        <f ca="1">Planung!$L56</f>
        <v/>
      </c>
      <c r="W114" s="13" t="str">
        <f ca="1">Planung!$N56</f>
        <v/>
      </c>
      <c r="X114" s="13" t="str">
        <f ca="1">IF(AND($AA114=1,Vorrunde!$I62&lt;&gt;"",Vorrunde!$K62&lt;&gt;"",ABS(Vorrunde!$I62-Vorrunde!$K62)&gt;1),Vorrunde!$I62,"")</f>
        <v/>
      </c>
      <c r="Y114" s="35" t="str">
        <f ca="1">IF(AND($AA114=1,Vorrunde!$I62&lt;&gt;"",Vorrunde!$K62&lt;&gt;"",ABS(Vorrunde!$I62-Vorrunde!$K62)&gt;1),Vorrunde!$K62,"")</f>
        <v/>
      </c>
      <c r="Z114" s="34" t="str">
        <f t="shared" ca="1" si="75"/>
        <v/>
      </c>
      <c r="AA114" s="13">
        <f ca="1">IF(AND(V114&lt;&gt;"",W114&lt;&gt;"",V114&lt;&gt;W114,Vorrunde!$R62&lt;&gt;"",Vorrunde!$T62&lt;&gt;""),1,0)</f>
        <v>0</v>
      </c>
      <c r="AB114" s="13" t="str">
        <f ca="1">IF(AA114&gt;0,AH114&amp;Sprache!$E$109&amp;AI114,"")</f>
        <v/>
      </c>
      <c r="AC114" s="141" t="str">
        <f ca="1">IF(AA114&gt;0,AJ114&amp;Sprache!$E$109&amp;AK114,"")</f>
        <v/>
      </c>
      <c r="AD114" s="145" t="str">
        <f ca="1">IF(AND($AA114=1,Vorrunde!$L62&lt;&gt;"",Vorrunde!$N62&lt;&gt;"",ABS(Vorrunde!$L62-Vorrunde!$N62)&gt;1),Vorrunde!$L62,"")</f>
        <v/>
      </c>
      <c r="AE114" s="141" t="str">
        <f ca="1">IF(AND($AA114=1,Vorrunde!$L62&lt;&gt;"",Vorrunde!$N62&lt;&gt;"",ABS(Vorrunde!$L62-Vorrunde!$N62)&gt;1),Vorrunde!$N62,"")</f>
        <v/>
      </c>
      <c r="AF114" s="145" t="str">
        <f ca="1">IF(AND($AA114=1,Vorrunde!$O62&lt;&gt;"",Vorrunde!$Q62&lt;&gt;"",ABS(Vorrunde!$O62-Vorrunde!$Q62)&gt;1),Vorrunde!$O62,"")</f>
        <v/>
      </c>
      <c r="AG114" s="141" t="str">
        <f ca="1">IF(AND($AA114=1,Vorrunde!$O62&lt;&gt;"",Vorrunde!$Q62&lt;&gt;"",ABS(Vorrunde!$O62-Vorrunde!$Q62)&gt;1),Vorrunde!$Q62,"")</f>
        <v/>
      </c>
      <c r="AH114" s="145" t="str">
        <f t="shared" ca="1" si="72"/>
        <v/>
      </c>
      <c r="AI114" s="141" t="str">
        <f t="shared" ca="1" si="73"/>
        <v/>
      </c>
      <c r="AJ114" s="145">
        <f ca="1">IF(Vorrunde!$R62="",0,Vorrunde!$R62)</f>
        <v>0</v>
      </c>
      <c r="AK114" s="141">
        <f ca="1">IF(Vorrunde!$T62="",0,Vorrunde!$T62)</f>
        <v>0</v>
      </c>
      <c r="AL114" s="145" t="str">
        <f ca="1">IF($AA114=0,"",IF($AJ114&gt;$AK114,Einstellungen!$C$4,IF($AJ114=$AK114,1,0)))</f>
        <v/>
      </c>
      <c r="AM114" s="141" t="str">
        <f ca="1">IF($AA114=0,"",IF($AJ114&lt;$AK114,Einstellungen!$C$4,IF($AJ114=$AK114,1,0)))</f>
        <v/>
      </c>
    </row>
    <row r="115" spans="2:39" s="2" customFormat="1" x14ac:dyDescent="0.2">
      <c r="B115" s="4"/>
      <c r="C115" s="4"/>
      <c r="D115" s="4"/>
      <c r="E115" s="4"/>
      <c r="F115" s="13"/>
      <c r="G115" s="13"/>
      <c r="H115" s="13"/>
      <c r="I115" s="13"/>
      <c r="J115" s="13"/>
      <c r="K115" s="13"/>
      <c r="L115" s="13"/>
      <c r="M115" s="13"/>
      <c r="U115" s="66" t="s">
        <v>73</v>
      </c>
      <c r="V115" s="40" t="str">
        <f ca="1">Planung!$L57</f>
        <v/>
      </c>
      <c r="W115" s="13" t="str">
        <f ca="1">Planung!$N57</f>
        <v/>
      </c>
      <c r="X115" s="13" t="str">
        <f ca="1">IF(AND($AA115=1,Vorrunde!$I63&lt;&gt;"",Vorrunde!$K63&lt;&gt;"",ABS(Vorrunde!$I63-Vorrunde!$K63)&gt;1),Vorrunde!$I63,"")</f>
        <v/>
      </c>
      <c r="Y115" s="35" t="str">
        <f ca="1">IF(AND($AA115=1,Vorrunde!$I63&lt;&gt;"",Vorrunde!$K63&lt;&gt;"",ABS(Vorrunde!$I63-Vorrunde!$K63)&gt;1),Vorrunde!$K63,"")</f>
        <v/>
      </c>
      <c r="Z115" s="34" t="str">
        <f t="shared" ca="1" si="75"/>
        <v/>
      </c>
      <c r="AA115" s="13">
        <f ca="1">IF(AND(V115&lt;&gt;"",W115&lt;&gt;"",V115&lt;&gt;W115,Vorrunde!$R63&lt;&gt;"",Vorrunde!$T63&lt;&gt;""),1,0)</f>
        <v>0</v>
      </c>
      <c r="AB115" s="13" t="str">
        <f ca="1">IF(AA115&gt;0,AH115&amp;Sprache!$E$109&amp;AI115,"")</f>
        <v/>
      </c>
      <c r="AC115" s="141" t="str">
        <f ca="1">IF(AA115&gt;0,AJ115&amp;Sprache!$E$109&amp;AK115,"")</f>
        <v/>
      </c>
      <c r="AD115" s="145" t="str">
        <f ca="1">IF(AND($AA115=1,Vorrunde!$L63&lt;&gt;"",Vorrunde!$N63&lt;&gt;"",ABS(Vorrunde!$L63-Vorrunde!$N63)&gt;1),Vorrunde!$L63,"")</f>
        <v/>
      </c>
      <c r="AE115" s="141" t="str">
        <f ca="1">IF(AND($AA115=1,Vorrunde!$L63&lt;&gt;"",Vorrunde!$N63&lt;&gt;"",ABS(Vorrunde!$L63-Vorrunde!$N63)&gt;1),Vorrunde!$N63,"")</f>
        <v/>
      </c>
      <c r="AF115" s="145" t="str">
        <f ca="1">IF(AND($AA115=1,Vorrunde!$O63&lt;&gt;"",Vorrunde!$Q63&lt;&gt;"",ABS(Vorrunde!$O63-Vorrunde!$Q63)&gt;1),Vorrunde!$O63,"")</f>
        <v/>
      </c>
      <c r="AG115" s="141" t="str">
        <f ca="1">IF(AND($AA115=1,Vorrunde!$O63&lt;&gt;"",Vorrunde!$Q63&lt;&gt;"",ABS(Vorrunde!$O63-Vorrunde!$Q63)&gt;1),Vorrunde!$Q63,"")</f>
        <v/>
      </c>
      <c r="AH115" s="145" t="str">
        <f t="shared" ca="1" si="72"/>
        <v/>
      </c>
      <c r="AI115" s="141" t="str">
        <f t="shared" ca="1" si="73"/>
        <v/>
      </c>
      <c r="AJ115" s="145">
        <f ca="1">IF(Vorrunde!$R63="",0,Vorrunde!$R63)</f>
        <v>0</v>
      </c>
      <c r="AK115" s="141">
        <f ca="1">IF(Vorrunde!$T63="",0,Vorrunde!$T63)</f>
        <v>0</v>
      </c>
      <c r="AL115" s="145" t="str">
        <f ca="1">IF($AA115=0,"",IF($AJ115&gt;$AK115,Einstellungen!$C$4,IF($AJ115=$AK115,1,0)))</f>
        <v/>
      </c>
      <c r="AM115" s="141" t="str">
        <f ca="1">IF($AA115=0,"",IF($AJ115&lt;$AK115,Einstellungen!$C$4,IF($AJ115=$AK115,1,0)))</f>
        <v/>
      </c>
    </row>
    <row r="116" spans="2:39" s="2" customFormat="1" x14ac:dyDescent="0.2">
      <c r="B116" s="4"/>
      <c r="C116" s="4"/>
      <c r="D116" s="4"/>
      <c r="E116" s="4"/>
      <c r="F116" s="13"/>
      <c r="G116" s="13"/>
      <c r="H116" s="13"/>
      <c r="I116" s="13"/>
      <c r="J116" s="13"/>
      <c r="K116" s="13"/>
      <c r="L116" s="13"/>
      <c r="M116" s="13"/>
      <c r="U116" s="66" t="s">
        <v>74</v>
      </c>
      <c r="V116" s="40" t="str">
        <f ca="1">Planung!$L58</f>
        <v/>
      </c>
      <c r="W116" s="13" t="str">
        <f ca="1">Planung!$N58</f>
        <v/>
      </c>
      <c r="X116" s="13" t="str">
        <f ca="1">IF(AND($AA116=1,Vorrunde!$I64&lt;&gt;"",Vorrunde!$K64&lt;&gt;"",ABS(Vorrunde!$I64-Vorrunde!$K64)&gt;1),Vorrunde!$I64,"")</f>
        <v/>
      </c>
      <c r="Y116" s="35" t="str">
        <f ca="1">IF(AND($AA116=1,Vorrunde!$I64&lt;&gt;"",Vorrunde!$K64&lt;&gt;"",ABS(Vorrunde!$I64-Vorrunde!$K64)&gt;1),Vorrunde!$K64,"")</f>
        <v/>
      </c>
      <c r="Z116" s="34" t="str">
        <f t="shared" ca="1" si="75"/>
        <v/>
      </c>
      <c r="AA116" s="13">
        <f ca="1">IF(AND(V116&lt;&gt;"",W116&lt;&gt;"",V116&lt;&gt;W116,Vorrunde!$R64&lt;&gt;"",Vorrunde!$T64&lt;&gt;""),1,0)</f>
        <v>0</v>
      </c>
      <c r="AB116" s="13" t="str">
        <f ca="1">IF(AA116&gt;0,AH116&amp;Sprache!$E$109&amp;AI116,"")</f>
        <v/>
      </c>
      <c r="AC116" s="141" t="str">
        <f ca="1">IF(AA116&gt;0,AJ116&amp;Sprache!$E$109&amp;AK116,"")</f>
        <v/>
      </c>
      <c r="AD116" s="145" t="str">
        <f ca="1">IF(AND($AA116=1,Vorrunde!$L64&lt;&gt;"",Vorrunde!$N64&lt;&gt;"",ABS(Vorrunde!$L64-Vorrunde!$N64)&gt;1),Vorrunde!$L64,"")</f>
        <v/>
      </c>
      <c r="AE116" s="141" t="str">
        <f ca="1">IF(AND($AA116=1,Vorrunde!$L64&lt;&gt;"",Vorrunde!$N64&lt;&gt;"",ABS(Vorrunde!$L64-Vorrunde!$N64)&gt;1),Vorrunde!$N64,"")</f>
        <v/>
      </c>
      <c r="AF116" s="145" t="str">
        <f ca="1">IF(AND($AA116=1,Vorrunde!$O64&lt;&gt;"",Vorrunde!$Q64&lt;&gt;"",ABS(Vorrunde!$O64-Vorrunde!$Q64)&gt;1),Vorrunde!$O64,"")</f>
        <v/>
      </c>
      <c r="AG116" s="141" t="str">
        <f ca="1">IF(AND($AA116=1,Vorrunde!$O64&lt;&gt;"",Vorrunde!$Q64&lt;&gt;"",ABS(Vorrunde!$O64-Vorrunde!$Q64)&gt;1),Vorrunde!$Q64,"")</f>
        <v/>
      </c>
      <c r="AH116" s="145" t="str">
        <f t="shared" ca="1" si="72"/>
        <v/>
      </c>
      <c r="AI116" s="141" t="str">
        <f t="shared" ca="1" si="73"/>
        <v/>
      </c>
      <c r="AJ116" s="145">
        <f ca="1">IF(Vorrunde!$R64="",0,Vorrunde!$R64)</f>
        <v>0</v>
      </c>
      <c r="AK116" s="141">
        <f ca="1">IF(Vorrunde!$T64="",0,Vorrunde!$T64)</f>
        <v>0</v>
      </c>
      <c r="AL116" s="145" t="str">
        <f ca="1">IF($AA116=0,"",IF($AJ116&gt;$AK116,Einstellungen!$C$4,IF($AJ116=$AK116,1,0)))</f>
        <v/>
      </c>
      <c r="AM116" s="141" t="str">
        <f ca="1">IF($AA116=0,"",IF($AJ116&lt;$AK116,Einstellungen!$C$4,IF($AJ116=$AK116,1,0)))</f>
        <v/>
      </c>
    </row>
    <row r="117" spans="2:39" s="2" customFormat="1" x14ac:dyDescent="0.2">
      <c r="B117" s="4"/>
      <c r="C117" s="4"/>
      <c r="D117" s="4"/>
      <c r="E117" s="4"/>
      <c r="F117" s="13"/>
      <c r="G117" s="13"/>
      <c r="H117" s="13"/>
      <c r="I117" s="13"/>
      <c r="J117" s="13"/>
      <c r="K117" s="13"/>
      <c r="L117" s="13"/>
      <c r="M117" s="13"/>
      <c r="U117" s="66" t="s">
        <v>75</v>
      </c>
      <c r="V117" s="40" t="str">
        <f ca="1">Planung!$L59</f>
        <v/>
      </c>
      <c r="W117" s="13" t="str">
        <f ca="1">Planung!$N59</f>
        <v/>
      </c>
      <c r="X117" s="13" t="str">
        <f ca="1">IF(AND($AA117=1,Vorrunde!$I65&lt;&gt;"",Vorrunde!$K65&lt;&gt;"",ABS(Vorrunde!$I65-Vorrunde!$K65)&gt;1),Vorrunde!$I65,"")</f>
        <v/>
      </c>
      <c r="Y117" s="35" t="str">
        <f ca="1">IF(AND($AA117=1,Vorrunde!$I65&lt;&gt;"",Vorrunde!$K65&lt;&gt;"",ABS(Vorrunde!$I65-Vorrunde!$K65)&gt;1),Vorrunde!$K65,"")</f>
        <v/>
      </c>
      <c r="Z117" s="34" t="str">
        <f t="shared" ca="1" si="75"/>
        <v/>
      </c>
      <c r="AA117" s="13">
        <f ca="1">IF(AND(V117&lt;&gt;"",W117&lt;&gt;"",V117&lt;&gt;W117,Vorrunde!$R65&lt;&gt;"",Vorrunde!$T65&lt;&gt;""),1,0)</f>
        <v>0</v>
      </c>
      <c r="AB117" s="13" t="str">
        <f ca="1">IF(AA117&gt;0,AH117&amp;Sprache!$E$109&amp;AI117,"")</f>
        <v/>
      </c>
      <c r="AC117" s="141" t="str">
        <f ca="1">IF(AA117&gt;0,AJ117&amp;Sprache!$E$109&amp;AK117,"")</f>
        <v/>
      </c>
      <c r="AD117" s="145" t="str">
        <f ca="1">IF(AND($AA117=1,Vorrunde!$L65&lt;&gt;"",Vorrunde!$N65&lt;&gt;"",ABS(Vorrunde!$L65-Vorrunde!$N65)&gt;1),Vorrunde!$L65,"")</f>
        <v/>
      </c>
      <c r="AE117" s="141" t="str">
        <f ca="1">IF(AND($AA117=1,Vorrunde!$L65&lt;&gt;"",Vorrunde!$N65&lt;&gt;"",ABS(Vorrunde!$L65-Vorrunde!$N65)&gt;1),Vorrunde!$N65,"")</f>
        <v/>
      </c>
      <c r="AF117" s="145" t="str">
        <f ca="1">IF(AND($AA117=1,Vorrunde!$O65&lt;&gt;"",Vorrunde!$Q65&lt;&gt;"",ABS(Vorrunde!$O65-Vorrunde!$Q65)&gt;1),Vorrunde!$O65,"")</f>
        <v/>
      </c>
      <c r="AG117" s="141" t="str">
        <f ca="1">IF(AND($AA117=1,Vorrunde!$O65&lt;&gt;"",Vorrunde!$Q65&lt;&gt;"",ABS(Vorrunde!$O65-Vorrunde!$Q65)&gt;1),Vorrunde!$Q65,"")</f>
        <v/>
      </c>
      <c r="AH117" s="145" t="str">
        <f t="shared" ca="1" si="72"/>
        <v/>
      </c>
      <c r="AI117" s="141" t="str">
        <f t="shared" ca="1" si="73"/>
        <v/>
      </c>
      <c r="AJ117" s="145">
        <f ca="1">IF(Vorrunde!$R65="",0,Vorrunde!$R65)</f>
        <v>0</v>
      </c>
      <c r="AK117" s="141">
        <f ca="1">IF(Vorrunde!$T65="",0,Vorrunde!$T65)</f>
        <v>0</v>
      </c>
      <c r="AL117" s="145" t="str">
        <f ca="1">IF($AA117=0,"",IF($AJ117&gt;$AK117,Einstellungen!$C$4,IF($AJ117=$AK117,1,0)))</f>
        <v/>
      </c>
      <c r="AM117" s="141" t="str">
        <f ca="1">IF($AA117=0,"",IF($AJ117&lt;$AK117,Einstellungen!$C$4,IF($AJ117=$AK117,1,0)))</f>
        <v/>
      </c>
    </row>
    <row r="118" spans="2:39" s="2" customFormat="1" x14ac:dyDescent="0.2">
      <c r="B118" s="4"/>
      <c r="C118" s="4"/>
      <c r="D118" s="4"/>
      <c r="E118" s="4"/>
      <c r="F118" s="13"/>
      <c r="G118" s="13"/>
      <c r="H118" s="13"/>
      <c r="I118" s="13"/>
      <c r="J118" s="13"/>
      <c r="K118" s="13"/>
      <c r="L118" s="13"/>
      <c r="M118" s="13"/>
      <c r="U118" s="66" t="s">
        <v>76</v>
      </c>
      <c r="V118" s="40" t="str">
        <f ca="1">Planung!$L60</f>
        <v/>
      </c>
      <c r="W118" s="13" t="str">
        <f ca="1">Planung!$N60</f>
        <v/>
      </c>
      <c r="X118" s="13" t="str">
        <f ca="1">IF(AND($AA118=1,Vorrunde!$I66&lt;&gt;"",Vorrunde!$K66&lt;&gt;"",ABS(Vorrunde!$I66-Vorrunde!$K66)&gt;1),Vorrunde!$I66,"")</f>
        <v/>
      </c>
      <c r="Y118" s="35" t="str">
        <f ca="1">IF(AND($AA118=1,Vorrunde!$I66&lt;&gt;"",Vorrunde!$K66&lt;&gt;"",ABS(Vorrunde!$I66-Vorrunde!$K66)&gt;1),Vorrunde!$K66,"")</f>
        <v/>
      </c>
      <c r="Z118" s="34" t="str">
        <f t="shared" ca="1" si="75"/>
        <v/>
      </c>
      <c r="AA118" s="13">
        <f ca="1">IF(AND(V118&lt;&gt;"",W118&lt;&gt;"",V118&lt;&gt;W118,Vorrunde!$R66&lt;&gt;"",Vorrunde!$T66&lt;&gt;""),1,0)</f>
        <v>0</v>
      </c>
      <c r="AB118" s="13" t="str">
        <f ca="1">IF(AA118&gt;0,AH118&amp;Sprache!$E$109&amp;AI118,"")</f>
        <v/>
      </c>
      <c r="AC118" s="141" t="str">
        <f ca="1">IF(AA118&gt;0,AJ118&amp;Sprache!$E$109&amp;AK118,"")</f>
        <v/>
      </c>
      <c r="AD118" s="145" t="str">
        <f ca="1">IF(AND($AA118=1,Vorrunde!$L66&lt;&gt;"",Vorrunde!$N66&lt;&gt;"",ABS(Vorrunde!$L66-Vorrunde!$N66)&gt;1),Vorrunde!$L66,"")</f>
        <v/>
      </c>
      <c r="AE118" s="141" t="str">
        <f ca="1">IF(AND($AA118=1,Vorrunde!$L66&lt;&gt;"",Vorrunde!$N66&lt;&gt;"",ABS(Vorrunde!$L66-Vorrunde!$N66)&gt;1),Vorrunde!$N66,"")</f>
        <v/>
      </c>
      <c r="AF118" s="145" t="str">
        <f ca="1">IF(AND($AA118=1,Vorrunde!$O66&lt;&gt;"",Vorrunde!$Q66&lt;&gt;"",ABS(Vorrunde!$O66-Vorrunde!$Q66)&gt;1),Vorrunde!$O66,"")</f>
        <v/>
      </c>
      <c r="AG118" s="141" t="str">
        <f ca="1">IF(AND($AA118=1,Vorrunde!$O66&lt;&gt;"",Vorrunde!$Q66&lt;&gt;"",ABS(Vorrunde!$O66-Vorrunde!$Q66)&gt;1),Vorrunde!$Q66,"")</f>
        <v/>
      </c>
      <c r="AH118" s="145" t="str">
        <f t="shared" ca="1" si="72"/>
        <v/>
      </c>
      <c r="AI118" s="141" t="str">
        <f t="shared" ca="1" si="73"/>
        <v/>
      </c>
      <c r="AJ118" s="145">
        <f ca="1">IF(Vorrunde!$R66="",0,Vorrunde!$R66)</f>
        <v>0</v>
      </c>
      <c r="AK118" s="141">
        <f ca="1">IF(Vorrunde!$T66="",0,Vorrunde!$T66)</f>
        <v>0</v>
      </c>
      <c r="AL118" s="145" t="str">
        <f ca="1">IF($AA118=0,"",IF($AJ118&gt;$AK118,Einstellungen!$C$4,IF($AJ118=$AK118,1,0)))</f>
        <v/>
      </c>
      <c r="AM118" s="141" t="str">
        <f ca="1">IF($AA118=0,"",IF($AJ118&lt;$AK118,Einstellungen!$C$4,IF($AJ118=$AK118,1,0)))</f>
        <v/>
      </c>
    </row>
    <row r="119" spans="2:39" s="2" customFormat="1" x14ac:dyDescent="0.2">
      <c r="B119" s="4"/>
      <c r="C119" s="4"/>
      <c r="D119" s="4"/>
      <c r="E119" s="4"/>
      <c r="F119" s="13"/>
      <c r="G119" s="13"/>
      <c r="H119" s="13"/>
      <c r="I119" s="13"/>
      <c r="J119" s="13"/>
      <c r="K119" s="13"/>
      <c r="L119" s="13"/>
      <c r="M119" s="13"/>
      <c r="U119" s="66" t="s">
        <v>77</v>
      </c>
      <c r="V119" s="40" t="str">
        <f ca="1">Planung!$L61</f>
        <v/>
      </c>
      <c r="W119" s="13" t="str">
        <f ca="1">Planung!$N61</f>
        <v/>
      </c>
      <c r="X119" s="13" t="str">
        <f ca="1">IF(AND($AA119=1,Vorrunde!$I67&lt;&gt;"",Vorrunde!$K67&lt;&gt;"",ABS(Vorrunde!$I67-Vorrunde!$K67)&gt;1),Vorrunde!$I67,"")</f>
        <v/>
      </c>
      <c r="Y119" s="35" t="str">
        <f ca="1">IF(AND($AA119=1,Vorrunde!$I67&lt;&gt;"",Vorrunde!$K67&lt;&gt;"",ABS(Vorrunde!$I67-Vorrunde!$K67)&gt;1),Vorrunde!$K67,"")</f>
        <v/>
      </c>
      <c r="Z119" s="34" t="str">
        <f t="shared" ca="1" si="75"/>
        <v/>
      </c>
      <c r="AA119" s="13">
        <f ca="1">IF(AND(V119&lt;&gt;"",W119&lt;&gt;"",V119&lt;&gt;W119,Vorrunde!$R67&lt;&gt;"",Vorrunde!$T67&lt;&gt;""),1,0)</f>
        <v>0</v>
      </c>
      <c r="AB119" s="13" t="str">
        <f ca="1">IF(AA119&gt;0,AH119&amp;Sprache!$E$109&amp;AI119,"")</f>
        <v/>
      </c>
      <c r="AC119" s="141" t="str">
        <f ca="1">IF(AA119&gt;0,AJ119&amp;Sprache!$E$109&amp;AK119,"")</f>
        <v/>
      </c>
      <c r="AD119" s="145" t="str">
        <f ca="1">IF(AND($AA119=1,Vorrunde!$L67&lt;&gt;"",Vorrunde!$N67&lt;&gt;"",ABS(Vorrunde!$L67-Vorrunde!$N67)&gt;1),Vorrunde!$L67,"")</f>
        <v/>
      </c>
      <c r="AE119" s="141" t="str">
        <f ca="1">IF(AND($AA119=1,Vorrunde!$L67&lt;&gt;"",Vorrunde!$N67&lt;&gt;"",ABS(Vorrunde!$L67-Vorrunde!$N67)&gt;1),Vorrunde!$N67,"")</f>
        <v/>
      </c>
      <c r="AF119" s="145" t="str">
        <f ca="1">IF(AND($AA119=1,Vorrunde!$O67&lt;&gt;"",Vorrunde!$Q67&lt;&gt;"",ABS(Vorrunde!$O67-Vorrunde!$Q67)&gt;1),Vorrunde!$O67,"")</f>
        <v/>
      </c>
      <c r="AG119" s="141" t="str">
        <f ca="1">IF(AND($AA119=1,Vorrunde!$O67&lt;&gt;"",Vorrunde!$Q67&lt;&gt;"",ABS(Vorrunde!$O67-Vorrunde!$Q67)&gt;1),Vorrunde!$Q67,"")</f>
        <v/>
      </c>
      <c r="AH119" s="145" t="str">
        <f t="shared" ca="1" si="72"/>
        <v/>
      </c>
      <c r="AI119" s="141" t="str">
        <f t="shared" ca="1" si="73"/>
        <v/>
      </c>
      <c r="AJ119" s="145">
        <f ca="1">IF(Vorrunde!$R67="",0,Vorrunde!$R67)</f>
        <v>0</v>
      </c>
      <c r="AK119" s="141">
        <f ca="1">IF(Vorrunde!$T67="",0,Vorrunde!$T67)</f>
        <v>0</v>
      </c>
      <c r="AL119" s="145" t="str">
        <f ca="1">IF($AA119=0,"",IF($AJ119&gt;$AK119,Einstellungen!$C$4,IF($AJ119=$AK119,1,0)))</f>
        <v/>
      </c>
      <c r="AM119" s="141" t="str">
        <f ca="1">IF($AA119=0,"",IF($AJ119&lt;$AK119,Einstellungen!$C$4,IF($AJ119=$AK119,1,0)))</f>
        <v/>
      </c>
    </row>
    <row r="120" spans="2:39" s="2" customFormat="1" x14ac:dyDescent="0.2">
      <c r="B120" s="4"/>
      <c r="C120" s="4"/>
      <c r="D120" s="4"/>
      <c r="E120" s="4"/>
      <c r="F120" s="13"/>
      <c r="G120" s="13"/>
      <c r="H120" s="13"/>
      <c r="I120" s="13"/>
      <c r="J120" s="13"/>
      <c r="K120" s="13"/>
      <c r="L120" s="13"/>
      <c r="M120" s="13"/>
      <c r="U120" s="66" t="s">
        <v>78</v>
      </c>
      <c r="V120" s="40" t="str">
        <f ca="1">Planung!$L62</f>
        <v/>
      </c>
      <c r="W120" s="13" t="str">
        <f ca="1">Planung!$N62</f>
        <v/>
      </c>
      <c r="X120" s="13" t="str">
        <f ca="1">IF(AND($AA120=1,Vorrunde!$I68&lt;&gt;"",Vorrunde!$K68&lt;&gt;"",ABS(Vorrunde!$I68-Vorrunde!$K68)&gt;1),Vorrunde!$I68,"")</f>
        <v/>
      </c>
      <c r="Y120" s="35" t="str">
        <f ca="1">IF(AND($AA120=1,Vorrunde!$I68&lt;&gt;"",Vorrunde!$K68&lt;&gt;"",ABS(Vorrunde!$I68-Vorrunde!$K68)&gt;1),Vorrunde!$K68,"")</f>
        <v/>
      </c>
      <c r="Z120" s="34" t="str">
        <f t="shared" ca="1" si="75"/>
        <v/>
      </c>
      <c r="AA120" s="13">
        <f ca="1">IF(AND(V120&lt;&gt;"",W120&lt;&gt;"",V120&lt;&gt;W120,Vorrunde!$R68&lt;&gt;"",Vorrunde!$T68&lt;&gt;""),1,0)</f>
        <v>0</v>
      </c>
      <c r="AB120" s="13" t="str">
        <f ca="1">IF(AA120&gt;0,AH120&amp;Sprache!$E$109&amp;AI120,"")</f>
        <v/>
      </c>
      <c r="AC120" s="141" t="str">
        <f ca="1">IF(AA120&gt;0,AJ120&amp;Sprache!$E$109&amp;AK120,"")</f>
        <v/>
      </c>
      <c r="AD120" s="145" t="str">
        <f ca="1">IF(AND($AA120=1,Vorrunde!$L68&lt;&gt;"",Vorrunde!$N68&lt;&gt;"",ABS(Vorrunde!$L68-Vorrunde!$N68)&gt;1),Vorrunde!$L68,"")</f>
        <v/>
      </c>
      <c r="AE120" s="141" t="str">
        <f ca="1">IF(AND($AA120=1,Vorrunde!$L68&lt;&gt;"",Vorrunde!$N68&lt;&gt;"",ABS(Vorrunde!$L68-Vorrunde!$N68)&gt;1),Vorrunde!$N68,"")</f>
        <v/>
      </c>
      <c r="AF120" s="145" t="str">
        <f ca="1">IF(AND($AA120=1,Vorrunde!$O68&lt;&gt;"",Vorrunde!$Q68&lt;&gt;"",ABS(Vorrunde!$O68-Vorrunde!$Q68)&gt;1),Vorrunde!$O68,"")</f>
        <v/>
      </c>
      <c r="AG120" s="141" t="str">
        <f ca="1">IF(AND($AA120=1,Vorrunde!$O68&lt;&gt;"",Vorrunde!$Q68&lt;&gt;"",ABS(Vorrunde!$O68-Vorrunde!$Q68)&gt;1),Vorrunde!$Q68,"")</f>
        <v/>
      </c>
      <c r="AH120" s="145" t="str">
        <f t="shared" ca="1" si="72"/>
        <v/>
      </c>
      <c r="AI120" s="141" t="str">
        <f t="shared" ca="1" si="73"/>
        <v/>
      </c>
      <c r="AJ120" s="145">
        <f ca="1">IF(Vorrunde!$R68="",0,Vorrunde!$R68)</f>
        <v>0</v>
      </c>
      <c r="AK120" s="141">
        <f ca="1">IF(Vorrunde!$T68="",0,Vorrunde!$T68)</f>
        <v>0</v>
      </c>
      <c r="AL120" s="145" t="str">
        <f ca="1">IF($AA120=0,"",IF($AJ120&gt;$AK120,Einstellungen!$C$4,IF($AJ120=$AK120,1,0)))</f>
        <v/>
      </c>
      <c r="AM120" s="141" t="str">
        <f ca="1">IF($AA120=0,"",IF($AJ120&lt;$AK120,Einstellungen!$C$4,IF($AJ120=$AK120,1,0)))</f>
        <v/>
      </c>
    </row>
    <row r="121" spans="2:39" s="2" customFormat="1" x14ac:dyDescent="0.2">
      <c r="B121" s="4"/>
      <c r="C121" s="4"/>
      <c r="D121" s="4"/>
      <c r="E121" s="4"/>
      <c r="F121" s="13"/>
      <c r="G121" s="13"/>
      <c r="H121" s="13"/>
      <c r="I121" s="13"/>
      <c r="J121" s="13"/>
      <c r="K121" s="13"/>
      <c r="L121" s="13"/>
      <c r="M121" s="13"/>
      <c r="U121" s="66" t="s">
        <v>79</v>
      </c>
      <c r="V121" s="40" t="str">
        <f ca="1">Planung!$L63</f>
        <v/>
      </c>
      <c r="W121" s="13" t="str">
        <f ca="1">Planung!$N63</f>
        <v/>
      </c>
      <c r="X121" s="13" t="str">
        <f ca="1">IF(AND($AA121=1,Vorrunde!$I69&lt;&gt;"",Vorrunde!$K69&lt;&gt;"",ABS(Vorrunde!$I69-Vorrunde!$K69)&gt;1),Vorrunde!$I69,"")</f>
        <v/>
      </c>
      <c r="Y121" s="35" t="str">
        <f ca="1">IF(AND($AA121=1,Vorrunde!$I69&lt;&gt;"",Vorrunde!$K69&lt;&gt;"",ABS(Vorrunde!$I69-Vorrunde!$K69)&gt;1),Vorrunde!$K69,"")</f>
        <v/>
      </c>
      <c r="Z121" s="34" t="str">
        <f t="shared" ca="1" si="75"/>
        <v/>
      </c>
      <c r="AA121" s="13">
        <f ca="1">IF(AND(V121&lt;&gt;"",W121&lt;&gt;"",V121&lt;&gt;W121,Vorrunde!$R69&lt;&gt;"",Vorrunde!$T69&lt;&gt;""),1,0)</f>
        <v>0</v>
      </c>
      <c r="AB121" s="13" t="str">
        <f ca="1">IF(AA121&gt;0,AH121&amp;Sprache!$E$109&amp;AI121,"")</f>
        <v/>
      </c>
      <c r="AC121" s="141" t="str">
        <f ca="1">IF(AA121&gt;0,AJ121&amp;Sprache!$E$109&amp;AK121,"")</f>
        <v/>
      </c>
      <c r="AD121" s="145" t="str">
        <f ca="1">IF(AND($AA121=1,Vorrunde!$L69&lt;&gt;"",Vorrunde!$N69&lt;&gt;"",ABS(Vorrunde!$L69-Vorrunde!$N69)&gt;1),Vorrunde!$L69,"")</f>
        <v/>
      </c>
      <c r="AE121" s="141" t="str">
        <f ca="1">IF(AND($AA121=1,Vorrunde!$L69&lt;&gt;"",Vorrunde!$N69&lt;&gt;"",ABS(Vorrunde!$L69-Vorrunde!$N69)&gt;1),Vorrunde!$N69,"")</f>
        <v/>
      </c>
      <c r="AF121" s="145" t="str">
        <f ca="1">IF(AND($AA121=1,Vorrunde!$O69&lt;&gt;"",Vorrunde!$Q69&lt;&gt;"",ABS(Vorrunde!$O69-Vorrunde!$Q69)&gt;1),Vorrunde!$O69,"")</f>
        <v/>
      </c>
      <c r="AG121" s="141" t="str">
        <f ca="1">IF(AND($AA121=1,Vorrunde!$O69&lt;&gt;"",Vorrunde!$Q69&lt;&gt;"",ABS(Vorrunde!$O69-Vorrunde!$Q69)&gt;1),Vorrunde!$Q69,"")</f>
        <v/>
      </c>
      <c r="AH121" s="145" t="str">
        <f t="shared" ca="1" si="72"/>
        <v/>
      </c>
      <c r="AI121" s="141" t="str">
        <f t="shared" ca="1" si="73"/>
        <v/>
      </c>
      <c r="AJ121" s="145">
        <f ca="1">IF(Vorrunde!$R69="",0,Vorrunde!$R69)</f>
        <v>0</v>
      </c>
      <c r="AK121" s="141">
        <f ca="1">IF(Vorrunde!$T69="",0,Vorrunde!$T69)</f>
        <v>0</v>
      </c>
      <c r="AL121" s="145" t="str">
        <f ca="1">IF($AA121=0,"",IF($AJ121&gt;$AK121,Einstellungen!$C$4,IF($AJ121=$AK121,1,0)))</f>
        <v/>
      </c>
      <c r="AM121" s="141" t="str">
        <f ca="1">IF($AA121=0,"",IF($AJ121&lt;$AK121,Einstellungen!$C$4,IF($AJ121=$AK121,1,0)))</f>
        <v/>
      </c>
    </row>
    <row r="122" spans="2:39" s="2" customFormat="1" x14ac:dyDescent="0.2">
      <c r="B122" s="4"/>
      <c r="C122" s="4"/>
      <c r="D122" s="4"/>
      <c r="E122" s="4"/>
      <c r="F122" s="13"/>
      <c r="G122" s="13"/>
      <c r="H122" s="13"/>
      <c r="I122" s="13"/>
      <c r="J122" s="13"/>
      <c r="K122" s="13"/>
      <c r="L122" s="13"/>
      <c r="M122" s="13"/>
      <c r="U122" s="66" t="s">
        <v>80</v>
      </c>
      <c r="V122" s="40" t="str">
        <f ca="1">Planung!$L64</f>
        <v/>
      </c>
      <c r="W122" s="13" t="str">
        <f ca="1">Planung!$N64</f>
        <v/>
      </c>
      <c r="X122" s="13" t="str">
        <f ca="1">IF(AND($AA122=1,Vorrunde!$I70&lt;&gt;"",Vorrunde!$K70&lt;&gt;"",ABS(Vorrunde!$I70-Vorrunde!$K70)&gt;1),Vorrunde!$I70,"")</f>
        <v/>
      </c>
      <c r="Y122" s="35" t="str">
        <f ca="1">IF(AND($AA122=1,Vorrunde!$I70&lt;&gt;"",Vorrunde!$K70&lt;&gt;"",ABS(Vorrunde!$I70-Vorrunde!$K70)&gt;1),Vorrunde!$K70,"")</f>
        <v/>
      </c>
      <c r="Z122" s="34" t="str">
        <f t="shared" ca="1" si="75"/>
        <v/>
      </c>
      <c r="AA122" s="13">
        <f ca="1">IF(AND(V122&lt;&gt;"",W122&lt;&gt;"",V122&lt;&gt;W122,Vorrunde!$R70&lt;&gt;"",Vorrunde!$T70&lt;&gt;""),1,0)</f>
        <v>0</v>
      </c>
      <c r="AB122" s="13" t="str">
        <f ca="1">IF(AA122&gt;0,AH122&amp;Sprache!$E$109&amp;AI122,"")</f>
        <v/>
      </c>
      <c r="AC122" s="141" t="str">
        <f ca="1">IF(AA122&gt;0,AJ122&amp;Sprache!$E$109&amp;AK122,"")</f>
        <v/>
      </c>
      <c r="AD122" s="145" t="str">
        <f ca="1">IF(AND($AA122=1,Vorrunde!$L70&lt;&gt;"",Vorrunde!$N70&lt;&gt;"",ABS(Vorrunde!$L70-Vorrunde!$N70)&gt;1),Vorrunde!$L70,"")</f>
        <v/>
      </c>
      <c r="AE122" s="141" t="str">
        <f ca="1">IF(AND($AA122=1,Vorrunde!$L70&lt;&gt;"",Vorrunde!$N70&lt;&gt;"",ABS(Vorrunde!$L70-Vorrunde!$N70)&gt;1),Vorrunde!$N70,"")</f>
        <v/>
      </c>
      <c r="AF122" s="145" t="str">
        <f ca="1">IF(AND($AA122=1,Vorrunde!$O70&lt;&gt;"",Vorrunde!$Q70&lt;&gt;"",ABS(Vorrunde!$O70-Vorrunde!$Q70)&gt;1),Vorrunde!$O70,"")</f>
        <v/>
      </c>
      <c r="AG122" s="141" t="str">
        <f ca="1">IF(AND($AA122=1,Vorrunde!$O70&lt;&gt;"",Vorrunde!$Q70&lt;&gt;"",ABS(Vorrunde!$O70-Vorrunde!$Q70)&gt;1),Vorrunde!$Q70,"")</f>
        <v/>
      </c>
      <c r="AH122" s="145" t="str">
        <f t="shared" ca="1" si="72"/>
        <v/>
      </c>
      <c r="AI122" s="141" t="str">
        <f t="shared" ca="1" si="73"/>
        <v/>
      </c>
      <c r="AJ122" s="145">
        <f ca="1">IF(Vorrunde!$R70="",0,Vorrunde!$R70)</f>
        <v>0</v>
      </c>
      <c r="AK122" s="141">
        <f ca="1">IF(Vorrunde!$T70="",0,Vorrunde!$T70)</f>
        <v>0</v>
      </c>
      <c r="AL122" s="145" t="str">
        <f ca="1">IF($AA122=0,"",IF($AJ122&gt;$AK122,Einstellungen!$C$4,IF($AJ122=$AK122,1,0)))</f>
        <v/>
      </c>
      <c r="AM122" s="141" t="str">
        <f ca="1">IF($AA122=0,"",IF($AJ122&lt;$AK122,Einstellungen!$C$4,IF($AJ122=$AK122,1,0)))</f>
        <v/>
      </c>
    </row>
    <row r="123" spans="2:39" s="2" customFormat="1" ht="12.75" thickBot="1" x14ac:dyDescent="0.25">
      <c r="B123" s="4"/>
      <c r="C123" s="4"/>
      <c r="D123" s="4"/>
      <c r="E123" s="4"/>
      <c r="F123" s="13"/>
      <c r="G123" s="13"/>
      <c r="H123" s="13"/>
      <c r="I123" s="13"/>
      <c r="J123" s="13"/>
      <c r="K123" s="13"/>
      <c r="L123" s="13"/>
      <c r="M123" s="13"/>
      <c r="U123" s="66" t="s">
        <v>81</v>
      </c>
      <c r="V123" s="40" t="str">
        <f ca="1">Planung!$L65</f>
        <v/>
      </c>
      <c r="W123" s="13" t="str">
        <f ca="1">Planung!$N65</f>
        <v/>
      </c>
      <c r="X123" s="13" t="str">
        <f ca="1">IF(AND($AA123=1,Vorrunde!$I71&lt;&gt;"",Vorrunde!$K71&lt;&gt;"",ABS(Vorrunde!$I71-Vorrunde!$K71)&gt;1),Vorrunde!$I71,"")</f>
        <v/>
      </c>
      <c r="Y123" s="35" t="str">
        <f ca="1">IF(AND($AA123=1,Vorrunde!$I71&lt;&gt;"",Vorrunde!$K71&lt;&gt;"",ABS(Vorrunde!$I71-Vorrunde!$K71)&gt;1),Vorrunde!$K71,"")</f>
        <v/>
      </c>
      <c r="Z123" s="34" t="str">
        <f t="shared" ca="1" si="75"/>
        <v/>
      </c>
      <c r="AA123" s="13">
        <f ca="1">IF(AND(V123&lt;&gt;"",W123&lt;&gt;"",V123&lt;&gt;W123,Vorrunde!$R71&lt;&gt;"",Vorrunde!$T71&lt;&gt;""),1,0)</f>
        <v>0</v>
      </c>
      <c r="AB123" s="13" t="str">
        <f ca="1">IF(AA123&gt;0,AH123&amp;Sprache!$E$109&amp;AI123,"")</f>
        <v/>
      </c>
      <c r="AC123" s="141" t="str">
        <f ca="1">IF(AA123&gt;0,AJ123&amp;Sprache!$E$109&amp;AK123,"")</f>
        <v/>
      </c>
      <c r="AD123" s="145" t="str">
        <f ca="1">IF(AND($AA123=1,Vorrunde!$L71&lt;&gt;"",Vorrunde!$N71&lt;&gt;"",ABS(Vorrunde!$L71-Vorrunde!$N71)&gt;1),Vorrunde!$L71,"")</f>
        <v/>
      </c>
      <c r="AE123" s="141" t="str">
        <f ca="1">IF(AND($AA123=1,Vorrunde!$L71&lt;&gt;"",Vorrunde!$N71&lt;&gt;"",ABS(Vorrunde!$L71-Vorrunde!$N71)&gt;1),Vorrunde!$N71,"")</f>
        <v/>
      </c>
      <c r="AF123" s="145" t="str">
        <f ca="1">IF(AND($AA123=1,Vorrunde!$O71&lt;&gt;"",Vorrunde!$Q71&lt;&gt;"",ABS(Vorrunde!$O71-Vorrunde!$Q71)&gt;1),Vorrunde!$O71,"")</f>
        <v/>
      </c>
      <c r="AG123" s="141" t="str">
        <f ca="1">IF(AND($AA123=1,Vorrunde!$O71&lt;&gt;"",Vorrunde!$Q71&lt;&gt;"",ABS(Vorrunde!$O71-Vorrunde!$Q71)&gt;1),Vorrunde!$Q71,"")</f>
        <v/>
      </c>
      <c r="AH123" s="145" t="str">
        <f t="shared" ca="1" si="72"/>
        <v/>
      </c>
      <c r="AI123" s="141" t="str">
        <f t="shared" ca="1" si="73"/>
        <v/>
      </c>
      <c r="AJ123" s="145">
        <f ca="1">IF(Vorrunde!$R71="",0,Vorrunde!$R71)</f>
        <v>0</v>
      </c>
      <c r="AK123" s="141">
        <f ca="1">IF(Vorrunde!$T71="",0,Vorrunde!$T71)</f>
        <v>0</v>
      </c>
      <c r="AL123" s="145" t="str">
        <f ca="1">IF($AA123=0,"",IF($AJ123&gt;$AK123,Einstellungen!$C$4,IF($AJ123=$AK123,1,0)))</f>
        <v/>
      </c>
      <c r="AM123" s="141" t="str">
        <f ca="1">IF($AA123=0,"",IF($AJ123&lt;$AK123,Einstellungen!$C$4,IF($AJ123=$AK123,1,0)))</f>
        <v/>
      </c>
    </row>
    <row r="124" spans="2:39" s="2" customFormat="1" ht="12.75" thickTop="1" x14ac:dyDescent="0.2">
      <c r="B124" s="4"/>
      <c r="C124" s="4"/>
      <c r="D124" s="4"/>
      <c r="E124" s="4"/>
      <c r="F124" s="13"/>
      <c r="G124" s="13"/>
      <c r="H124" s="13"/>
      <c r="I124" s="13"/>
      <c r="J124" s="13"/>
      <c r="K124" s="13"/>
      <c r="L124" s="13"/>
      <c r="M124" s="13"/>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13"/>
      <c r="G125" s="13"/>
      <c r="H125" s="13"/>
      <c r="I125" s="13"/>
      <c r="J125" s="13"/>
      <c r="K125" s="13"/>
      <c r="L125" s="13"/>
      <c r="M125" s="13"/>
      <c r="U125" s="66" t="s">
        <v>83</v>
      </c>
      <c r="V125" s="40" t="str">
        <f>""</f>
        <v/>
      </c>
      <c r="W125" s="13" t="str">
        <f>""</f>
        <v/>
      </c>
      <c r="X125" s="13" t="str">
        <f>""</f>
        <v/>
      </c>
      <c r="Y125" s="35" t="str">
        <f>""</f>
        <v/>
      </c>
      <c r="Z125" s="34" t="str">
        <f>""</f>
        <v/>
      </c>
      <c r="AA125" s="13">
        <v>0</v>
      </c>
      <c r="AB125" s="13"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13"/>
      <c r="G126" s="13"/>
      <c r="H126" s="13"/>
      <c r="I126" s="13"/>
      <c r="J126" s="13"/>
      <c r="K126" s="13"/>
      <c r="L126" s="13"/>
      <c r="M126" s="13"/>
      <c r="U126" s="66" t="s">
        <v>84</v>
      </c>
      <c r="V126" s="40" t="str">
        <f>""</f>
        <v/>
      </c>
      <c r="W126" s="13" t="str">
        <f>""</f>
        <v/>
      </c>
      <c r="X126" s="13" t="str">
        <f>""</f>
        <v/>
      </c>
      <c r="Y126" s="35" t="str">
        <f>""</f>
        <v/>
      </c>
      <c r="Z126" s="34" t="str">
        <f>""</f>
        <v/>
      </c>
      <c r="AA126" s="13">
        <v>0</v>
      </c>
      <c r="AB126" s="13"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13"/>
      <c r="G127" s="13"/>
      <c r="H127" s="13"/>
      <c r="I127" s="13"/>
      <c r="J127" s="13"/>
      <c r="K127" s="13"/>
      <c r="L127" s="13"/>
      <c r="M127" s="13"/>
      <c r="U127" s="66" t="s">
        <v>85</v>
      </c>
      <c r="V127" s="40" t="str">
        <f>""</f>
        <v/>
      </c>
      <c r="W127" s="13" t="str">
        <f>""</f>
        <v/>
      </c>
      <c r="X127" s="13" t="str">
        <f>""</f>
        <v/>
      </c>
      <c r="Y127" s="35" t="str">
        <f>""</f>
        <v/>
      </c>
      <c r="Z127" s="34" t="str">
        <f>""</f>
        <v/>
      </c>
      <c r="AA127" s="13">
        <v>0</v>
      </c>
      <c r="AB127" s="13"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13"/>
      <c r="G128" s="13"/>
      <c r="H128" s="13"/>
      <c r="I128" s="13"/>
      <c r="J128" s="13"/>
      <c r="K128" s="13"/>
      <c r="L128" s="13"/>
      <c r="M128" s="13"/>
      <c r="U128" s="66" t="s">
        <v>86</v>
      </c>
      <c r="V128" s="40" t="str">
        <f>""</f>
        <v/>
      </c>
      <c r="W128" s="13" t="str">
        <f>""</f>
        <v/>
      </c>
      <c r="X128" s="13" t="str">
        <f>""</f>
        <v/>
      </c>
      <c r="Y128" s="35" t="str">
        <f>""</f>
        <v/>
      </c>
      <c r="Z128" s="34" t="str">
        <f>""</f>
        <v/>
      </c>
      <c r="AA128" s="13">
        <v>0</v>
      </c>
      <c r="AB128" s="13"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13"/>
      <c r="G129" s="13"/>
      <c r="H129" s="13"/>
      <c r="I129" s="13"/>
      <c r="J129" s="13"/>
      <c r="K129" s="13"/>
      <c r="L129" s="13"/>
      <c r="M129" s="13"/>
      <c r="U129" s="66" t="s">
        <v>87</v>
      </c>
      <c r="V129" s="40" t="str">
        <f>""</f>
        <v/>
      </c>
      <c r="W129" s="13" t="str">
        <f>""</f>
        <v/>
      </c>
      <c r="X129" s="13" t="str">
        <f>""</f>
        <v/>
      </c>
      <c r="Y129" s="35" t="str">
        <f>""</f>
        <v/>
      </c>
      <c r="Z129" s="34" t="str">
        <f>""</f>
        <v/>
      </c>
      <c r="AA129" s="13">
        <v>0</v>
      </c>
      <c r="AB129" s="13"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13"/>
      <c r="G130" s="13"/>
      <c r="H130" s="13"/>
      <c r="I130" s="13"/>
      <c r="J130" s="13"/>
      <c r="K130" s="13"/>
      <c r="L130" s="13"/>
      <c r="M130" s="13"/>
      <c r="U130" s="66" t="s">
        <v>88</v>
      </c>
      <c r="V130" s="40" t="str">
        <f>""</f>
        <v/>
      </c>
      <c r="W130" s="13" t="str">
        <f>""</f>
        <v/>
      </c>
      <c r="X130" s="13" t="str">
        <f>""</f>
        <v/>
      </c>
      <c r="Y130" s="35" t="str">
        <f>""</f>
        <v/>
      </c>
      <c r="Z130" s="34" t="str">
        <f>""</f>
        <v/>
      </c>
      <c r="AA130" s="13">
        <v>0</v>
      </c>
      <c r="AB130" s="13"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13"/>
      <c r="G131" s="13"/>
      <c r="H131" s="13"/>
      <c r="I131" s="13"/>
      <c r="J131" s="13"/>
      <c r="K131" s="13"/>
      <c r="L131" s="13"/>
      <c r="M131" s="13"/>
      <c r="U131" s="66" t="s">
        <v>89</v>
      </c>
      <c r="V131" s="40" t="str">
        <f>""</f>
        <v/>
      </c>
      <c r="W131" s="13" t="str">
        <f>""</f>
        <v/>
      </c>
      <c r="X131" s="13" t="str">
        <f>""</f>
        <v/>
      </c>
      <c r="Y131" s="35" t="str">
        <f>""</f>
        <v/>
      </c>
      <c r="Z131" s="34" t="str">
        <f>""</f>
        <v/>
      </c>
      <c r="AA131" s="13">
        <v>0</v>
      </c>
      <c r="AB131" s="13"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13"/>
      <c r="G132" s="13"/>
      <c r="H132" s="13"/>
      <c r="I132" s="13"/>
      <c r="J132" s="13"/>
      <c r="K132" s="13"/>
      <c r="L132" s="13"/>
      <c r="M132" s="13"/>
      <c r="U132" s="66" t="s">
        <v>90</v>
      </c>
      <c r="V132" s="40" t="str">
        <f>""</f>
        <v/>
      </c>
      <c r="W132" s="13" t="str">
        <f>""</f>
        <v/>
      </c>
      <c r="X132" s="13" t="str">
        <f>""</f>
        <v/>
      </c>
      <c r="Y132" s="35" t="str">
        <f>""</f>
        <v/>
      </c>
      <c r="Z132" s="34" t="str">
        <f>""</f>
        <v/>
      </c>
      <c r="AA132" s="13">
        <v>0</v>
      </c>
      <c r="AB132" s="13"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13"/>
      <c r="G133" s="13"/>
      <c r="H133" s="13"/>
      <c r="I133" s="13"/>
      <c r="J133" s="13"/>
      <c r="K133" s="13"/>
      <c r="L133" s="13"/>
      <c r="M133" s="13"/>
      <c r="U133" s="66" t="s">
        <v>91</v>
      </c>
      <c r="V133" s="40" t="str">
        <f>""</f>
        <v/>
      </c>
      <c r="W133" s="13" t="str">
        <f>""</f>
        <v/>
      </c>
      <c r="X133" s="13" t="str">
        <f>""</f>
        <v/>
      </c>
      <c r="Y133" s="35" t="str">
        <f>""</f>
        <v/>
      </c>
      <c r="Z133" s="34" t="str">
        <f>""</f>
        <v/>
      </c>
      <c r="AA133" s="13">
        <v>0</v>
      </c>
      <c r="AB133" s="13"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13"/>
      <c r="G134" s="13"/>
      <c r="H134" s="13"/>
      <c r="I134" s="13"/>
      <c r="J134" s="13"/>
      <c r="K134" s="13"/>
      <c r="L134" s="13"/>
      <c r="M134" s="13"/>
      <c r="U134" s="66" t="s">
        <v>92</v>
      </c>
      <c r="V134" s="40" t="str">
        <f>""</f>
        <v/>
      </c>
      <c r="W134" s="13" t="str">
        <f>""</f>
        <v/>
      </c>
      <c r="X134" s="13" t="str">
        <f>""</f>
        <v/>
      </c>
      <c r="Y134" s="35" t="str">
        <f>""</f>
        <v/>
      </c>
      <c r="Z134" s="34" t="str">
        <f>""</f>
        <v/>
      </c>
      <c r="AA134" s="13">
        <v>0</v>
      </c>
      <c r="AB134" s="13"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13"/>
      <c r="G135" s="13"/>
      <c r="H135" s="13"/>
      <c r="I135" s="13"/>
      <c r="J135" s="13"/>
      <c r="K135" s="13"/>
      <c r="L135" s="13"/>
      <c r="M135" s="13"/>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13"/>
      <c r="G136" s="13"/>
      <c r="H136" s="13"/>
      <c r="I136" s="13"/>
      <c r="J136" s="13"/>
      <c r="K136" s="13"/>
      <c r="L136" s="13"/>
      <c r="M136" s="13"/>
      <c r="Y136" s="65" t="s">
        <v>6</v>
      </c>
      <c r="Z136" s="31" t="str">
        <f ca="1">W64&amp;V64</f>
        <v>FC BarcelonaVFB Essenheim</v>
      </c>
      <c r="AA136" s="32">
        <f ca="1">AA64</f>
        <v>1</v>
      </c>
      <c r="AB136" s="13" t="str">
        <f ca="1">IF(AA64&gt;0,AI64&amp;Sprache!$E$109&amp;AH64,"")</f>
        <v>69 : 57</v>
      </c>
      <c r="AC136" s="608" t="str">
        <f ca="1">IF(AA64&gt;0,AK64&amp;Sprache!$E$109&amp;AJ64,"")</f>
        <v>2 : 1</v>
      </c>
      <c r="AD136" s="144"/>
      <c r="AE136" s="773"/>
      <c r="AF136" s="773"/>
      <c r="AG136" s="773"/>
      <c r="AH136" s="773"/>
    </row>
    <row r="137" spans="2:39" x14ac:dyDescent="0.2">
      <c r="Y137" s="66" t="s">
        <v>7</v>
      </c>
      <c r="Z137" s="34" t="str">
        <f ca="1">W65&amp;V65</f>
        <v>Inter MailandFC Grönlingen</v>
      </c>
      <c r="AA137" s="13">
        <f t="shared" ref="AA137:AA195" ca="1" si="76">AA65</f>
        <v>1</v>
      </c>
      <c r="AB137" s="13" t="str">
        <f ca="1">IF(AA65&gt;0,AI65&amp;Sprache!$E$109&amp;AH65,"")</f>
        <v>50 : 36</v>
      </c>
      <c r="AC137" s="609" t="str">
        <f ca="1">IF(AA65&gt;0,AK65&amp;Sprache!$E$109&amp;AJ65,"")</f>
        <v>2 : 0</v>
      </c>
      <c r="AD137" s="145"/>
      <c r="AE137" s="612"/>
      <c r="AF137" s="612"/>
      <c r="AG137" s="612"/>
      <c r="AH137" s="612"/>
    </row>
    <row r="138" spans="2:39" x14ac:dyDescent="0.2">
      <c r="Y138" s="66" t="s">
        <v>8</v>
      </c>
      <c r="Z138" s="34" t="str">
        <f t="shared" ref="Z138:Z195" ca="1" si="77">W66&amp;V66</f>
        <v>Real Madrid1. FC Nürnberg</v>
      </c>
      <c r="AA138" s="13">
        <f t="shared" ca="1" si="76"/>
        <v>1</v>
      </c>
      <c r="AB138" s="13" t="str">
        <f ca="1">IF(AA66&gt;0,AI66&amp;Sprache!$E$109&amp;AH66,"")</f>
        <v>50 : 40</v>
      </c>
      <c r="AC138" s="609" t="str">
        <f ca="1">IF(AA66&gt;0,AK66&amp;Sprache!$E$109&amp;AJ66,"")</f>
        <v>2 : 0</v>
      </c>
      <c r="AD138" s="145"/>
      <c r="AE138" s="612"/>
      <c r="AF138" s="612"/>
      <c r="AG138" s="612"/>
      <c r="AH138" s="612"/>
    </row>
    <row r="139" spans="2:39" x14ac:dyDescent="0.2">
      <c r="Y139" s="66" t="s">
        <v>9</v>
      </c>
      <c r="Z139" s="34" t="str">
        <f t="shared" ca="1" si="77"/>
        <v>Paris St. GermainSV Oberredenburg</v>
      </c>
      <c r="AA139" s="13">
        <f t="shared" ca="1" si="76"/>
        <v>1</v>
      </c>
      <c r="AB139" s="13" t="str">
        <f ca="1">IF(AA67&gt;0,AI67&amp;Sprache!$E$109&amp;AH67,"")</f>
        <v>50 : 39</v>
      </c>
      <c r="AC139" s="609" t="str">
        <f ca="1">IF(AA67&gt;0,AK67&amp;Sprache!$E$109&amp;AJ67,"")</f>
        <v>2 : 0</v>
      </c>
      <c r="AD139" s="145"/>
      <c r="AE139" s="612"/>
      <c r="AF139" s="612"/>
      <c r="AG139" s="612"/>
      <c r="AH139" s="612"/>
    </row>
    <row r="140" spans="2:39" x14ac:dyDescent="0.2">
      <c r="Y140" s="66" t="s">
        <v>10</v>
      </c>
      <c r="Z140" s="34" t="str">
        <f t="shared" ca="1" si="77"/>
        <v>Maibach 1822 eVEintracht Frankfurt</v>
      </c>
      <c r="AA140" s="13">
        <f t="shared" ca="1" si="76"/>
        <v>1</v>
      </c>
      <c r="AB140" s="13" t="str">
        <f ca="1">IF(AA68&gt;0,AI68&amp;Sprache!$E$109&amp;AH68,"")</f>
        <v>44 : 50</v>
      </c>
      <c r="AC140" s="609" t="str">
        <f ca="1">IF(AA68&gt;0,AK68&amp;Sprache!$E$109&amp;AJ68,"")</f>
        <v>0 : 2</v>
      </c>
      <c r="AD140" s="145"/>
      <c r="AE140" s="612"/>
      <c r="AF140" s="612"/>
      <c r="AG140" s="612"/>
      <c r="AH140" s="612"/>
    </row>
    <row r="141" spans="2:39" x14ac:dyDescent="0.2">
      <c r="Y141" s="66" t="s">
        <v>11</v>
      </c>
      <c r="Z141" s="34" t="str">
        <f t="shared" ca="1" si="77"/>
        <v>Manchester CitySSV Wildbach</v>
      </c>
      <c r="AA141" s="13">
        <f t="shared" ca="1" si="76"/>
        <v>1</v>
      </c>
      <c r="AB141" s="13" t="str">
        <f ca="1">IF(AA69&gt;0,AI69&amp;Sprache!$E$109&amp;AH69,"")</f>
        <v>50 : 40</v>
      </c>
      <c r="AC141" s="609" t="str">
        <f ca="1">IF(AA69&gt;0,AK69&amp;Sprache!$E$109&amp;AJ69,"")</f>
        <v>2 : 0</v>
      </c>
      <c r="AD141" s="145"/>
      <c r="AE141" s="612"/>
      <c r="AF141" s="612"/>
      <c r="AG141" s="612"/>
      <c r="AH141" s="612"/>
    </row>
    <row r="142" spans="2:39" x14ac:dyDescent="0.2">
      <c r="Y142" s="66" t="s">
        <v>16</v>
      </c>
      <c r="Z142" s="34" t="str">
        <f t="shared" ca="1" si="77"/>
        <v>FSV RauenBorussia Dortmund</v>
      </c>
      <c r="AA142" s="13">
        <f t="shared" ca="1" si="76"/>
        <v>1</v>
      </c>
      <c r="AB142" s="13" t="str">
        <f ca="1">IF(AA70&gt;0,AI70&amp;Sprache!$E$109&amp;AH70,"")</f>
        <v>61 : 70</v>
      </c>
      <c r="AC142" s="609" t="str">
        <f ca="1">IF(AA70&gt;0,AK70&amp;Sprache!$E$109&amp;AJ70,"")</f>
        <v>1 : 2</v>
      </c>
      <c r="AD142" s="145"/>
      <c r="AE142" s="612"/>
      <c r="AF142" s="612"/>
      <c r="AG142" s="612"/>
      <c r="AH142" s="612"/>
    </row>
    <row r="143" spans="2:39" x14ac:dyDescent="0.2">
      <c r="Y143" s="66" t="s">
        <v>17</v>
      </c>
      <c r="Z143" s="34" t="str">
        <f t="shared" ca="1" si="77"/>
        <v>RB LeipzigHSV</v>
      </c>
      <c r="AA143" s="13">
        <f t="shared" ca="1" si="76"/>
        <v>1</v>
      </c>
      <c r="AB143" s="13" t="str">
        <f ca="1">IF(AA71&gt;0,AI71&amp;Sprache!$E$109&amp;AH71,"")</f>
        <v>67 : 66</v>
      </c>
      <c r="AC143" s="609" t="str">
        <f ca="1">IF(AA71&gt;0,AK71&amp;Sprache!$E$109&amp;AJ71,"")</f>
        <v>2 : 1</v>
      </c>
      <c r="AD143" s="145"/>
      <c r="AE143" s="612"/>
      <c r="AF143" s="612"/>
      <c r="AG143" s="612"/>
      <c r="AH143" s="612"/>
    </row>
    <row r="144" spans="2:39" x14ac:dyDescent="0.2">
      <c r="Y144" s="66" t="s">
        <v>18</v>
      </c>
      <c r="Z144" s="34" t="str">
        <f t="shared" ca="1" si="77"/>
        <v>1. FC RiedwaldVFB Essenheim</v>
      </c>
      <c r="AA144" s="13">
        <f t="shared" ca="1" si="76"/>
        <v>1</v>
      </c>
      <c r="AB144" s="13" t="str">
        <f ca="1">IF(AA72&gt;0,AI72&amp;Sprache!$E$109&amp;AH72,"")</f>
        <v>69 : 65</v>
      </c>
      <c r="AC144" s="609" t="str">
        <f ca="1">IF(AA72&gt;0,AK72&amp;Sprache!$E$109&amp;AJ72,"")</f>
        <v>2 : 1</v>
      </c>
      <c r="AD144" s="145"/>
      <c r="AE144" s="612"/>
      <c r="AF144" s="612"/>
      <c r="AG144" s="612"/>
      <c r="AH144" s="612"/>
    </row>
    <row r="145" spans="25:34" x14ac:dyDescent="0.2">
      <c r="Y145" s="66" t="s">
        <v>24</v>
      </c>
      <c r="Z145" s="34" t="str">
        <f t="shared" ca="1" si="77"/>
        <v>Mainz 05FC Grönlingen</v>
      </c>
      <c r="AA145" s="13">
        <f t="shared" ca="1" si="76"/>
        <v>1</v>
      </c>
      <c r="AB145" s="13" t="str">
        <f ca="1">IF(AA73&gt;0,AI73&amp;Sprache!$E$109&amp;AH73,"")</f>
        <v>50 : 33</v>
      </c>
      <c r="AC145" s="609" t="str">
        <f ca="1">IF(AA73&gt;0,AK73&amp;Sprache!$E$109&amp;AJ73,"")</f>
        <v>2 : 0</v>
      </c>
      <c r="AD145" s="145"/>
      <c r="AE145" s="612"/>
      <c r="AF145" s="612"/>
      <c r="AG145" s="612"/>
      <c r="AH145" s="612"/>
    </row>
    <row r="146" spans="25:34" x14ac:dyDescent="0.2">
      <c r="Y146" s="66" t="s">
        <v>25</v>
      </c>
      <c r="Z146" s="34" t="str">
        <f t="shared" ca="1" si="77"/>
        <v>Kickers Rodendorf1. FC Nürnberg</v>
      </c>
      <c r="AA146" s="13">
        <f t="shared" ca="1" si="76"/>
        <v>1</v>
      </c>
      <c r="AB146" s="13" t="str">
        <f ca="1">IF(AA74&gt;0,AI74&amp;Sprache!$E$109&amp;AH74,"")</f>
        <v>42 : 50</v>
      </c>
      <c r="AC146" s="609" t="str">
        <f ca="1">IF(AA74&gt;0,AK74&amp;Sprache!$E$109&amp;AJ74,"")</f>
        <v>0 : 2</v>
      </c>
      <c r="AD146" s="145"/>
      <c r="AE146" s="612"/>
      <c r="AF146" s="612"/>
      <c r="AG146" s="612"/>
      <c r="AH146" s="612"/>
    </row>
    <row r="147" spans="25:34" x14ac:dyDescent="0.2">
      <c r="Y147" s="66" t="s">
        <v>26</v>
      </c>
      <c r="Z147" s="34" t="str">
        <f t="shared" ca="1" si="77"/>
        <v>TSG Saalberg eVSV Oberredenburg</v>
      </c>
      <c r="AA147" s="13">
        <f t="shared" ca="1" si="76"/>
        <v>1</v>
      </c>
      <c r="AB147" s="13" t="str">
        <f ca="1">IF(AA75&gt;0,AI75&amp;Sprache!$E$109&amp;AH75,"")</f>
        <v>50 : 42</v>
      </c>
      <c r="AC147" s="609" t="str">
        <f ca="1">IF(AA75&gt;0,AK75&amp;Sprache!$E$109&amp;AJ75,"")</f>
        <v>2 : 0</v>
      </c>
      <c r="AD147" s="145"/>
      <c r="AE147" s="612"/>
      <c r="AF147" s="612"/>
      <c r="AG147" s="612"/>
      <c r="AH147" s="612"/>
    </row>
    <row r="148" spans="25:34" x14ac:dyDescent="0.2">
      <c r="Y148" s="66" t="s">
        <v>27</v>
      </c>
      <c r="Z148" s="34" t="str">
        <f t="shared" ca="1" si="77"/>
        <v>Eintracht FrankfurtFC Barcelona</v>
      </c>
      <c r="AA148" s="13">
        <f t="shared" ca="1" si="76"/>
        <v>1</v>
      </c>
      <c r="AB148" s="13" t="str">
        <f ca="1">IF(AA76&gt;0,AI76&amp;Sprache!$E$109&amp;AH76,"")</f>
        <v>72 : 69</v>
      </c>
      <c r="AC148" s="609" t="str">
        <f ca="1">IF(AA76&gt;0,AK76&amp;Sprache!$E$109&amp;AJ76,"")</f>
        <v>2 : 1</v>
      </c>
      <c r="AD148" s="145"/>
      <c r="AE148" s="612"/>
      <c r="AF148" s="612"/>
      <c r="AG148" s="612"/>
      <c r="AH148" s="612"/>
    </row>
    <row r="149" spans="25:34" x14ac:dyDescent="0.2">
      <c r="Y149" s="66" t="s">
        <v>28</v>
      </c>
      <c r="Z149" s="34" t="str">
        <f t="shared" ca="1" si="77"/>
        <v>SSV WildbachInter Mailand</v>
      </c>
      <c r="AA149" s="13">
        <f t="shared" ca="1" si="76"/>
        <v>1</v>
      </c>
      <c r="AB149" s="13" t="str">
        <f ca="1">IF(AA77&gt;0,AI77&amp;Sprache!$E$109&amp;AH77,"")</f>
        <v>37 : 50</v>
      </c>
      <c r="AC149" s="609" t="str">
        <f ca="1">IF(AA77&gt;0,AK77&amp;Sprache!$E$109&amp;AJ77,"")</f>
        <v>0 : 2</v>
      </c>
      <c r="AD149" s="145"/>
      <c r="AE149" s="612"/>
      <c r="AF149" s="612"/>
      <c r="AG149" s="612"/>
      <c r="AH149" s="612"/>
    </row>
    <row r="150" spans="25:34" x14ac:dyDescent="0.2">
      <c r="Y150" s="66" t="s">
        <v>29</v>
      </c>
      <c r="Z150" s="34" t="str">
        <f t="shared" ca="1" si="77"/>
        <v>Borussia DortmundReal Madrid</v>
      </c>
      <c r="AA150" s="13">
        <f t="shared" ca="1" si="76"/>
        <v>1</v>
      </c>
      <c r="AB150" s="13" t="str">
        <f ca="1">IF(AA78&gt;0,AI78&amp;Sprache!$E$109&amp;AH78,"")</f>
        <v>62 : 71</v>
      </c>
      <c r="AC150" s="609" t="str">
        <f ca="1">IF(AA78&gt;0,AK78&amp;Sprache!$E$109&amp;AJ78,"")</f>
        <v>1 : 2</v>
      </c>
      <c r="AD150" s="145"/>
      <c r="AE150" s="612"/>
      <c r="AF150" s="612"/>
      <c r="AG150" s="612"/>
      <c r="AH150" s="612"/>
    </row>
    <row r="151" spans="25:34" x14ac:dyDescent="0.2">
      <c r="Y151" s="66" t="s">
        <v>30</v>
      </c>
      <c r="Z151" s="34" t="str">
        <f t="shared" ca="1" si="77"/>
        <v>HSVParis St. Germain</v>
      </c>
      <c r="AA151" s="13">
        <f t="shared" ca="1" si="76"/>
        <v>1</v>
      </c>
      <c r="AB151" s="13" t="str">
        <f ca="1">IF(AA79&gt;0,AI79&amp;Sprache!$E$109&amp;AH79,"")</f>
        <v>30 : 50</v>
      </c>
      <c r="AC151" s="609" t="str">
        <f ca="1">IF(AA79&gt;0,AK79&amp;Sprache!$E$109&amp;AJ79,"")</f>
        <v>0 : 2</v>
      </c>
      <c r="AD151" s="145"/>
      <c r="AE151" s="612"/>
      <c r="AF151" s="612"/>
      <c r="AG151" s="612"/>
      <c r="AH151" s="612"/>
    </row>
    <row r="152" spans="25:34" x14ac:dyDescent="0.2">
      <c r="Y152" s="66" t="s">
        <v>31</v>
      </c>
      <c r="Z152" s="34" t="str">
        <f t="shared" ca="1" si="77"/>
        <v>Maibach 1822 eV1. FC Riedwald</v>
      </c>
      <c r="AA152" s="13">
        <f t="shared" ca="1" si="76"/>
        <v>1</v>
      </c>
      <c r="AB152" s="13" t="str">
        <f ca="1">IF(AA80&gt;0,AI80&amp;Sprache!$E$109&amp;AH80,"")</f>
        <v>39 : 50</v>
      </c>
      <c r="AC152" s="609" t="str">
        <f ca="1">IF(AA80&gt;0,AK80&amp;Sprache!$E$109&amp;AJ80,"")</f>
        <v>0 : 2</v>
      </c>
      <c r="AD152" s="145"/>
      <c r="AE152" s="612"/>
      <c r="AF152" s="612"/>
      <c r="AG152" s="612"/>
      <c r="AH152" s="612"/>
    </row>
    <row r="153" spans="25:34" x14ac:dyDescent="0.2">
      <c r="Y153" s="66" t="s">
        <v>32</v>
      </c>
      <c r="Z153" s="34" t="str">
        <f t="shared" ca="1" si="77"/>
        <v>Manchester CityMainz 05</v>
      </c>
      <c r="AA153" s="13">
        <f t="shared" ca="1" si="76"/>
        <v>1</v>
      </c>
      <c r="AB153" s="13" t="str">
        <f ca="1">IF(AA81&gt;0,AI81&amp;Sprache!$E$109&amp;AH81,"")</f>
        <v>50 : 23</v>
      </c>
      <c r="AC153" s="609" t="str">
        <f ca="1">IF(AA81&gt;0,AK81&amp;Sprache!$E$109&amp;AJ81,"")</f>
        <v>2 : 0</v>
      </c>
      <c r="AD153" s="145"/>
      <c r="AE153" s="612"/>
      <c r="AF153" s="612"/>
      <c r="AG153" s="612"/>
      <c r="AH153" s="612"/>
    </row>
    <row r="154" spans="25:34" x14ac:dyDescent="0.2">
      <c r="Y154" s="66" t="s">
        <v>33</v>
      </c>
      <c r="Z154" s="34" t="str">
        <f t="shared" ca="1" si="77"/>
        <v>FSV RauenKickers Rodendorf</v>
      </c>
      <c r="AA154" s="13">
        <f t="shared" ca="1" si="76"/>
        <v>1</v>
      </c>
      <c r="AB154" s="13" t="str">
        <f ca="1">IF(AA82&gt;0,AI82&amp;Sprache!$E$109&amp;AH82,"")</f>
        <v>23 : 50</v>
      </c>
      <c r="AC154" s="609" t="str">
        <f ca="1">IF(AA82&gt;0,AK82&amp;Sprache!$E$109&amp;AJ82,"")</f>
        <v>0 : 2</v>
      </c>
      <c r="AD154" s="145"/>
      <c r="AE154" s="612"/>
      <c r="AF154" s="612"/>
      <c r="AG154" s="612"/>
      <c r="AH154" s="612"/>
    </row>
    <row r="155" spans="25:34" x14ac:dyDescent="0.2">
      <c r="Y155" s="66" t="s">
        <v>34</v>
      </c>
      <c r="Z155" s="34" t="str">
        <f t="shared" ca="1" si="77"/>
        <v>RB LeipzigTSG Saalberg eV</v>
      </c>
      <c r="AA155" s="13">
        <f t="shared" ca="1" si="76"/>
        <v>1</v>
      </c>
      <c r="AB155" s="13" t="str">
        <f ca="1">IF(AA83&gt;0,AI83&amp;Sprache!$E$109&amp;AH83,"")</f>
        <v>24 : 50</v>
      </c>
      <c r="AC155" s="609" t="str">
        <f ca="1">IF(AA83&gt;0,AK83&amp;Sprache!$E$109&amp;AJ83,"")</f>
        <v>0 : 2</v>
      </c>
      <c r="AD155" s="145"/>
      <c r="AE155" s="612"/>
      <c r="AF155" s="612"/>
      <c r="AG155" s="612"/>
      <c r="AH155" s="612"/>
    </row>
    <row r="156" spans="25:34" x14ac:dyDescent="0.2">
      <c r="Y156" s="66" t="s">
        <v>35</v>
      </c>
      <c r="Z156" s="34" t="str">
        <f t="shared" ca="1" si="77"/>
        <v>VFB EssenheimEintracht Frankfurt</v>
      </c>
      <c r="AA156" s="13">
        <f t="shared" ca="1" si="76"/>
        <v>1</v>
      </c>
      <c r="AB156" s="13" t="str">
        <f ca="1">IF(AA84&gt;0,AI84&amp;Sprache!$E$109&amp;AH84,"")</f>
        <v>37 : 37</v>
      </c>
      <c r="AC156" s="609" t="str">
        <f ca="1">IF(AA84&gt;0,AK84&amp;Sprache!$E$109&amp;AJ84,"")</f>
        <v>1 : 1</v>
      </c>
      <c r="AD156" s="145"/>
      <c r="AE156" s="612"/>
      <c r="AF156" s="612"/>
      <c r="AG156" s="612"/>
      <c r="AH156" s="612"/>
    </row>
    <row r="157" spans="25:34" x14ac:dyDescent="0.2">
      <c r="Y157" s="66" t="s">
        <v>36</v>
      </c>
      <c r="Z157" s="34" t="str">
        <f t="shared" ca="1" si="77"/>
        <v>FC GrönlingenSSV Wildbach</v>
      </c>
      <c r="AA157" s="13">
        <f t="shared" ca="1" si="76"/>
        <v>1</v>
      </c>
      <c r="AB157" s="13" t="str">
        <f ca="1">IF(AA85&gt;0,AI85&amp;Sprache!$E$109&amp;AH85,"")</f>
        <v>42 : 44</v>
      </c>
      <c r="AC157" s="609" t="str">
        <f ca="1">IF(AA85&gt;0,AK85&amp;Sprache!$E$109&amp;AJ85,"")</f>
        <v>1 : 1</v>
      </c>
      <c r="AD157" s="145"/>
      <c r="AE157" s="612"/>
      <c r="AF157" s="612"/>
      <c r="AG157" s="612"/>
      <c r="AH157" s="612"/>
    </row>
    <row r="158" spans="25:34" x14ac:dyDescent="0.2">
      <c r="Y158" s="66" t="s">
        <v>37</v>
      </c>
      <c r="Z158" s="34" t="str">
        <f t="shared" ca="1" si="77"/>
        <v>1. FC NürnbergBorussia Dortmund</v>
      </c>
      <c r="AA158" s="13">
        <f t="shared" ca="1" si="76"/>
        <v>1</v>
      </c>
      <c r="AB158" s="13" t="str">
        <f ca="1">IF(AA86&gt;0,AI86&amp;Sprache!$E$109&amp;AH86,"")</f>
        <v>41 : 42</v>
      </c>
      <c r="AC158" s="609" t="str">
        <f ca="1">IF(AA86&gt;0,AK86&amp;Sprache!$E$109&amp;AJ86,"")</f>
        <v>1 : 1</v>
      </c>
      <c r="AD158" s="145"/>
      <c r="AE158" s="612"/>
      <c r="AF158" s="612"/>
      <c r="AG158" s="612"/>
      <c r="AH158" s="612"/>
    </row>
    <row r="159" spans="25:34" x14ac:dyDescent="0.2">
      <c r="Y159" s="66" t="s">
        <v>38</v>
      </c>
      <c r="Z159" s="34" t="str">
        <f t="shared" ca="1" si="77"/>
        <v>SV OberredenburgHSV</v>
      </c>
      <c r="AA159" s="13">
        <f t="shared" ca="1" si="76"/>
        <v>1</v>
      </c>
      <c r="AB159" s="13" t="str">
        <f ca="1">IF(AA87&gt;0,AI87&amp;Sprache!$E$109&amp;AH87,"")</f>
        <v>44 : 39</v>
      </c>
      <c r="AC159" s="609" t="str">
        <f ca="1">IF(AA87&gt;0,AK87&amp;Sprache!$E$109&amp;AJ87,"")</f>
        <v>1 : 1</v>
      </c>
      <c r="AD159" s="145"/>
      <c r="AE159" s="612"/>
      <c r="AF159" s="612"/>
      <c r="AG159" s="612"/>
      <c r="AH159" s="612"/>
    </row>
    <row r="160" spans="25:34" x14ac:dyDescent="0.2">
      <c r="Y160" s="66" t="s">
        <v>39</v>
      </c>
      <c r="Z160" s="34" t="str">
        <f t="shared" ca="1" si="77"/>
        <v>Maibach 1822 eVFC Barcelona</v>
      </c>
      <c r="AA160" s="13">
        <f t="shared" ca="1" si="76"/>
        <v>1</v>
      </c>
      <c r="AB160" s="13" t="str">
        <f ca="1">IF(AA88&gt;0,AI88&amp;Sprache!$E$109&amp;AH88,"")</f>
        <v>45 : 45</v>
      </c>
      <c r="AC160" s="609" t="str">
        <f ca="1">IF(AA88&gt;0,AK88&amp;Sprache!$E$109&amp;AJ88,"")</f>
        <v>1 : 1</v>
      </c>
      <c r="AD160" s="145"/>
      <c r="AE160" s="612"/>
      <c r="AF160" s="612"/>
      <c r="AG160" s="612"/>
      <c r="AH160" s="612"/>
    </row>
    <row r="161" spans="25:34" x14ac:dyDescent="0.2">
      <c r="Y161" s="66" t="s">
        <v>40</v>
      </c>
      <c r="Z161" s="34" t="str">
        <f t="shared" ca="1" si="77"/>
        <v>Manchester CityInter Mailand</v>
      </c>
      <c r="AA161" s="13">
        <f t="shared" ca="1" si="76"/>
        <v>1</v>
      </c>
      <c r="AB161" s="13" t="str">
        <f ca="1">IF(AA89&gt;0,AI89&amp;Sprache!$E$109&amp;AH89,"")</f>
        <v>46 : 44</v>
      </c>
      <c r="AC161" s="609" t="str">
        <f ca="1">IF(AA89&gt;0,AK89&amp;Sprache!$E$109&amp;AJ89,"")</f>
        <v>1 : 1</v>
      </c>
      <c r="AD161" s="145"/>
      <c r="AE161" s="612"/>
      <c r="AF161" s="612"/>
      <c r="AG161" s="612"/>
      <c r="AH161" s="612"/>
    </row>
    <row r="162" spans="25:34" x14ac:dyDescent="0.2">
      <c r="Y162" s="66" t="s">
        <v>41</v>
      </c>
      <c r="Z162" s="34" t="str">
        <f t="shared" ca="1" si="77"/>
        <v>FSV RauenReal Madrid</v>
      </c>
      <c r="AA162" s="13">
        <f t="shared" ca="1" si="76"/>
        <v>1</v>
      </c>
      <c r="AB162" s="13" t="str">
        <f ca="1">IF(AA90&gt;0,AI90&amp;Sprache!$E$109&amp;AH90,"")</f>
        <v>47 : 42</v>
      </c>
      <c r="AC162" s="609" t="str">
        <f ca="1">IF(AA90&gt;0,AK90&amp;Sprache!$E$109&amp;AJ90,"")</f>
        <v>1 : 1</v>
      </c>
      <c r="AD162" s="145"/>
      <c r="AE162" s="612"/>
      <c r="AF162" s="612"/>
      <c r="AG162" s="612"/>
      <c r="AH162" s="612"/>
    </row>
    <row r="163" spans="25:34" x14ac:dyDescent="0.2">
      <c r="Y163" s="66" t="s">
        <v>42</v>
      </c>
      <c r="Z163" s="34" t="str">
        <f t="shared" ca="1" si="77"/>
        <v>RB LeipzigParis St. Germain</v>
      </c>
      <c r="AA163" s="13">
        <f t="shared" ca="1" si="76"/>
        <v>1</v>
      </c>
      <c r="AB163" s="13" t="str">
        <f ca="1">IF(AA91&gt;0,AI91&amp;Sprache!$E$109&amp;AH91,"")</f>
        <v>48 : 44</v>
      </c>
      <c r="AC163" s="609" t="str">
        <f ca="1">IF(AA91&gt;0,AK91&amp;Sprache!$E$109&amp;AJ91,"")</f>
        <v>1 : 1</v>
      </c>
      <c r="AD163" s="145"/>
      <c r="AE163" s="612"/>
      <c r="AF163" s="612"/>
      <c r="AG163" s="612"/>
      <c r="AH163" s="612"/>
    </row>
    <row r="164" spans="25:34" x14ac:dyDescent="0.2">
      <c r="Y164" s="66" t="s">
        <v>43</v>
      </c>
      <c r="Z164" s="34" t="str">
        <f t="shared" ca="1" si="77"/>
        <v>1. FC RiedwaldEintracht Frankfurt</v>
      </c>
      <c r="AA164" s="13">
        <f t="shared" ca="1" si="76"/>
        <v>1</v>
      </c>
      <c r="AB164" s="13" t="str">
        <f ca="1">IF(AA92&gt;0,AI92&amp;Sprache!$E$109&amp;AH92,"")</f>
        <v>34 : 50</v>
      </c>
      <c r="AC164" s="609" t="str">
        <f ca="1">IF(AA92&gt;0,AK92&amp;Sprache!$E$109&amp;AJ92,"")</f>
        <v>0 : 2</v>
      </c>
      <c r="AD164" s="145"/>
      <c r="AE164" s="612"/>
      <c r="AF164" s="612"/>
      <c r="AG164" s="612"/>
      <c r="AH164" s="612"/>
    </row>
    <row r="165" spans="25:34" x14ac:dyDescent="0.2">
      <c r="Y165" s="66" t="s">
        <v>44</v>
      </c>
      <c r="Z165" s="34" t="str">
        <f t="shared" ca="1" si="77"/>
        <v>Mainz 05SSV Wildbach</v>
      </c>
      <c r="AA165" s="13">
        <f t="shared" ca="1" si="76"/>
        <v>1</v>
      </c>
      <c r="AB165" s="13" t="str">
        <f ca="1">IF(AA93&gt;0,AI93&amp;Sprache!$E$109&amp;AH93,"")</f>
        <v>43 : 39</v>
      </c>
      <c r="AC165" s="609" t="str">
        <f ca="1">IF(AA93&gt;0,AK93&amp;Sprache!$E$109&amp;AJ93,"")</f>
        <v>1 : 1</v>
      </c>
      <c r="AD165" s="145"/>
      <c r="AE165" s="612"/>
      <c r="AF165" s="612"/>
      <c r="AG165" s="612"/>
      <c r="AH165" s="612"/>
    </row>
    <row r="166" spans="25:34" x14ac:dyDescent="0.2">
      <c r="Y166" s="66" t="s">
        <v>45</v>
      </c>
      <c r="Z166" s="34" t="str">
        <f t="shared" ca="1" si="77"/>
        <v>Kickers RodendorfBorussia Dortmund</v>
      </c>
      <c r="AA166" s="13">
        <f t="shared" ca="1" si="76"/>
        <v>1</v>
      </c>
      <c r="AB166" s="13" t="str">
        <f ca="1">IF(AA94&gt;0,AI94&amp;Sprache!$E$109&amp;AH94,"")</f>
        <v>44 : 45</v>
      </c>
      <c r="AC166" s="609" t="str">
        <f ca="1">IF(AA94&gt;0,AK94&amp;Sprache!$E$109&amp;AJ94,"")</f>
        <v>1 : 1</v>
      </c>
      <c r="AD166" s="145"/>
      <c r="AE166" s="612"/>
      <c r="AF166" s="612"/>
      <c r="AG166" s="612"/>
      <c r="AH166" s="612"/>
    </row>
    <row r="167" spans="25:34" x14ac:dyDescent="0.2">
      <c r="Y167" s="66" t="s">
        <v>46</v>
      </c>
      <c r="Z167" s="34" t="str">
        <f t="shared" ca="1" si="77"/>
        <v>TSG Saalberg eVHSV</v>
      </c>
      <c r="AA167" s="13">
        <f t="shared" ca="1" si="76"/>
        <v>1</v>
      </c>
      <c r="AB167" s="13" t="str">
        <f ca="1">IF(AA95&gt;0,AI95&amp;Sprache!$E$109&amp;AH95,"")</f>
        <v>45 : 44</v>
      </c>
      <c r="AC167" s="609" t="str">
        <f ca="1">IF(AA95&gt;0,AK95&amp;Sprache!$E$109&amp;AJ95,"")</f>
        <v>1 : 1</v>
      </c>
      <c r="AD167" s="145"/>
      <c r="AE167" s="612"/>
      <c r="AF167" s="612"/>
      <c r="AG167" s="612"/>
      <c r="AH167" s="612"/>
    </row>
    <row r="168" spans="25:34" x14ac:dyDescent="0.2">
      <c r="Y168" s="66" t="s">
        <v>47</v>
      </c>
      <c r="Z168" s="34" t="str">
        <f t="shared" ca="1" si="77"/>
        <v>VFB EssenheimMaibach 1822 eV</v>
      </c>
      <c r="AA168" s="13">
        <f t="shared" ca="1" si="76"/>
        <v>1</v>
      </c>
      <c r="AB168" s="13" t="str">
        <f ca="1">IF(AA96&gt;0,AI96&amp;Sprache!$E$109&amp;AH96,"")</f>
        <v>46 : 42</v>
      </c>
      <c r="AC168" s="609" t="str">
        <f ca="1">IF(AA96&gt;0,AK96&amp;Sprache!$E$109&amp;AJ96,"")</f>
        <v>1 : 1</v>
      </c>
      <c r="AD168" s="145"/>
      <c r="AE168" s="612"/>
      <c r="AF168" s="612"/>
      <c r="AG168" s="612"/>
      <c r="AH168" s="612"/>
    </row>
    <row r="169" spans="25:34" x14ac:dyDescent="0.2">
      <c r="Y169" s="66" t="s">
        <v>48</v>
      </c>
      <c r="Z169" s="34" t="str">
        <f t="shared" ca="1" si="77"/>
        <v>FC GrönlingenManchester City</v>
      </c>
      <c r="AA169" s="13">
        <f t="shared" ca="1" si="76"/>
        <v>1</v>
      </c>
      <c r="AB169" s="13" t="str">
        <f ca="1">IF(AA97&gt;0,AI97&amp;Sprache!$E$109&amp;AH97,"")</f>
        <v>47 : 39</v>
      </c>
      <c r="AC169" s="609" t="str">
        <f ca="1">IF(AA97&gt;0,AK97&amp;Sprache!$E$109&amp;AJ97,"")</f>
        <v>1 : 1</v>
      </c>
      <c r="AD169" s="145"/>
      <c r="AE169" s="612"/>
      <c r="AF169" s="612"/>
      <c r="AG169" s="612"/>
      <c r="AH169" s="612"/>
    </row>
    <row r="170" spans="25:34" x14ac:dyDescent="0.2">
      <c r="Y170" s="66" t="s">
        <v>49</v>
      </c>
      <c r="Z170" s="34" t="str">
        <f t="shared" ca="1" si="77"/>
        <v>1. FC NürnbergFSV Rauen</v>
      </c>
      <c r="AA170" s="13">
        <f t="shared" ca="1" si="76"/>
        <v>1</v>
      </c>
      <c r="AB170" s="13" t="str">
        <f ca="1">IF(AA98&gt;0,AI98&amp;Sprache!$E$109&amp;AH98,"")</f>
        <v>34 : 50</v>
      </c>
      <c r="AC170" s="609" t="str">
        <f ca="1">IF(AA98&gt;0,AK98&amp;Sprache!$E$109&amp;AJ98,"")</f>
        <v>0 : 2</v>
      </c>
      <c r="AD170" s="145"/>
      <c r="AE170" s="612"/>
      <c r="AF170" s="612"/>
      <c r="AG170" s="612"/>
      <c r="AH170" s="612"/>
    </row>
    <row r="171" spans="25:34" x14ac:dyDescent="0.2">
      <c r="Y171" s="66" t="s">
        <v>50</v>
      </c>
      <c r="Z171" s="34" t="str">
        <f t="shared" ca="1" si="77"/>
        <v>SV OberredenburgRB Leipzig</v>
      </c>
      <c r="AA171" s="13">
        <f t="shared" ca="1" si="76"/>
        <v>1</v>
      </c>
      <c r="AB171" s="13" t="str">
        <f ca="1">IF(AA99&gt;0,AI99&amp;Sprache!$E$109&amp;AH99,"")</f>
        <v>36 : 50</v>
      </c>
      <c r="AC171" s="609" t="str">
        <f ca="1">IF(AA99&gt;0,AK99&amp;Sprache!$E$109&amp;AJ99,"")</f>
        <v>0 : 2</v>
      </c>
      <c r="AD171" s="145"/>
      <c r="AE171" s="612"/>
      <c r="AF171" s="612"/>
      <c r="AG171" s="612"/>
      <c r="AH171" s="612"/>
    </row>
    <row r="172" spans="25:34" x14ac:dyDescent="0.2">
      <c r="Y172" s="66" t="s">
        <v>58</v>
      </c>
      <c r="Z172" s="34" t="str">
        <f t="shared" ca="1" si="77"/>
        <v>FC Barcelona1. FC Riedwald</v>
      </c>
      <c r="AA172" s="13">
        <f t="shared" ca="1" si="76"/>
        <v>1</v>
      </c>
      <c r="AB172" s="13" t="str">
        <f ca="1">IF(AA100&gt;0,AI100&amp;Sprache!$E$109&amp;AH100,"")</f>
        <v>50 : 35</v>
      </c>
      <c r="AC172" s="609" t="str">
        <f ca="1">IF(AA100&gt;0,AK100&amp;Sprache!$E$109&amp;AJ100,"")</f>
        <v>2 : 0</v>
      </c>
      <c r="AD172" s="145"/>
      <c r="AE172" s="612"/>
      <c r="AF172" s="612"/>
      <c r="AG172" s="612"/>
      <c r="AH172" s="612"/>
    </row>
    <row r="173" spans="25:34" x14ac:dyDescent="0.2">
      <c r="Y173" s="66" t="s">
        <v>59</v>
      </c>
      <c r="Z173" s="34" t="str">
        <f t="shared" ca="1" si="77"/>
        <v>Inter MailandMainz 05</v>
      </c>
      <c r="AA173" s="13">
        <f t="shared" ca="1" si="76"/>
        <v>1</v>
      </c>
      <c r="AB173" s="13" t="str">
        <f ca="1">IF(AA101&gt;0,AI101&amp;Sprache!$E$109&amp;AH101,"")</f>
        <v>50 : 33</v>
      </c>
      <c r="AC173" s="609" t="str">
        <f ca="1">IF(AA101&gt;0,AK101&amp;Sprache!$E$109&amp;AJ101,"")</f>
        <v>2 : 0</v>
      </c>
      <c r="AD173" s="145"/>
      <c r="AE173" s="612"/>
      <c r="AF173" s="612"/>
      <c r="AG173" s="612"/>
      <c r="AH173" s="612"/>
    </row>
    <row r="174" spans="25:34" x14ac:dyDescent="0.2">
      <c r="Y174" s="66" t="s">
        <v>60</v>
      </c>
      <c r="Z174" s="34" t="str">
        <f t="shared" ca="1" si="77"/>
        <v>Real MadridKickers Rodendorf</v>
      </c>
      <c r="AA174" s="13">
        <f t="shared" ca="1" si="76"/>
        <v>1</v>
      </c>
      <c r="AB174" s="13" t="str">
        <f ca="1">IF(AA102&gt;0,AI102&amp;Sprache!$E$109&amp;AH102,"")</f>
        <v>45 : 38</v>
      </c>
      <c r="AC174" s="609" t="str">
        <f ca="1">IF(AA102&gt;0,AK102&amp;Sprache!$E$109&amp;AJ102,"")</f>
        <v>1 : 1</v>
      </c>
      <c r="AD174" s="145"/>
      <c r="AE174" s="612"/>
      <c r="AF174" s="612"/>
      <c r="AG174" s="612"/>
      <c r="AH174" s="612"/>
    </row>
    <row r="175" spans="25:34" x14ac:dyDescent="0.2">
      <c r="Y175" s="66" t="s">
        <v>61</v>
      </c>
      <c r="Z175" s="34" t="str">
        <f t="shared" ca="1" si="77"/>
        <v>Paris St. GermainTSG Saalberg eV</v>
      </c>
      <c r="AA175" s="13">
        <f t="shared" ca="1" si="76"/>
        <v>1</v>
      </c>
      <c r="AB175" s="13" t="str">
        <f ca="1">IF(AA103&gt;0,AI103&amp;Sprache!$E$109&amp;AH103,"")</f>
        <v>46 : 43</v>
      </c>
      <c r="AC175" s="609" t="str">
        <f ca="1">IF(AA103&gt;0,AK103&amp;Sprache!$E$109&amp;AJ103,"")</f>
        <v>1 : 1</v>
      </c>
      <c r="AD175" s="145"/>
      <c r="AE175" s="612"/>
      <c r="AF175" s="612"/>
      <c r="AG175" s="612"/>
      <c r="AH175" s="612"/>
    </row>
    <row r="176" spans="25:34" x14ac:dyDescent="0.2">
      <c r="Y176" s="66" t="s">
        <v>62</v>
      </c>
      <c r="Z176" s="34" t="str">
        <f t="shared" ca="1" si="77"/>
        <v/>
      </c>
      <c r="AA176" s="13">
        <f t="shared" ca="1" si="76"/>
        <v>0</v>
      </c>
      <c r="AB176" s="13" t="str">
        <f ca="1">IF(AA104&gt;0,AI104&amp;Sprache!$E$109&amp;AH104,"")</f>
        <v/>
      </c>
      <c r="AC176" s="609" t="str">
        <f ca="1">IF(AA104&gt;0,AK104&amp;Sprache!$E$109&amp;AJ104,"")</f>
        <v/>
      </c>
      <c r="AD176" s="145"/>
      <c r="AE176" s="612"/>
      <c r="AF176" s="612"/>
      <c r="AG176" s="612"/>
      <c r="AH176" s="612"/>
    </row>
    <row r="177" spans="25:34" x14ac:dyDescent="0.2">
      <c r="Y177" s="66" t="s">
        <v>63</v>
      </c>
      <c r="Z177" s="34" t="str">
        <f t="shared" ca="1" si="77"/>
        <v/>
      </c>
      <c r="AA177" s="13">
        <f t="shared" ca="1" si="76"/>
        <v>0</v>
      </c>
      <c r="AB177" s="13" t="str">
        <f ca="1">IF(AA105&gt;0,AI105&amp;Sprache!$E$109&amp;AH105,"")</f>
        <v/>
      </c>
      <c r="AC177" s="609" t="str">
        <f ca="1">IF(AA105&gt;0,AK105&amp;Sprache!$E$109&amp;AJ105,"")</f>
        <v/>
      </c>
      <c r="AD177" s="145"/>
      <c r="AE177" s="612"/>
      <c r="AF177" s="612"/>
      <c r="AG177" s="612"/>
      <c r="AH177" s="612"/>
    </row>
    <row r="178" spans="25:34" x14ac:dyDescent="0.2">
      <c r="Y178" s="66" t="s">
        <v>64</v>
      </c>
      <c r="Z178" s="34" t="str">
        <f t="shared" ca="1" si="77"/>
        <v/>
      </c>
      <c r="AA178" s="13">
        <f t="shared" ca="1" si="76"/>
        <v>0</v>
      </c>
      <c r="AB178" s="13" t="str">
        <f ca="1">IF(AA106&gt;0,AI106&amp;Sprache!$E$109&amp;AH106,"")</f>
        <v/>
      </c>
      <c r="AC178" s="609" t="str">
        <f ca="1">IF(AA106&gt;0,AK106&amp;Sprache!$E$109&amp;AJ106,"")</f>
        <v/>
      </c>
      <c r="AD178" s="145"/>
      <c r="AE178" s="612"/>
      <c r="AF178" s="612"/>
      <c r="AG178" s="612"/>
      <c r="AH178" s="612"/>
    </row>
    <row r="179" spans="25:34" x14ac:dyDescent="0.2">
      <c r="Y179" s="66" t="s">
        <v>65</v>
      </c>
      <c r="Z179" s="34" t="str">
        <f t="shared" ca="1" si="77"/>
        <v/>
      </c>
      <c r="AA179" s="13">
        <f t="shared" ca="1" si="76"/>
        <v>0</v>
      </c>
      <c r="AB179" s="13" t="str">
        <f ca="1">IF(AA107&gt;0,AI107&amp;Sprache!$E$109&amp;AH107,"")</f>
        <v/>
      </c>
      <c r="AC179" s="609" t="str">
        <f ca="1">IF(AA107&gt;0,AK107&amp;Sprache!$E$109&amp;AJ107,"")</f>
        <v/>
      </c>
      <c r="AD179" s="145"/>
      <c r="AE179" s="612"/>
      <c r="AF179" s="612"/>
      <c r="AG179" s="612"/>
      <c r="AH179" s="612"/>
    </row>
    <row r="180" spans="25:34" x14ac:dyDescent="0.2">
      <c r="Y180" s="66" t="s">
        <v>66</v>
      </c>
      <c r="Z180" s="34" t="str">
        <f t="shared" ca="1" si="77"/>
        <v/>
      </c>
      <c r="AA180" s="13">
        <f t="shared" ca="1" si="76"/>
        <v>0</v>
      </c>
      <c r="AB180" s="13" t="str">
        <f ca="1">IF(AA108&gt;0,AI108&amp;Sprache!$E$109&amp;AH108,"")</f>
        <v/>
      </c>
      <c r="AC180" s="609" t="str">
        <f ca="1">IF(AA108&gt;0,AK108&amp;Sprache!$E$109&amp;AJ108,"")</f>
        <v/>
      </c>
      <c r="AD180" s="145"/>
      <c r="AE180" s="612"/>
      <c r="AF180" s="612"/>
      <c r="AG180" s="612"/>
      <c r="AH180" s="612"/>
    </row>
    <row r="181" spans="25:34" x14ac:dyDescent="0.2">
      <c r="Y181" s="66" t="s">
        <v>67</v>
      </c>
      <c r="Z181" s="34" t="str">
        <f t="shared" ca="1" si="77"/>
        <v/>
      </c>
      <c r="AA181" s="13">
        <f t="shared" ca="1" si="76"/>
        <v>0</v>
      </c>
      <c r="AB181" s="13" t="str">
        <f ca="1">IF(AA109&gt;0,AI109&amp;Sprache!$E$109&amp;AH109,"")</f>
        <v/>
      </c>
      <c r="AC181" s="609" t="str">
        <f ca="1">IF(AA109&gt;0,AK109&amp;Sprache!$E$109&amp;AJ109,"")</f>
        <v/>
      </c>
      <c r="AD181" s="145"/>
      <c r="AE181" s="612"/>
      <c r="AF181" s="612"/>
      <c r="AG181" s="612"/>
      <c r="AH181" s="612"/>
    </row>
    <row r="182" spans="25:34" x14ac:dyDescent="0.2">
      <c r="Y182" s="66" t="s">
        <v>68</v>
      </c>
      <c r="Z182" s="34" t="str">
        <f t="shared" ca="1" si="77"/>
        <v/>
      </c>
      <c r="AA182" s="13">
        <f t="shared" ca="1" si="76"/>
        <v>0</v>
      </c>
      <c r="AB182" s="13" t="str">
        <f ca="1">IF(AA110&gt;0,AI110&amp;Sprache!$E$109&amp;AH110,"")</f>
        <v/>
      </c>
      <c r="AC182" s="609" t="str">
        <f ca="1">IF(AA110&gt;0,AK110&amp;Sprache!$E$109&amp;AJ110,"")</f>
        <v/>
      </c>
      <c r="AD182" s="145"/>
      <c r="AE182" s="612"/>
      <c r="AF182" s="612"/>
      <c r="AG182" s="612"/>
      <c r="AH182" s="612"/>
    </row>
    <row r="183" spans="25:34" x14ac:dyDescent="0.2">
      <c r="Y183" s="66" t="s">
        <v>69</v>
      </c>
      <c r="Z183" s="34" t="str">
        <f t="shared" ca="1" si="77"/>
        <v/>
      </c>
      <c r="AA183" s="13">
        <f t="shared" ca="1" si="76"/>
        <v>0</v>
      </c>
      <c r="AB183" s="13" t="str">
        <f ca="1">IF(AA111&gt;0,AI111&amp;Sprache!$E$109&amp;AH111,"")</f>
        <v/>
      </c>
      <c r="AC183" s="609" t="str">
        <f ca="1">IF(AA111&gt;0,AK111&amp;Sprache!$E$109&amp;AJ111,"")</f>
        <v/>
      </c>
      <c r="AD183" s="145"/>
      <c r="AE183" s="612"/>
      <c r="AF183" s="612"/>
      <c r="AG183" s="612"/>
      <c r="AH183" s="612"/>
    </row>
    <row r="184" spans="25:34" x14ac:dyDescent="0.2">
      <c r="Y184" s="66" t="s">
        <v>70</v>
      </c>
      <c r="Z184" s="34" t="str">
        <f t="shared" ca="1" si="77"/>
        <v/>
      </c>
      <c r="AA184" s="13">
        <f t="shared" ca="1" si="76"/>
        <v>0</v>
      </c>
      <c r="AB184" s="13" t="str">
        <f ca="1">IF(AA112&gt;0,AI112&amp;Sprache!$E$109&amp;AH112,"")</f>
        <v/>
      </c>
      <c r="AC184" s="609" t="str">
        <f ca="1">IF(AA112&gt;0,AK112&amp;Sprache!$E$109&amp;AJ112,"")</f>
        <v/>
      </c>
      <c r="AD184" s="145"/>
      <c r="AE184" s="612"/>
      <c r="AF184" s="612"/>
      <c r="AG184" s="612"/>
      <c r="AH184" s="612"/>
    </row>
    <row r="185" spans="25:34" x14ac:dyDescent="0.2">
      <c r="Y185" s="66" t="s">
        <v>71</v>
      </c>
      <c r="Z185" s="34" t="str">
        <f t="shared" ca="1" si="77"/>
        <v/>
      </c>
      <c r="AA185" s="13">
        <f t="shared" ca="1" si="76"/>
        <v>0</v>
      </c>
      <c r="AB185" s="13" t="str">
        <f ca="1">IF(AA113&gt;0,AI113&amp;Sprache!$E$109&amp;AH113,"")</f>
        <v/>
      </c>
      <c r="AC185" s="609" t="str">
        <f ca="1">IF(AA113&gt;0,AK113&amp;Sprache!$E$109&amp;AJ113,"")</f>
        <v/>
      </c>
      <c r="AD185" s="145"/>
      <c r="AE185" s="612"/>
      <c r="AF185" s="612"/>
      <c r="AG185" s="612"/>
      <c r="AH185" s="612"/>
    </row>
    <row r="186" spans="25:34" x14ac:dyDescent="0.2">
      <c r="Y186" s="66" t="s">
        <v>72</v>
      </c>
      <c r="Z186" s="34" t="str">
        <f t="shared" ca="1" si="77"/>
        <v/>
      </c>
      <c r="AA186" s="13">
        <f t="shared" ca="1" si="76"/>
        <v>0</v>
      </c>
      <c r="AB186" s="13" t="str">
        <f ca="1">IF(AA114&gt;0,AI114&amp;Sprache!$E$109&amp;AH114,"")</f>
        <v/>
      </c>
      <c r="AC186" s="609" t="str">
        <f ca="1">IF(AA114&gt;0,AK114&amp;Sprache!$E$109&amp;AJ114,"")</f>
        <v/>
      </c>
      <c r="AD186" s="145"/>
      <c r="AE186" s="612"/>
      <c r="AF186" s="612"/>
      <c r="AG186" s="612"/>
      <c r="AH186" s="612"/>
    </row>
    <row r="187" spans="25:34" x14ac:dyDescent="0.2">
      <c r="Y187" s="66" t="s">
        <v>73</v>
      </c>
      <c r="Z187" s="34" t="str">
        <f t="shared" ca="1" si="77"/>
        <v/>
      </c>
      <c r="AA187" s="13">
        <f t="shared" ca="1" si="76"/>
        <v>0</v>
      </c>
      <c r="AB187" s="13" t="str">
        <f ca="1">IF(AA115&gt;0,AI115&amp;Sprache!$E$109&amp;AH115,"")</f>
        <v/>
      </c>
      <c r="AC187" s="609" t="str">
        <f ca="1">IF(AA115&gt;0,AK115&amp;Sprache!$E$109&amp;AJ115,"")</f>
        <v/>
      </c>
      <c r="AD187" s="145"/>
      <c r="AE187" s="612"/>
      <c r="AF187" s="612"/>
      <c r="AG187" s="612"/>
      <c r="AH187" s="612"/>
    </row>
    <row r="188" spans="25:34" x14ac:dyDescent="0.2">
      <c r="Y188" s="66" t="s">
        <v>74</v>
      </c>
      <c r="Z188" s="34" t="str">
        <f t="shared" ca="1" si="77"/>
        <v/>
      </c>
      <c r="AA188" s="13">
        <f t="shared" ca="1" si="76"/>
        <v>0</v>
      </c>
      <c r="AB188" s="13" t="str">
        <f ca="1">IF(AA116&gt;0,AI116&amp;Sprache!$E$109&amp;AH116,"")</f>
        <v/>
      </c>
      <c r="AC188" s="609" t="str">
        <f ca="1">IF(AA116&gt;0,AK116&amp;Sprache!$E$109&amp;AJ116,"")</f>
        <v/>
      </c>
      <c r="AD188" s="145"/>
      <c r="AE188" s="612"/>
      <c r="AF188" s="612"/>
      <c r="AG188" s="612"/>
      <c r="AH188" s="612"/>
    </row>
    <row r="189" spans="25:34" x14ac:dyDescent="0.2">
      <c r="Y189" s="66" t="s">
        <v>75</v>
      </c>
      <c r="Z189" s="34" t="str">
        <f t="shared" ca="1" si="77"/>
        <v/>
      </c>
      <c r="AA189" s="13">
        <f t="shared" ca="1" si="76"/>
        <v>0</v>
      </c>
      <c r="AB189" s="13" t="str">
        <f ca="1">IF(AA117&gt;0,AI117&amp;Sprache!$E$109&amp;AH117,"")</f>
        <v/>
      </c>
      <c r="AC189" s="609" t="str">
        <f ca="1">IF(AA117&gt;0,AK117&amp;Sprache!$E$109&amp;AJ117,"")</f>
        <v/>
      </c>
      <c r="AD189" s="145"/>
      <c r="AE189" s="612"/>
      <c r="AF189" s="612"/>
      <c r="AG189" s="612"/>
      <c r="AH189" s="612"/>
    </row>
    <row r="190" spans="25:34" x14ac:dyDescent="0.2">
      <c r="Y190" s="66" t="s">
        <v>76</v>
      </c>
      <c r="Z190" s="34" t="str">
        <f t="shared" ca="1" si="77"/>
        <v/>
      </c>
      <c r="AA190" s="13">
        <f t="shared" ca="1" si="76"/>
        <v>0</v>
      </c>
      <c r="AB190" s="13" t="str">
        <f ca="1">IF(AA118&gt;0,AI118&amp;Sprache!$E$109&amp;AH118,"")</f>
        <v/>
      </c>
      <c r="AC190" s="609" t="str">
        <f ca="1">IF(AA118&gt;0,AK118&amp;Sprache!$E$109&amp;AJ118,"")</f>
        <v/>
      </c>
      <c r="AD190" s="145"/>
      <c r="AE190" s="612"/>
      <c r="AF190" s="612"/>
      <c r="AG190" s="612"/>
      <c r="AH190" s="612"/>
    </row>
    <row r="191" spans="25:34" x14ac:dyDescent="0.2">
      <c r="Y191" s="66" t="s">
        <v>77</v>
      </c>
      <c r="Z191" s="34" t="str">
        <f t="shared" ca="1" si="77"/>
        <v/>
      </c>
      <c r="AA191" s="13">
        <f t="shared" ca="1" si="76"/>
        <v>0</v>
      </c>
      <c r="AB191" s="13" t="str">
        <f ca="1">IF(AA119&gt;0,AI119&amp;Sprache!$E$109&amp;AH119,"")</f>
        <v/>
      </c>
      <c r="AC191" s="609" t="str">
        <f ca="1">IF(AA119&gt;0,AK119&amp;Sprache!$E$109&amp;AJ119,"")</f>
        <v/>
      </c>
      <c r="AD191" s="145"/>
      <c r="AE191" s="612"/>
      <c r="AF191" s="612"/>
      <c r="AG191" s="612"/>
      <c r="AH191" s="612"/>
    </row>
    <row r="192" spans="25:34" x14ac:dyDescent="0.2">
      <c r="Y192" s="66" t="s">
        <v>78</v>
      </c>
      <c r="Z192" s="34" t="str">
        <f t="shared" ca="1" si="77"/>
        <v/>
      </c>
      <c r="AA192" s="13">
        <f t="shared" ca="1" si="76"/>
        <v>0</v>
      </c>
      <c r="AB192" s="13" t="str">
        <f ca="1">IF(AA120&gt;0,AI120&amp;Sprache!$E$109&amp;AH120,"")</f>
        <v/>
      </c>
      <c r="AC192" s="609" t="str">
        <f ca="1">IF(AA120&gt;0,AK120&amp;Sprache!$E$109&amp;AJ120,"")</f>
        <v/>
      </c>
      <c r="AD192" s="145"/>
      <c r="AE192" s="612"/>
      <c r="AF192" s="612"/>
      <c r="AG192" s="612"/>
      <c r="AH192" s="612"/>
    </row>
    <row r="193" spans="25:34" x14ac:dyDescent="0.2">
      <c r="Y193" s="66" t="s">
        <v>79</v>
      </c>
      <c r="Z193" s="34" t="str">
        <f t="shared" ca="1" si="77"/>
        <v/>
      </c>
      <c r="AA193" s="13">
        <f t="shared" ca="1" si="76"/>
        <v>0</v>
      </c>
      <c r="AB193" s="13" t="str">
        <f ca="1">IF(AA121&gt;0,AI121&amp;Sprache!$E$109&amp;AH121,"")</f>
        <v/>
      </c>
      <c r="AC193" s="609" t="str">
        <f ca="1">IF(AA121&gt;0,AK121&amp;Sprache!$E$109&amp;AJ121,"")</f>
        <v/>
      </c>
      <c r="AD193" s="145"/>
      <c r="AE193" s="612"/>
      <c r="AF193" s="612"/>
      <c r="AG193" s="612"/>
      <c r="AH193" s="612"/>
    </row>
    <row r="194" spans="25:34" x14ac:dyDescent="0.2">
      <c r="Y194" s="66" t="s">
        <v>80</v>
      </c>
      <c r="Z194" s="34" t="str">
        <f t="shared" ca="1" si="77"/>
        <v/>
      </c>
      <c r="AA194" s="13">
        <f t="shared" ca="1" si="76"/>
        <v>0</v>
      </c>
      <c r="AB194" s="13" t="str">
        <f ca="1">IF(AA122&gt;0,AI122&amp;Sprache!$E$109&amp;AH122,"")</f>
        <v/>
      </c>
      <c r="AC194" s="609" t="str">
        <f ca="1">IF(AA122&gt;0,AK122&amp;Sprache!$E$109&amp;AJ122,"")</f>
        <v/>
      </c>
      <c r="AD194" s="145"/>
      <c r="AE194" s="612"/>
      <c r="AF194" s="612"/>
      <c r="AG194" s="612"/>
      <c r="AH194" s="612"/>
    </row>
    <row r="195" spans="25:34" ht="12.75" thickBot="1" x14ac:dyDescent="0.25">
      <c r="Y195" s="66" t="s">
        <v>81</v>
      </c>
      <c r="Z195" s="34" t="str">
        <f t="shared" ca="1" si="77"/>
        <v/>
      </c>
      <c r="AA195" s="13">
        <f t="shared" ca="1" si="76"/>
        <v>0</v>
      </c>
      <c r="AB195" s="13" t="str">
        <f ca="1">IF(AA123&gt;0,AI123&amp;Sprache!$E$109&amp;AH123,"")</f>
        <v/>
      </c>
      <c r="AC195" s="609" t="str">
        <f ca="1">IF(AA123&gt;0,AK123&amp;Sprache!$E$109&amp;AJ123,"")</f>
        <v/>
      </c>
      <c r="AD195" s="145"/>
      <c r="AE195" s="612"/>
      <c r="AF195" s="612"/>
      <c r="AG195" s="612"/>
      <c r="AH195" s="612"/>
    </row>
    <row r="196" spans="25:34" ht="12.75" thickTop="1" x14ac:dyDescent="0.2">
      <c r="Y196" s="281" t="s">
        <v>82</v>
      </c>
      <c r="Z196" s="285" t="str">
        <f>""</f>
        <v/>
      </c>
      <c r="AA196" s="283">
        <v>0</v>
      </c>
      <c r="AB196" s="283" t="str">
        <f>""</f>
        <v/>
      </c>
      <c r="AC196" s="774"/>
      <c r="AD196" s="145"/>
      <c r="AE196" s="763"/>
      <c r="AF196" s="763"/>
      <c r="AG196" s="763"/>
      <c r="AH196" s="763"/>
    </row>
    <row r="197" spans="25:34" x14ac:dyDescent="0.2">
      <c r="Y197" s="66" t="s">
        <v>83</v>
      </c>
      <c r="Z197" s="34" t="str">
        <f>""</f>
        <v/>
      </c>
      <c r="AA197" s="13">
        <v>0</v>
      </c>
      <c r="AB197" s="13" t="str">
        <f>""</f>
        <v/>
      </c>
      <c r="AC197" s="610"/>
      <c r="AD197" s="145"/>
      <c r="AE197" s="612"/>
      <c r="AF197" s="612"/>
      <c r="AG197" s="612"/>
      <c r="AH197" s="612"/>
    </row>
    <row r="198" spans="25:34" x14ac:dyDescent="0.2">
      <c r="Y198" s="66" t="s">
        <v>84</v>
      </c>
      <c r="Z198" s="34" t="str">
        <f>""</f>
        <v/>
      </c>
      <c r="AA198" s="13">
        <v>0</v>
      </c>
      <c r="AB198" s="13" t="str">
        <f>""</f>
        <v/>
      </c>
      <c r="AC198" s="610"/>
      <c r="AD198" s="145"/>
      <c r="AE198" s="612"/>
      <c r="AF198" s="612"/>
      <c r="AG198" s="612"/>
      <c r="AH198" s="612"/>
    </row>
    <row r="199" spans="25:34" x14ac:dyDescent="0.2">
      <c r="Y199" s="66" t="s">
        <v>85</v>
      </c>
      <c r="Z199" s="34" t="str">
        <f>""</f>
        <v/>
      </c>
      <c r="AA199" s="13">
        <v>0</v>
      </c>
      <c r="AB199" s="13" t="str">
        <f>""</f>
        <v/>
      </c>
      <c r="AC199" s="610"/>
      <c r="AD199" s="145"/>
      <c r="AE199" s="612"/>
      <c r="AF199" s="612"/>
      <c r="AG199" s="612"/>
      <c r="AH199" s="612"/>
    </row>
    <row r="200" spans="25:34" x14ac:dyDescent="0.2">
      <c r="Y200" s="66" t="s">
        <v>86</v>
      </c>
      <c r="Z200" s="34" t="str">
        <f>""</f>
        <v/>
      </c>
      <c r="AA200" s="13">
        <v>0</v>
      </c>
      <c r="AB200" s="13" t="str">
        <f>""</f>
        <v/>
      </c>
      <c r="AC200" s="610"/>
      <c r="AD200" s="145"/>
      <c r="AE200" s="612"/>
      <c r="AF200" s="612"/>
      <c r="AG200" s="612"/>
      <c r="AH200" s="612"/>
    </row>
    <row r="201" spans="25:34" x14ac:dyDescent="0.2">
      <c r="Y201" s="66" t="s">
        <v>87</v>
      </c>
      <c r="Z201" s="34" t="str">
        <f>""</f>
        <v/>
      </c>
      <c r="AA201" s="13">
        <v>0</v>
      </c>
      <c r="AB201" s="13" t="str">
        <f>""</f>
        <v/>
      </c>
      <c r="AC201" s="610"/>
      <c r="AD201" s="145"/>
      <c r="AE201" s="612"/>
      <c r="AF201" s="612"/>
      <c r="AG201" s="612"/>
      <c r="AH201" s="612"/>
    </row>
    <row r="202" spans="25:34" x14ac:dyDescent="0.2">
      <c r="Y202" s="66" t="s">
        <v>88</v>
      </c>
      <c r="Z202" s="34" t="str">
        <f>""</f>
        <v/>
      </c>
      <c r="AA202" s="13">
        <v>0</v>
      </c>
      <c r="AB202" s="13" t="str">
        <f>""</f>
        <v/>
      </c>
      <c r="AC202" s="610"/>
      <c r="AD202" s="145"/>
      <c r="AE202" s="612"/>
      <c r="AF202" s="612"/>
      <c r="AG202" s="612"/>
      <c r="AH202" s="612"/>
    </row>
    <row r="203" spans="25:34" x14ac:dyDescent="0.2">
      <c r="Y203" s="66" t="s">
        <v>89</v>
      </c>
      <c r="Z203" s="34" t="str">
        <f>""</f>
        <v/>
      </c>
      <c r="AA203" s="13">
        <v>0</v>
      </c>
      <c r="AB203" s="13" t="str">
        <f>""</f>
        <v/>
      </c>
      <c r="AC203" s="610"/>
      <c r="AD203" s="145"/>
      <c r="AE203" s="612"/>
      <c r="AF203" s="612"/>
      <c r="AG203" s="612"/>
      <c r="AH203" s="612"/>
    </row>
    <row r="204" spans="25:34" x14ac:dyDescent="0.2">
      <c r="Y204" s="66" t="s">
        <v>90</v>
      </c>
      <c r="Z204" s="34" t="str">
        <f>""</f>
        <v/>
      </c>
      <c r="AA204" s="13">
        <v>0</v>
      </c>
      <c r="AB204" s="13" t="str">
        <f>""</f>
        <v/>
      </c>
      <c r="AC204" s="610"/>
      <c r="AD204" s="145"/>
      <c r="AE204" s="612"/>
      <c r="AF204" s="612"/>
      <c r="AG204" s="612"/>
      <c r="AH204" s="612"/>
    </row>
    <row r="205" spans="25:34" x14ac:dyDescent="0.2">
      <c r="Y205" s="66" t="s">
        <v>91</v>
      </c>
      <c r="Z205" s="34" t="str">
        <f>""</f>
        <v/>
      </c>
      <c r="AA205" s="13">
        <v>0</v>
      </c>
      <c r="AB205" s="13" t="str">
        <f>""</f>
        <v/>
      </c>
      <c r="AC205" s="610"/>
      <c r="AD205" s="145"/>
      <c r="AE205" s="612"/>
      <c r="AF205" s="612"/>
      <c r="AG205" s="612"/>
      <c r="AH205" s="612"/>
    </row>
    <row r="206" spans="25:34" x14ac:dyDescent="0.2">
      <c r="Y206" s="66" t="s">
        <v>92</v>
      </c>
      <c r="Z206" s="34" t="str">
        <f>""</f>
        <v/>
      </c>
      <c r="AA206" s="13">
        <v>0</v>
      </c>
      <c r="AB206" s="13"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AJ63:AK63"/>
    <mergeCell ref="W3:AA3"/>
    <mergeCell ref="AB3:AF3"/>
    <mergeCell ref="AG3:AK3"/>
    <mergeCell ref="AL3:AP3"/>
    <mergeCell ref="X63:Y63"/>
    <mergeCell ref="AD63:AE63"/>
    <mergeCell ref="AF63:AG63"/>
    <mergeCell ref="AH63:AI63"/>
    <mergeCell ref="AL63:AM63"/>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5703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8.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368</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446</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4</v>
      </c>
      <c r="S3" s="110">
        <f t="shared" ca="1" si="0"/>
        <v>99999</v>
      </c>
      <c r="T3" s="110">
        <f t="shared" ca="1" si="0"/>
        <v>99999</v>
      </c>
      <c r="U3" s="110">
        <f t="shared" ca="1" si="0"/>
        <v>99999</v>
      </c>
      <c r="V3" s="110">
        <f t="shared" ca="1" si="0"/>
        <v>99999</v>
      </c>
      <c r="W3" s="1031">
        <f ca="1">IF($O$4&lt;10,$O$4,0)</f>
        <v>4</v>
      </c>
      <c r="X3" s="1032"/>
      <c r="Y3" s="1032"/>
      <c r="Z3" s="1032"/>
      <c r="AA3" s="1032"/>
      <c r="AB3" s="1031">
        <f ca="1">IF($P$4&lt;10,$P$4,0)</f>
        <v>0</v>
      </c>
      <c r="AC3" s="1032"/>
      <c r="AD3" s="1032"/>
      <c r="AE3" s="1032"/>
      <c r="AF3" s="1032"/>
      <c r="AG3" s="1031">
        <f ca="1">IF($Q$4&lt;10,$Q$4,0)</f>
        <v>0</v>
      </c>
      <c r="AH3" s="1032"/>
      <c r="AI3" s="1032"/>
      <c r="AJ3" s="1032"/>
      <c r="AK3" s="1032"/>
      <c r="AL3" s="1031">
        <f ca="1">IF($R$4&lt;10,$R$4,0)</f>
        <v>0</v>
      </c>
      <c r="AM3" s="1032"/>
      <c r="AN3" s="1032"/>
      <c r="AO3" s="1032"/>
      <c r="AP3" s="1032"/>
      <c r="AS3" s="27" t="s">
        <v>415</v>
      </c>
      <c r="AT3" s="27" t="s">
        <v>371</v>
      </c>
      <c r="AU3" s="27" t="s">
        <v>448</v>
      </c>
      <c r="AV3" s="27" t="s">
        <v>414</v>
      </c>
      <c r="AW3" s="27"/>
      <c r="AX3" s="27" t="s">
        <v>449</v>
      </c>
    </row>
    <row r="4" spans="1:50" s="2" customFormat="1" ht="12.75" thickTop="1" x14ac:dyDescent="0.2">
      <c r="A4" s="238"/>
      <c r="B4" s="1">
        <v>1</v>
      </c>
      <c r="C4" s="21">
        <f ca="1">RANK(D4,$D$4:$D$12,1)</f>
        <v>3</v>
      </c>
      <c r="D4" s="778">
        <f ca="1">E4+ROW()/1000+(F4="")*10</f>
        <v>3.004</v>
      </c>
      <c r="E4" s="249">
        <f ca="1">IF($AI$15,RANK(AH17,AH$17:AH$25,1),RANK(X17,X$17:X$25,1))</f>
        <v>3</v>
      </c>
      <c r="F4" s="1" t="str">
        <f>$Q64</f>
        <v>Mainz 05</v>
      </c>
      <c r="G4" s="1">
        <f t="shared" ref="G4:G12" ca="1" si="1">SUMIFS($X$64:$X$135,$V$64:$V$135,$F4)+SUMIFS($Y$64:$Y$135,$W$64:$W$135,$F4)+SUMIFS($AD$64:$AD$135,$V$64:$V$135,$F4)+SUMIFS($AE$64:$AE$135,$W$64:$W$135,$F4)</f>
        <v>149</v>
      </c>
      <c r="H4" s="1">
        <f t="shared" ref="H4:H12" ca="1" si="2">SUMIFS($Y$64:$Y$135,$V$64:$V$135,$F4)+SUMIFS($X$64:$X$135,$W$64:$W$135,$F4)+SUMIFS($AE$64:$AE$135,$V$64:$V$135,$F4)+SUMIFS($AD$64:$AD$135,$W$64:$W$135,$F4)</f>
        <v>172</v>
      </c>
      <c r="I4" s="778">
        <f ca="1">IF(Einstellungen!$G$24,G4-H4,IF(H4=0,IF(G4=0,0,Einstellungen!$F$24),G4/H4))</f>
        <v>-23</v>
      </c>
      <c r="J4" s="1">
        <f ca="1">$L4*Einstellungen!$C$4+$M4</f>
        <v>3</v>
      </c>
      <c r="K4" s="1">
        <f ca="1">SUMPRODUCT(($V$64:$V$135=F4)*($AJ$64:$AJ$135&lt;&gt;"")*$AA$64:$AA$135)+SUMPRODUCT(($W$64:$W$135=F4)*($AK$64:$AK$135&lt;&gt;"")*$AA$64:$AA$135)</f>
        <v>4</v>
      </c>
      <c r="L4" s="1">
        <f ca="1">SUMPRODUCT(($V$64:$V$135=F4)*($AJ$64:$AJ$135&gt;$AK$64:$AK$135)*$AA$64:$AA$135)+SUMPRODUCT(($W$64:$W$135=F4)*($AJ$64:$AJ$135&lt;$AK$64:$AK$135)*$AA$64:$AA$135)</f>
        <v>1</v>
      </c>
      <c r="M4" s="1">
        <f t="shared" ref="M4:M12" ca="1" si="3">SUMPRODUCT(($V$64:$W$135=F4)*($AJ$64:$AJ$135=$AK$64:$AK$135)*$AA$64:$AA$135)</f>
        <v>1</v>
      </c>
      <c r="N4" s="1">
        <f ca="1">K4-L4-M4</f>
        <v>2</v>
      </c>
      <c r="O4" s="118">
        <f ca="1">SMALL($O$3:$V$3,1)</f>
        <v>4</v>
      </c>
      <c r="P4" s="118">
        <f ca="1">SMALL($O$3:$V$3,2)</f>
        <v>99999</v>
      </c>
      <c r="Q4" s="118">
        <f ca="1">SMALL($O$3:$V$3,3)</f>
        <v>99999</v>
      </c>
      <c r="R4" s="118">
        <f ca="1">SMALL($O$3:$V$3,4)</f>
        <v>99999</v>
      </c>
      <c r="V4" s="1"/>
      <c r="W4" s="586" t="str">
        <f ca="1">IFERROR(INDEX($O$17:$V$25,ROW(A1),$W$3),"")</f>
        <v/>
      </c>
      <c r="X4" s="587" t="str">
        <f ca="1">INDEX($W$4:$W$12,MATCH(ROW(A1),$AA$4:$AA$12,0))</f>
        <v>SSV Wildbach</v>
      </c>
      <c r="Y4" s="588">
        <f ca="1">IF($W4="",99999,VLOOKUP($W4,$C$17:$Z$25,24,0))</f>
        <v>99999</v>
      </c>
      <c r="Z4" s="589">
        <f ca="1">RANK(Y4,Y$4:Y$12,1)+INDEX($E$4:$E$12,MATCH(W4,$F$4:$F$12,0))/100+ROW()/10000</f>
        <v>3.0604</v>
      </c>
      <c r="AA4" s="590">
        <f ca="1">RANK($Z4,$Z$4:$Z$12,1)</f>
        <v>3</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5</v>
      </c>
      <c r="AT4" s="1">
        <f ca="1">SUMPRODUCT(($V$64:$V$135=F4)*$AJ$64:$AJ$135)+SUMPRODUCT(($W$64:$W$135=F4)*$AK$64:$AK$135)</f>
        <v>3</v>
      </c>
      <c r="AU4" s="1">
        <f ca="1">AT4-AS4</f>
        <v>-2</v>
      </c>
      <c r="AV4" s="1">
        <f ca="1">IF(Einstellungen!$G$24,$I4,ROUND($I4,Einstellungen!$H$24))</f>
        <v>-23</v>
      </c>
      <c r="AW4" s="1">
        <f ca="1">I4-(F4="")*10000</f>
        <v>-23</v>
      </c>
      <c r="AX4" s="1">
        <f ca="1" xml:space="preserve"> RANK(AW4,$AW$4:$AW$12,1)</f>
        <v>7</v>
      </c>
    </row>
    <row r="5" spans="1:50" s="2" customFormat="1" x14ac:dyDescent="0.2">
      <c r="A5" s="238"/>
      <c r="B5" s="1">
        <v>2</v>
      </c>
      <c r="C5" s="22">
        <f t="shared" ref="C5:C12" ca="1" si="7">RANK(D5,$D$4:$D$12,1)</f>
        <v>1</v>
      </c>
      <c r="D5" s="778">
        <f t="shared" ref="D5:D12" ca="1" si="8">E5+ROW()/1000+(F5="")*10</f>
        <v>1.0049999999999999</v>
      </c>
      <c r="E5" s="249">
        <f t="shared" ref="E5:E12" ca="1" si="9">IF($AI$15,RANK(AH18,AH$17:AH$25,1),RANK(X18,X$17:X$25,1))</f>
        <v>1</v>
      </c>
      <c r="F5" s="1" t="str">
        <f t="shared" ref="F5:F12" si="10">$Q65</f>
        <v>Inter Mailand</v>
      </c>
      <c r="G5" s="1">
        <f t="shared" ca="1" si="1"/>
        <v>194</v>
      </c>
      <c r="H5" s="1">
        <f t="shared" ca="1" si="2"/>
        <v>152</v>
      </c>
      <c r="I5" s="778">
        <f ca="1">IF(Einstellungen!$G$24,G5-H5,IF(H5=0,IF(G5=0,0,Einstellungen!$F$24),G5/H5))</f>
        <v>42</v>
      </c>
      <c r="J5" s="1">
        <f ca="1">$L5*Einstellungen!$C$4+$M5</f>
        <v>7</v>
      </c>
      <c r="K5" s="1">
        <f t="shared" ref="K5:K12" ca="1" si="11">SUMPRODUCT(($V$64:$V$135=F5)*($AJ$64:$AJ$135&lt;&gt;"")*$AA$64:$AA$135)+SUMPRODUCT(($W$64:$W$135=F5)*($AK$64:$AK$135&lt;&gt;"")*$AA$64:$AA$135)</f>
        <v>4</v>
      </c>
      <c r="L5" s="1">
        <f t="shared" ref="L5:L12" ca="1" si="12">SUMPRODUCT(($V$64:$V$135=F5)*($AJ$64:$AJ$135&gt;$AK$64:$AK$135)*$AA$64:$AA$135)+SUMPRODUCT(($W$64:$W$135=F5)*($AJ$64:$AJ$135&lt;$AK$64:$AK$135)*$AA$64:$AA$135)</f>
        <v>3</v>
      </c>
      <c r="M5" s="1">
        <f t="shared" ca="1" si="3"/>
        <v>1</v>
      </c>
      <c r="N5" s="1">
        <f t="shared" ref="N5:N12" ca="1" si="13">K5-L5-M5</f>
        <v>0</v>
      </c>
      <c r="O5" s="24"/>
      <c r="P5" s="25"/>
      <c r="V5" s="1"/>
      <c r="W5" s="591" t="str">
        <f t="shared" ref="W5:W12" ca="1" si="14">IFERROR(INDEX($O$17:$V$25,ROW(A2),$W$3),"")</f>
        <v/>
      </c>
      <c r="X5" s="592" t="str">
        <f t="shared" ref="X5:X12" ca="1" si="15">INDEX($W$4:$W$12,MATCH(ROW(A2),$AA$4:$AA$12,0))</f>
        <v>FC Grönlingen</v>
      </c>
      <c r="Y5" s="589">
        <f t="shared" ref="Y5:Y12" ca="1" si="16">IF($W5="",99999,VLOOKUP($W5,$C$17:$Z$25,24,0))</f>
        <v>99999</v>
      </c>
      <c r="Z5" s="589">
        <f ca="1">RANK(Y5,Y$4:Y$12,1)+INDEX($E$4:$E$12,MATCH(W5,$F$4:$F$12,0))/100+ROW()/10000</f>
        <v>3.0605000000000002</v>
      </c>
      <c r="AA5" s="594">
        <f t="shared" ref="AA5:AA12" ca="1" si="17">RANK($Z5,$Z$4:$Z$12,1)</f>
        <v>4</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1</v>
      </c>
      <c r="AT5" s="1">
        <f t="shared" ref="AT5:AT12" ca="1" si="28">SUMPRODUCT(($V$64:$V$135=F5)*$AJ$64:$AJ$135)+SUMPRODUCT(($W$64:$W$135=F5)*$AK$64:$AK$135)</f>
        <v>7</v>
      </c>
      <c r="AU5" s="1">
        <f t="shared" ref="AU5:AU12" ca="1" si="29">AT5-AS5</f>
        <v>6</v>
      </c>
      <c r="AV5" s="1">
        <f ca="1">IF(Einstellungen!$G$24,$I5,ROUND($I5,Einstellungen!$H$24))</f>
        <v>42</v>
      </c>
      <c r="AW5" s="1">
        <f t="shared" ref="AW5:AW12" ca="1" si="30">I5-(F5="")*10000</f>
        <v>42</v>
      </c>
      <c r="AX5" s="1">
        <f t="shared" ref="AX5:AX12" ca="1" si="31" xml:space="preserve"> RANK(AW5,$AW$4:$AW$12,1)</f>
        <v>9</v>
      </c>
    </row>
    <row r="6" spans="1:50" s="2" customFormat="1" x14ac:dyDescent="0.2">
      <c r="A6" s="238"/>
      <c r="B6" s="1">
        <v>3</v>
      </c>
      <c r="C6" s="22">
        <f t="shared" ca="1" si="7"/>
        <v>4</v>
      </c>
      <c r="D6" s="778">
        <f t="shared" ca="1" si="8"/>
        <v>4.0060000000000002</v>
      </c>
      <c r="E6" s="249">
        <f t="shared" ca="1" si="9"/>
        <v>4</v>
      </c>
      <c r="F6" s="1" t="str">
        <f t="shared" si="10"/>
        <v>SSV Wildbach</v>
      </c>
      <c r="G6" s="1">
        <f t="shared" ca="1" si="1"/>
        <v>160</v>
      </c>
      <c r="H6" s="1">
        <f t="shared" ca="1" si="2"/>
        <v>185</v>
      </c>
      <c r="I6" s="778">
        <f ca="1">IF(Einstellungen!$G$24,G6-H6,IF(H6=0,IF(G6=0,0,Einstellungen!$F$24),G6/H6))</f>
        <v>-25</v>
      </c>
      <c r="J6" s="1">
        <f ca="1">$L6*Einstellungen!$C$4+$M6</f>
        <v>2</v>
      </c>
      <c r="K6" s="1">
        <f t="shared" ca="1" si="11"/>
        <v>4</v>
      </c>
      <c r="L6" s="1">
        <f t="shared" ca="1" si="12"/>
        <v>0</v>
      </c>
      <c r="M6" s="1">
        <f t="shared" ca="1" si="3"/>
        <v>2</v>
      </c>
      <c r="N6" s="1">
        <f t="shared" ca="1" si="13"/>
        <v>2</v>
      </c>
      <c r="O6" s="24"/>
      <c r="P6" s="25"/>
      <c r="V6" s="1"/>
      <c r="W6" s="591" t="str">
        <f t="shared" ca="1" si="14"/>
        <v>SSV Wildbach</v>
      </c>
      <c r="X6" s="592" t="str">
        <f t="shared" ca="1" si="15"/>
        <v/>
      </c>
      <c r="Y6" s="589">
        <f t="shared" ca="1" si="16"/>
        <v>1.9</v>
      </c>
      <c r="Z6" s="589">
        <f ca="1">RANK(Y6,Y$4:Y$12,1)+INDEX($E$4:$E$12,MATCH(W6,$F$4:$F$12,0))/100+ROW()/10000</f>
        <v>1.0406</v>
      </c>
      <c r="AA6" s="594">
        <f t="shared" ca="1" si="17"/>
        <v>1</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6</v>
      </c>
      <c r="AT6" s="1">
        <f t="shared" ca="1" si="28"/>
        <v>2</v>
      </c>
      <c r="AU6" s="1">
        <f t="shared" ca="1" si="29"/>
        <v>-4</v>
      </c>
      <c r="AV6" s="1">
        <f ca="1">IF(Einstellungen!$G$24,$I6,ROUND($I6,Einstellungen!$H$24))</f>
        <v>-25</v>
      </c>
      <c r="AW6" s="1">
        <f t="shared" ca="1" si="30"/>
        <v>-25</v>
      </c>
      <c r="AX6" s="1">
        <f t="shared" ca="1" si="31"/>
        <v>5</v>
      </c>
    </row>
    <row r="7" spans="1:50" s="2" customFormat="1" x14ac:dyDescent="0.2">
      <c r="A7" s="238"/>
      <c r="B7" s="1">
        <v>4</v>
      </c>
      <c r="C7" s="22">
        <f t="shared" ca="1" si="7"/>
        <v>2</v>
      </c>
      <c r="D7" s="778">
        <f t="shared" ca="1" si="8"/>
        <v>2.0070000000000001</v>
      </c>
      <c r="E7" s="249">
        <f t="shared" ca="1" si="9"/>
        <v>2</v>
      </c>
      <c r="F7" s="1" t="str">
        <f t="shared" si="10"/>
        <v>Manchester City</v>
      </c>
      <c r="G7" s="1">
        <f t="shared" ca="1" si="1"/>
        <v>185</v>
      </c>
      <c r="H7" s="1">
        <f t="shared" ca="1" si="2"/>
        <v>154</v>
      </c>
      <c r="I7" s="778">
        <f ca="1">IF(Einstellungen!$G$24,G7-H7,IF(H7=0,IF(G7=0,0,Einstellungen!$F$24),G7/H7))</f>
        <v>31</v>
      </c>
      <c r="J7" s="1">
        <f ca="1">$L7*Einstellungen!$C$4+$M7</f>
        <v>6</v>
      </c>
      <c r="K7" s="1">
        <f t="shared" ca="1" si="11"/>
        <v>4</v>
      </c>
      <c r="L7" s="1">
        <f t="shared" ca="1" si="12"/>
        <v>2</v>
      </c>
      <c r="M7" s="1">
        <f t="shared" ca="1" si="3"/>
        <v>2</v>
      </c>
      <c r="N7" s="1">
        <f t="shared" ca="1" si="13"/>
        <v>0</v>
      </c>
      <c r="O7" s="24"/>
      <c r="P7" s="25"/>
      <c r="V7" s="1"/>
      <c r="W7" s="591" t="str">
        <f t="shared" ca="1" si="14"/>
        <v/>
      </c>
      <c r="X7" s="592" t="str">
        <f t="shared" ca="1" si="15"/>
        <v/>
      </c>
      <c r="Y7" s="589">
        <f t="shared" ca="1" si="16"/>
        <v>99999</v>
      </c>
      <c r="Z7" s="589">
        <f ca="1">RANK(Y7,Y$4:Y$12,1)+INDEX($E$4:$E$12,MATCH(W7,$F$4:$F$12,0))/100+ROW()/10000</f>
        <v>3.0607000000000002</v>
      </c>
      <c r="AA7" s="594">
        <f t="shared" ca="1" si="17"/>
        <v>5</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2</v>
      </c>
      <c r="AT7" s="1">
        <f t="shared" ca="1" si="28"/>
        <v>6</v>
      </c>
      <c r="AU7" s="1">
        <f t="shared" ca="1" si="29"/>
        <v>4</v>
      </c>
      <c r="AV7" s="1">
        <f ca="1">IF(Einstellungen!$G$24,$I7,ROUND($I7,Einstellungen!$H$24))</f>
        <v>31</v>
      </c>
      <c r="AW7" s="1">
        <f t="shared" ca="1" si="30"/>
        <v>31</v>
      </c>
      <c r="AX7" s="1">
        <f t="shared" ca="1" si="31"/>
        <v>8</v>
      </c>
    </row>
    <row r="8" spans="1:50" s="2" customFormat="1" x14ac:dyDescent="0.2">
      <c r="A8" s="238"/>
      <c r="B8" s="1">
        <v>5</v>
      </c>
      <c r="C8" s="22">
        <f t="shared" ca="1" si="7"/>
        <v>5</v>
      </c>
      <c r="D8" s="778">
        <f t="shared" ca="1" si="8"/>
        <v>5.008</v>
      </c>
      <c r="E8" s="249">
        <f t="shared" ca="1" si="9"/>
        <v>5</v>
      </c>
      <c r="F8" s="1" t="str">
        <f t="shared" si="10"/>
        <v>FC Grönlingen</v>
      </c>
      <c r="G8" s="1">
        <f t="shared" ca="1" si="1"/>
        <v>158</v>
      </c>
      <c r="H8" s="1">
        <f t="shared" ca="1" si="2"/>
        <v>183</v>
      </c>
      <c r="I8" s="778">
        <f ca="1">IF(Einstellungen!$G$24,G8-H8,IF(H8=0,IF(G8=0,0,Einstellungen!$F$24),G8/H8))</f>
        <v>-25</v>
      </c>
      <c r="J8" s="1">
        <f ca="1">$L8*Einstellungen!$C$4+$M8</f>
        <v>2</v>
      </c>
      <c r="K8" s="1">
        <f t="shared" ca="1" si="11"/>
        <v>4</v>
      </c>
      <c r="L8" s="1">
        <f t="shared" ca="1" si="12"/>
        <v>0</v>
      </c>
      <c r="M8" s="1">
        <f t="shared" ca="1" si="3"/>
        <v>2</v>
      </c>
      <c r="N8" s="1">
        <f t="shared" ca="1" si="13"/>
        <v>2</v>
      </c>
      <c r="P8" s="25"/>
      <c r="W8" s="591" t="str">
        <f t="shared" ca="1" si="14"/>
        <v>FC Grönlingen</v>
      </c>
      <c r="X8" s="592" t="str">
        <f t="shared" ca="1" si="15"/>
        <v/>
      </c>
      <c r="Y8" s="589">
        <f t="shared" ca="1" si="16"/>
        <v>2.9</v>
      </c>
      <c r="Z8" s="589">
        <f t="shared" ref="Z8:Z12" ca="1" si="32">RANK(Y8,Y$4:Y$12,1)+INDEX($E$4:$E$12,MATCH(W8,$F$4:$F$12,0))/100+ROW()/10000</f>
        <v>2.0507999999999997</v>
      </c>
      <c r="AA8" s="594">
        <f t="shared" ca="1" si="17"/>
        <v>2</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6</v>
      </c>
      <c r="AT8" s="1">
        <f t="shared" ca="1" si="28"/>
        <v>2</v>
      </c>
      <c r="AU8" s="1">
        <f t="shared" ca="1" si="29"/>
        <v>-4</v>
      </c>
      <c r="AV8" s="1">
        <f ca="1">IF(Einstellungen!$G$24,$I8,ROUND($I8,Einstellungen!$H$24))</f>
        <v>-25</v>
      </c>
      <c r="AW8" s="1">
        <f t="shared" ca="1" si="30"/>
        <v>-25</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IF(Einstellungen!$G$24,G9-H9,IF(H9=0,IF(G9=0,0,Einstellungen!$F$24),G9/H9))</f>
        <v>0</v>
      </c>
      <c r="J9" s="1">
        <f ca="1">$L9*Einstellungen!$C$4+$M9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3.0609000000000002</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IF(Einstellungen!$G$24,$I9,ROUND($I9,Einstellungen!$H$24))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IF(Einstellungen!$G$24,G10-H10,IF(H10=0,IF(G10=0,0,Einstellungen!$F$24),G10/H10))</f>
        <v>0</v>
      </c>
      <c r="J10" s="1">
        <f ca="1">$L10*Einstellungen!$C$4+$M10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3.0609999999999999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IF(Einstellungen!$G$24,$I10,ROUND($I10,Einstellungen!$H$24))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IF(Einstellungen!$G$24,G11-H11,IF(H11=0,IF(G11=0,0,Einstellungen!$F$24),G11/H11))</f>
        <v>0</v>
      </c>
      <c r="J11" s="1">
        <f ca="1">$L11*Einstellungen!$C$4+$M11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3.0611000000000002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IF(Einstellungen!$G$24,$I11,ROUND($I11,Einstellungen!$H$24))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IF(Einstellungen!$G$24,G12-H12,IF(H12=0,IF(G12=0,0,Einstellungen!$F$24),G12/H12))</f>
        <v>0</v>
      </c>
      <c r="J12" s="1">
        <f ca="1">$L12*Einstellungen!$C$4+$M12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3.0611999999999999</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IF(Einstellungen!$G$24,$I12,ROUND($I12,Einstellungen!$H$24))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447</v>
      </c>
      <c r="L16" s="11" t="s">
        <v>380</v>
      </c>
      <c r="M16" s="69" t="s">
        <v>96</v>
      </c>
      <c r="N16" s="69" t="s">
        <v>14</v>
      </c>
      <c r="O16" s="30">
        <v>1</v>
      </c>
      <c r="P16" s="1">
        <v>2</v>
      </c>
      <c r="Q16" s="1">
        <v>3</v>
      </c>
      <c r="R16" s="1">
        <v>4</v>
      </c>
      <c r="S16" s="1">
        <v>5</v>
      </c>
      <c r="T16" s="1">
        <v>6</v>
      </c>
      <c r="U16" s="1">
        <v>7</v>
      </c>
      <c r="V16" s="1">
        <v>8</v>
      </c>
      <c r="W16" s="11" t="s">
        <v>98</v>
      </c>
      <c r="X16" s="186" t="s">
        <v>163</v>
      </c>
      <c r="Y16" s="11" t="s">
        <v>450</v>
      </c>
      <c r="Z16" s="186" t="s">
        <v>451</v>
      </c>
      <c r="AA16" s="1" t="s">
        <v>371</v>
      </c>
      <c r="AB16" s="1" t="s">
        <v>108</v>
      </c>
      <c r="AC16" s="1" t="s">
        <v>106</v>
      </c>
      <c r="AD16" s="783" t="s">
        <v>452</v>
      </c>
      <c r="AE16" s="779"/>
      <c r="AF16" s="778"/>
      <c r="AG16" s="778"/>
      <c r="AH16" s="780"/>
      <c r="AI16" s="4"/>
    </row>
    <row r="17" spans="2:80" s="2" customFormat="1" ht="12.75" thickTop="1" x14ac:dyDescent="0.2">
      <c r="C17" s="2" t="str">
        <f>$Q64</f>
        <v>Mainz 05</v>
      </c>
      <c r="D17" s="1">
        <f t="shared" ref="D17:G25" ca="1" si="36">K4</f>
        <v>4</v>
      </c>
      <c r="E17" s="1">
        <f t="shared" ca="1" si="36"/>
        <v>1</v>
      </c>
      <c r="F17" s="1">
        <f t="shared" ca="1" si="36"/>
        <v>1</v>
      </c>
      <c r="G17" s="1">
        <f t="shared" ca="1" si="36"/>
        <v>2</v>
      </c>
      <c r="H17" s="1">
        <f t="shared" ref="H17:J25" ca="1" si="37">G4</f>
        <v>149</v>
      </c>
      <c r="I17" s="1">
        <f t="shared" ca="1" si="37"/>
        <v>172</v>
      </c>
      <c r="J17" s="778">
        <f t="shared" ca="1" si="37"/>
        <v>-23</v>
      </c>
      <c r="K17" s="1">
        <f ca="1">IF(Einstellungen!$G$9,J4,$AT4)</f>
        <v>3</v>
      </c>
      <c r="L17" s="29">
        <f ca="1">K17*$F$64+(AU4+$H$65)*$F$65*Einstellungen!$G$14+AT4*$F$66*Einstellungen!$G$19+AX4*$F$67</f>
        <v>3000000.0070000002</v>
      </c>
      <c r="M17" s="14">
        <f ca="1">IF($AI$15,COUNTIF($K$17:$K$25,K17),COUNTIF($L$17:$L$25,L17))</f>
        <v>1</v>
      </c>
      <c r="N17" s="14">
        <f t="array" aca="1" ref="N17" ca="1">IF($AI$15,SUM(($K$17:$K$25&gt;=K17)/COUNTIF($K$17:$K$25,$K$17:$K$25)),SUM(($L$17:$L$25&gt;=L17)/COUNTIF($L$17:$L$25,$L$17:$L$25)))</f>
        <v>3</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3.0308999999999999</v>
      </c>
      <c r="Y17" s="778">
        <f>Vorrunde!$AX22+$AD17</f>
        <v>0</v>
      </c>
      <c r="Z17" s="1">
        <f ca="1">RANK($W17,$W$17:$W$25)+(9-$Y17)/10</f>
        <v>3.9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Inter Mailand</v>
      </c>
      <c r="D18" s="1">
        <f t="shared" ca="1" si="36"/>
        <v>4</v>
      </c>
      <c r="E18" s="1">
        <f t="shared" ca="1" si="36"/>
        <v>3</v>
      </c>
      <c r="F18" s="1">
        <f t="shared" ca="1" si="36"/>
        <v>1</v>
      </c>
      <c r="G18" s="1">
        <f t="shared" ca="1" si="36"/>
        <v>0</v>
      </c>
      <c r="H18" s="1">
        <f t="shared" ca="1" si="37"/>
        <v>194</v>
      </c>
      <c r="I18" s="1">
        <f t="shared" ca="1" si="37"/>
        <v>152</v>
      </c>
      <c r="J18" s="778">
        <f t="shared" ca="1" si="37"/>
        <v>42</v>
      </c>
      <c r="K18" s="1">
        <f ca="1">IF(Einstellungen!$G$9,J5,$AT5)</f>
        <v>7</v>
      </c>
      <c r="L18" s="29">
        <f ca="1">K18*$F$64+(AU5+$H$65)*$F$65*Einstellungen!$G$14+AT5*$F$66*Einstellungen!$G$19+AX5*$F$67</f>
        <v>7000000.0089999996</v>
      </c>
      <c r="M18" s="14">
        <f t="shared" ref="M18:M25" ca="1" si="47">IF($AI$15,COUNTIF($K$17:$K$25,K18),COUNTIF($L$17:$L$25,L18))</f>
        <v>1</v>
      </c>
      <c r="N18" s="14">
        <f t="array" aca="1" ref="N18" ca="1">IF($AI$15,SUM(($K$17:$K$25&gt;=K18)/COUNTIF($K$17:$K$25,$K$17:$K$25)),SUM(($L$17:$L$25&gt;=L18)/COUNTIF($L$17:$L$25,$L$17:$L$25)))</f>
        <v>1</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1.0308999999999999</v>
      </c>
      <c r="Y18" s="827">
        <f>Vorrunde!$AX23+$AD18</f>
        <v>0</v>
      </c>
      <c r="Z18" s="1">
        <f t="shared" ref="Z18:Z25" ca="1" si="50">RANK($W18,$W$17:$W$25)+(9-$Y18)/10</f>
        <v>3.9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SSV Wildbach</v>
      </c>
      <c r="D19" s="1">
        <f t="shared" ca="1" si="36"/>
        <v>4</v>
      </c>
      <c r="E19" s="1">
        <f t="shared" ca="1" si="36"/>
        <v>0</v>
      </c>
      <c r="F19" s="1">
        <f t="shared" ca="1" si="36"/>
        <v>2</v>
      </c>
      <c r="G19" s="1">
        <f t="shared" ca="1" si="36"/>
        <v>2</v>
      </c>
      <c r="H19" s="1">
        <f t="shared" ca="1" si="37"/>
        <v>160</v>
      </c>
      <c r="I19" s="1">
        <f t="shared" ca="1" si="37"/>
        <v>185</v>
      </c>
      <c r="J19" s="778">
        <f t="shared" ca="1" si="37"/>
        <v>-25</v>
      </c>
      <c r="K19" s="1">
        <f ca="1">IF(Einstellungen!$G$9,J6,$AT6)</f>
        <v>2</v>
      </c>
      <c r="L19" s="29">
        <f ca="1">K19*$F$64+(AU6+$H$65)*$F$65*Einstellungen!$G$14+AT6*$F$66*Einstellungen!$G$19+AX6*$F$67</f>
        <v>2000000.0049999999</v>
      </c>
      <c r="M19" s="14">
        <f t="shared" ca="1" si="47"/>
        <v>2</v>
      </c>
      <c r="N19" s="14">
        <f t="array" aca="1" ref="N19" ca="1">IF($AI$15,SUM(($K$17:$K$25&gt;=K19)/COUNTIF($K$17:$K$25,$K$17:$K$25)),SUM(($L$17:$L$25&gt;=L19)/COUNTIF($L$17:$L$25,$L$17:$L$25)))</f>
        <v>4</v>
      </c>
      <c r="O19" s="6" t="str">
        <f t="shared" ca="1" si="38"/>
        <v/>
      </c>
      <c r="P19" s="4" t="str">
        <f t="shared" ca="1" si="39"/>
        <v/>
      </c>
      <c r="Q19" s="4" t="str">
        <f t="shared" ca="1" si="40"/>
        <v/>
      </c>
      <c r="R19" s="4" t="str">
        <f t="shared" ca="1" si="41"/>
        <v>SSV Wildbach</v>
      </c>
      <c r="S19" s="4" t="str">
        <f t="shared" ca="1" si="42"/>
        <v/>
      </c>
      <c r="T19" s="4" t="str">
        <f t="shared" ca="1" si="43"/>
        <v/>
      </c>
      <c r="U19" s="4" t="str">
        <f t="shared" ca="1" si="44"/>
        <v/>
      </c>
      <c r="V19" s="55" t="str">
        <f t="shared" ca="1" si="45"/>
        <v/>
      </c>
      <c r="W19" s="62">
        <f t="shared" ca="1" si="48"/>
        <v>1502000</v>
      </c>
      <c r="X19" s="22">
        <f t="shared" ca="1" si="49"/>
        <v>4.0108999999999995</v>
      </c>
      <c r="Y19" s="827">
        <f>Vorrunde!$AX24+$AD19</f>
        <v>0</v>
      </c>
      <c r="Z19" s="1">
        <f t="shared" ca="1" si="50"/>
        <v>1.9</v>
      </c>
      <c r="AA19" s="1">
        <f t="shared" ca="1" si="51"/>
        <v>1</v>
      </c>
      <c r="AB19" s="1">
        <f t="shared" ca="1" si="52"/>
        <v>2</v>
      </c>
      <c r="AC19" s="1">
        <f t="shared" ca="1" si="53"/>
        <v>44</v>
      </c>
      <c r="AD19" s="778">
        <f>IF($C19="",0,COUNTIF(Playoffs!$U$12:$U$17,$C19))</f>
        <v>0</v>
      </c>
      <c r="AE19" s="29"/>
      <c r="AF19" s="778"/>
      <c r="AG19" s="778"/>
      <c r="AH19" s="781"/>
      <c r="AI19" s="778"/>
    </row>
    <row r="20" spans="2:80" s="2" customFormat="1" x14ac:dyDescent="0.2">
      <c r="C20" s="2" t="str">
        <f t="shared" si="46"/>
        <v>Manchester City</v>
      </c>
      <c r="D20" s="1">
        <f t="shared" ca="1" si="36"/>
        <v>4</v>
      </c>
      <c r="E20" s="1">
        <f t="shared" ca="1" si="36"/>
        <v>2</v>
      </c>
      <c r="F20" s="1">
        <f t="shared" ca="1" si="36"/>
        <v>2</v>
      </c>
      <c r="G20" s="1">
        <f t="shared" ca="1" si="36"/>
        <v>0</v>
      </c>
      <c r="H20" s="1">
        <f t="shared" ca="1" si="37"/>
        <v>185</v>
      </c>
      <c r="I20" s="1">
        <f t="shared" ca="1" si="37"/>
        <v>154</v>
      </c>
      <c r="J20" s="778">
        <f t="shared" ca="1" si="37"/>
        <v>31</v>
      </c>
      <c r="K20" s="1">
        <f ca="1">IF(Einstellungen!$G$9,J7,$AT7)</f>
        <v>6</v>
      </c>
      <c r="L20" s="29">
        <f ca="1">K20*$F$64+(AU7+$H$65)*$F$65*Einstellungen!$G$14+AT7*$F$66*Einstellungen!$G$19+AX7*$F$67</f>
        <v>6000000.0080000004</v>
      </c>
      <c r="M20" s="14">
        <f t="shared" ca="1" si="47"/>
        <v>1</v>
      </c>
      <c r="N20" s="14">
        <f t="array" aca="1" ref="N20" ca="1">IF($AI$15,SUM(($K$17:$K$25&gt;=K20)/COUNTIF($K$17:$K$25,$K$17:$K$25)),SUM(($L$17:$L$25&gt;=L20)/COUNTIF($L$17:$L$25,$L$17:$L$25)))</f>
        <v>2</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2.0308999999999999</v>
      </c>
      <c r="Y20" s="827">
        <f>Vorrunde!$AX25+$AD20</f>
        <v>0</v>
      </c>
      <c r="Z20" s="1">
        <f t="shared" ca="1" si="50"/>
        <v>3.9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FC Grönlingen</v>
      </c>
      <c r="D21" s="1">
        <f t="shared" ca="1" si="36"/>
        <v>4</v>
      </c>
      <c r="E21" s="1">
        <f t="shared" ca="1" si="36"/>
        <v>0</v>
      </c>
      <c r="F21" s="1">
        <f t="shared" ca="1" si="36"/>
        <v>2</v>
      </c>
      <c r="G21" s="1">
        <f t="shared" ca="1" si="36"/>
        <v>2</v>
      </c>
      <c r="H21" s="1">
        <f t="shared" ca="1" si="37"/>
        <v>158</v>
      </c>
      <c r="I21" s="1">
        <f t="shared" ca="1" si="37"/>
        <v>183</v>
      </c>
      <c r="J21" s="778">
        <f t="shared" ca="1" si="37"/>
        <v>-25</v>
      </c>
      <c r="K21" s="1">
        <f ca="1">IF(Einstellungen!$G$9,J8,$AT8)</f>
        <v>2</v>
      </c>
      <c r="L21" s="29">
        <f ca="1">K21*$F$64+(AU8+$H$65)*$F$65*Einstellungen!$G$14+AT8*$F$66*Einstellungen!$G$19+AX8*$F$67</f>
        <v>2000000.0049999999</v>
      </c>
      <c r="M21" s="14">
        <f t="shared" ca="1" si="47"/>
        <v>2</v>
      </c>
      <c r="N21" s="14">
        <f t="array" aca="1" ref="N21" ca="1">IF($AI$15,SUM(($K$17:$K$25&gt;=K21)/COUNTIF($K$17:$K$25,$K$17:$K$25)),SUM(($L$17:$L$25&gt;=L21)/COUNTIF($L$17:$L$25,$L$17:$L$25)))</f>
        <v>4</v>
      </c>
      <c r="O21" s="6" t="str">
        <f t="shared" ca="1" si="38"/>
        <v/>
      </c>
      <c r="P21" s="4" t="str">
        <f t="shared" ca="1" si="39"/>
        <v/>
      </c>
      <c r="Q21" s="4" t="str">
        <f t="shared" ca="1" si="40"/>
        <v/>
      </c>
      <c r="R21" s="4" t="str">
        <f t="shared" ca="1" si="41"/>
        <v>FC Grönlingen</v>
      </c>
      <c r="S21" s="4" t="str">
        <f t="shared" ca="1" si="42"/>
        <v/>
      </c>
      <c r="T21" s="4" t="str">
        <f t="shared" ca="1" si="43"/>
        <v/>
      </c>
      <c r="U21" s="4" t="str">
        <f t="shared" ca="1" si="44"/>
        <v/>
      </c>
      <c r="V21" s="55" t="str">
        <f t="shared" ca="1" si="45"/>
        <v/>
      </c>
      <c r="W21" s="62">
        <f t="shared" ca="1" si="48"/>
        <v>1498000</v>
      </c>
      <c r="X21" s="22">
        <f t="shared" ca="1" si="49"/>
        <v>4.0208999999999993</v>
      </c>
      <c r="Y21" s="827">
        <f>Vorrunde!$AX26+$AD21</f>
        <v>0</v>
      </c>
      <c r="Z21" s="1">
        <f t="shared" ca="1" si="50"/>
        <v>2.9</v>
      </c>
      <c r="AA21" s="1">
        <f t="shared" ca="1" si="51"/>
        <v>1</v>
      </c>
      <c r="AB21" s="1">
        <f t="shared" ca="1" si="52"/>
        <v>-2</v>
      </c>
      <c r="AC21" s="1">
        <f t="shared" ca="1" si="53"/>
        <v>42</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IF(Einstellungen!$G$9,J9,$AT9)</f>
        <v>0</v>
      </c>
      <c r="L22" s="29">
        <f ca="1">K22*$F$64+(AU9+$H$65)*$F$65*Einstellungen!$G$14+AT9*$F$66*Einstellungen!$G$19+AX9*$F$67</f>
        <v>1E-3</v>
      </c>
      <c r="M22" s="14">
        <f t="shared" ca="1" si="47"/>
        <v>4</v>
      </c>
      <c r="N22" s="14">
        <f t="array" aca="1" ref="N22" ca="1">IF($AI$15,SUM(($K$17:$K$25&gt;=K22)/COUNTIF($K$17:$K$25,$K$17:$K$25)),SUM(($L$17:$L$25&gt;=L22)/COUNTIF($L$17:$L$25,$L$17:$L$25)))</f>
        <v>5</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106.0309</v>
      </c>
      <c r="Y22" s="827">
        <f>Vorrunde!$AX27+$AD22</f>
        <v>0</v>
      </c>
      <c r="Z22" s="1">
        <f t="shared" ca="1" si="50"/>
        <v>3.9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IF(Einstellungen!$G$9,J10,$AT10)</f>
        <v>0</v>
      </c>
      <c r="L23" s="29">
        <f ca="1">K23*$F$64+(AU10+$H$65)*$F$65*Einstellungen!$G$14+AT10*$F$66*Einstellungen!$G$19+AX10*$F$67</f>
        <v>1E-3</v>
      </c>
      <c r="M23" s="14">
        <f t="shared" ca="1" si="47"/>
        <v>4</v>
      </c>
      <c r="N23" s="14">
        <f t="array" aca="1" ref="N23" ca="1">IF($AI$15,SUM(($K$17:$K$25&gt;=K23)/COUNTIF($K$17:$K$25,$K$17:$K$25)),SUM(($L$17:$L$25&gt;=L23)/COUNTIF($L$17:$L$25,$L$17:$L$25)))</f>
        <v>5</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106.0309</v>
      </c>
      <c r="Y23" s="778">
        <v>0</v>
      </c>
      <c r="Z23" s="1">
        <f t="shared" ca="1" si="50"/>
        <v>3.9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IF(Einstellungen!$G$9,J11,$AT11)</f>
        <v>0</v>
      </c>
      <c r="L24" s="29">
        <f ca="1">K24*$F$64+(AU11+$H$65)*$F$65*Einstellungen!$G$14+AT11*$F$66*Einstellungen!$G$19+AX11*$F$67</f>
        <v>1E-3</v>
      </c>
      <c r="M24" s="14">
        <f t="shared" ca="1" si="47"/>
        <v>4</v>
      </c>
      <c r="N24" s="14">
        <f t="array" aca="1" ref="N24" ca="1">IF($AI$15,SUM(($K$17:$K$25&gt;=K24)/COUNTIF($K$17:$K$25,$K$17:$K$25)),SUM(($L$17:$L$25&gt;=L24)/COUNTIF($L$17:$L$25,$L$17:$L$25)))</f>
        <v>5</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106.0309</v>
      </c>
      <c r="Y24" s="823">
        <v>0</v>
      </c>
      <c r="Z24" s="1">
        <f t="shared" ca="1" si="50"/>
        <v>3.9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IF(Einstellungen!$G$9,J12,$AT12)</f>
        <v>0</v>
      </c>
      <c r="L25" s="29">
        <f ca="1">K25*$F$64+(AU12+$H$65)*$F$65*Einstellungen!$G$14+AT12*$F$66*Einstellungen!$G$19+AX12*$F$67</f>
        <v>1E-3</v>
      </c>
      <c r="M25" s="14">
        <f t="shared" ca="1" si="47"/>
        <v>4</v>
      </c>
      <c r="N25" s="14">
        <f t="array" aca="1" ref="N25" ca="1">IF($AI$15,SUM(($K$17:$K$25&gt;=K25)/COUNTIF($K$17:$K$25,$K$17:$K$25)),SUM(($L$17:$L$25&gt;=L25)/COUNTIF($L$17:$L$25,$L$17:$L$25)))</f>
        <v>5</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106.0309</v>
      </c>
      <c r="Y25" s="823">
        <v>0</v>
      </c>
      <c r="Z25" s="1">
        <f t="shared" ca="1" si="50"/>
        <v>3.9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444</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778"/>
      <c r="BR29" s="5" t="s">
        <v>94</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1"/>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Mainz 05</v>
      </c>
      <c r="BS30" s="7"/>
      <c r="BT30" s="8">
        <f t="shared" ref="BT30:CA30" ca="1" si="55">SUMIFS($AH$64:$AH$135,$V$64:$V$135,$BR30,$W$64:$W$135,BT$29)+SUMIFS($AI$64:$AI$135,$W$64:$W$135,$BR30,$V$64:$V$135,BT$29)</f>
        <v>33</v>
      </c>
      <c r="BU30" s="8">
        <f t="shared" ca="1" si="55"/>
        <v>43</v>
      </c>
      <c r="BV30" s="8">
        <f t="shared" ca="1" si="55"/>
        <v>23</v>
      </c>
      <c r="BW30" s="8">
        <f t="shared" ca="1" si="55"/>
        <v>50</v>
      </c>
      <c r="BX30" s="8">
        <f t="shared" ca="1" si="55"/>
        <v>0</v>
      </c>
      <c r="BY30" s="8">
        <f t="shared" ca="1" si="55"/>
        <v>0</v>
      </c>
      <c r="BZ30" s="8">
        <f t="shared" ca="1" si="55"/>
        <v>0</v>
      </c>
      <c r="CA30" s="8">
        <f t="shared" ca="1" si="55"/>
        <v>0</v>
      </c>
      <c r="CB30" s="4"/>
    </row>
    <row r="31" spans="2:80" s="2" customFormat="1" x14ac:dyDescent="0.2">
      <c r="C31" s="2" t="str">
        <f t="shared" ref="C31:C38" si="5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Inter Mailand</v>
      </c>
      <c r="BS31" s="9">
        <f t="shared" ref="BS31:BS38" ca="1" si="57">SUMIFS($AH$64:$AH$135,$V$64:$V$135,$BR31,$W$64:$W$135,BS$29)+SUMIFS($AI$64:$AI$135,$W$64:$W$135,$BR31,$V$64:$V$135,BS$29)</f>
        <v>50</v>
      </c>
      <c r="BT31" s="7"/>
      <c r="BU31" s="8">
        <f t="shared" ref="BU31:CA31" ca="1" si="58">SUMIFS($AH$64:$AH$135,$V$64:$V$135,$BR31,$W$64:$W$135,BU$29)+SUMIFS($AI$64:$AI$135,$W$64:$W$135,$BR31,$V$64:$V$135,BU$29)</f>
        <v>50</v>
      </c>
      <c r="BV31" s="8">
        <f t="shared" ca="1" si="58"/>
        <v>44</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1</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SSV Wildbach</v>
      </c>
      <c r="BS32" s="9">
        <f t="shared" ca="1" si="57"/>
        <v>39</v>
      </c>
      <c r="BT32" s="9">
        <f t="shared" ref="BT32:BT38" ca="1" si="59">SUMIFS($AH$64:$AH$135,$V$64:$V$135,$BR32,$W$64:$W$135,BT$29)+SUMIFS($AI$64:$AI$135,$W$64:$W$135,$BR32,$V$64:$V$135,BT$29)</f>
        <v>37</v>
      </c>
      <c r="BU32" s="7"/>
      <c r="BV32" s="8">
        <f t="shared" ref="BV32:CA32" ca="1" si="60">SUMIFS($AH$64:$AH$135,$V$64:$V$135,$BR32,$W$64:$W$135,BV$29)+SUMIFS($AI$64:$AI$135,$W$64:$W$135,$BR32,$V$64:$V$135,BV$29)</f>
        <v>40</v>
      </c>
      <c r="BW32" s="8">
        <f t="shared" ca="1" si="60"/>
        <v>44</v>
      </c>
      <c r="BX32" s="8">
        <f t="shared" ca="1" si="60"/>
        <v>0</v>
      </c>
      <c r="BY32" s="8">
        <f t="shared" ca="1" si="60"/>
        <v>0</v>
      </c>
      <c r="BZ32" s="8">
        <f t="shared" ca="1" si="60"/>
        <v>0</v>
      </c>
      <c r="CA32" s="8">
        <f t="shared" ca="1" si="60"/>
        <v>0</v>
      </c>
      <c r="CB32" s="4"/>
    </row>
    <row r="33" spans="2:80" s="2" customFormat="1" x14ac:dyDescent="0.2">
      <c r="C33" s="2" t="str">
        <f t="shared" si="56"/>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Manchester City</v>
      </c>
      <c r="BS33" s="9">
        <f t="shared" ca="1" si="57"/>
        <v>50</v>
      </c>
      <c r="BT33" s="9">
        <f t="shared" ca="1" si="59"/>
        <v>46</v>
      </c>
      <c r="BU33" s="9">
        <f t="shared" ref="BU33:BU38" ca="1" si="61">SUMIFS($AH$64:$AH$135,$V$64:$V$135,$BR33,$W$64:$W$135,BU$29)+SUMIFS($AI$64:$AI$135,$W$64:$W$135,$BR33,$V$64:$V$135,BU$29)</f>
        <v>50</v>
      </c>
      <c r="BV33" s="7"/>
      <c r="BW33" s="8">
        <f ca="1">SUMIFS($AH$64:$AH$135,$V$64:$V$135,$BR33,$W$64:$W$135,BW$29)+SUMIFS($AI$64:$AI$135,$W$64:$W$135,$BR33,$V$64:$V$135,BW$29)</f>
        <v>39</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1</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FC Grönlingen</v>
      </c>
      <c r="BS34" s="9">
        <f t="shared" ca="1" si="57"/>
        <v>33</v>
      </c>
      <c r="BT34" s="9">
        <f t="shared" ca="1" si="59"/>
        <v>36</v>
      </c>
      <c r="BU34" s="9">
        <f t="shared" ca="1" si="61"/>
        <v>42</v>
      </c>
      <c r="BV34" s="9">
        <f ca="1">SUMIFS($AH$64:$AH$135,$V$64:$V$135,$BR34,$W$64:$W$135,BV$29)+SUMIFS($AI$64:$AI$135,$W$64:$W$135,$BR34,$V$64:$V$135,BV$29)</f>
        <v>47</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Mainz 05</v>
      </c>
      <c r="BS41" s="7"/>
      <c r="BT41" s="8">
        <f ca="1">BT30-BS31</f>
        <v>-17</v>
      </c>
      <c r="BU41" s="8">
        <f ca="1">BU30-BS32</f>
        <v>4</v>
      </c>
      <c r="BV41" s="8">
        <f ca="1">BV30-BS33</f>
        <v>-27</v>
      </c>
      <c r="BW41" s="8">
        <f ca="1">BW30-BS34</f>
        <v>17</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Inter Mailand</v>
      </c>
      <c r="BS42" s="9">
        <f ca="1">IF(BT41="","",-1*BT41)</f>
        <v>17</v>
      </c>
      <c r="BT42" s="7"/>
      <c r="BU42" s="8">
        <f ca="1">BU31-BT32</f>
        <v>13</v>
      </c>
      <c r="BV42" s="8">
        <f ca="1">BV31-BT33</f>
        <v>-2</v>
      </c>
      <c r="BW42" s="8">
        <f ca="1">BW31-BT34</f>
        <v>14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2</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SSV Wildbach</v>
      </c>
      <c r="BS43" s="9">
        <f ca="1">IF(BU41="","",-1*BU41)</f>
        <v>-4</v>
      </c>
      <c r="BT43" s="9">
        <f ca="1">IF(BU42="","",-1*BU42)</f>
        <v>-13</v>
      </c>
      <c r="BU43" s="7"/>
      <c r="BV43" s="8">
        <f ca="1">BV32-BU33</f>
        <v>-10</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Manchester City</v>
      </c>
      <c r="BS44" s="9">
        <f ca="1">IF(BV41="","",-1*BV41)</f>
        <v>27</v>
      </c>
      <c r="BT44" s="9">
        <f ca="1">IF(BV42="","",-1*BV42)</f>
        <v>2</v>
      </c>
      <c r="BU44" s="9">
        <f ca="1">IF(BV43="","",-1*BV43)</f>
        <v>10</v>
      </c>
      <c r="BV44" s="7"/>
      <c r="BW44" s="8">
        <f ca="1">BW33-BV34</f>
        <v>-8</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-2</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FC Grönlingen</v>
      </c>
      <c r="BS45" s="9">
        <f ca="1">IF(BW41="","",-1*BW41)</f>
        <v>-17</v>
      </c>
      <c r="BT45" s="9">
        <f ca="1">IF(BW42="","",-1*BW42)</f>
        <v>-14</v>
      </c>
      <c r="BU45" s="9">
        <f ca="1">IF(BW43="","",-1*BW43)</f>
        <v>-2</v>
      </c>
      <c r="BV45" s="9">
        <f ca="1">IF(BW44="","",-1*BW44)</f>
        <v>8</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Mainz 05</v>
      </c>
      <c r="BS52" s="7"/>
      <c r="BT52" s="8">
        <f t="shared" ref="BT52:CA54" ca="1" si="65">SUMIFS($AJ$64:$AJ$135,$V$64:$V$135,$BR52,$W$64:$W$135,BT$51)+SUMIFS($AK$64:$AK$135,$W$64:$W$135,$BR52,$V$64:$V$135,BT$51)</f>
        <v>0</v>
      </c>
      <c r="BU52" s="8">
        <f t="shared" ca="1" si="65"/>
        <v>1</v>
      </c>
      <c r="BV52" s="8">
        <f t="shared" ca="1" si="65"/>
        <v>0</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Inter Mailand</v>
      </c>
      <c r="BS53" s="9">
        <f t="shared" ref="BS53:BU60" ca="1" si="66">SUMIFS($AJ$64:$AJ$135,$V$64:$V$135,$BR53,$W$64:$W$135,BS$51)+SUMIFS($AK$64:$AK$135,$W$64:$W$135,$BR53,$V$64:$V$135,BS$51)</f>
        <v>2</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44</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SSV Wildbach</v>
      </c>
      <c r="BS54" s="9">
        <f t="shared" ca="1" si="66"/>
        <v>1</v>
      </c>
      <c r="BT54" s="9">
        <f t="shared" ca="1" si="66"/>
        <v>0</v>
      </c>
      <c r="BU54" s="7"/>
      <c r="BV54" s="8">
        <f t="shared" ca="1" si="65"/>
        <v>0</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Manchester City</v>
      </c>
      <c r="BS55" s="9">
        <f t="shared" ca="1" si="66"/>
        <v>2</v>
      </c>
      <c r="BT55" s="9">
        <f t="shared" ca="1" si="66"/>
        <v>1</v>
      </c>
      <c r="BU55" s="9">
        <f t="shared" ca="1" si="66"/>
        <v>2</v>
      </c>
      <c r="BV55" s="7"/>
      <c r="BW55" s="8">
        <f ca="1">SUMIFS($AJ$64:$AJ$135,$V$64:$V$135,$BR55,$W$64:$W$135,BW$51)+SUMIFS($AK$64:$AK$135,$W$64:$W$135,$BR55,$V$64:$V$135,BW$51)</f>
        <v>1</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42</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FC Grönlingen</v>
      </c>
      <c r="BS56" s="9">
        <f t="shared" ca="1" si="66"/>
        <v>0</v>
      </c>
      <c r="BT56" s="9">
        <f t="shared" ca="1" si="66"/>
        <v>0</v>
      </c>
      <c r="BU56" s="9">
        <f t="shared" ca="1" si="66"/>
        <v>1</v>
      </c>
      <c r="BV56" s="9">
        <f ca="1">SUMIFS($AJ$64:$AJ$135,$V$64:$V$135,$BR56,$W$64:$W$135,BV$51)+SUMIFS($AK$64:$AK$135,$W$64:$W$135,$BR56,$V$64:$V$135,BV$51)</f>
        <v>1</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33" t="s">
        <v>366</v>
      </c>
      <c r="Y63" s="1033"/>
      <c r="Z63" s="69" t="s">
        <v>150</v>
      </c>
      <c r="AA63" s="69" t="s">
        <v>15</v>
      </c>
      <c r="AB63" s="69" t="s">
        <v>445</v>
      </c>
      <c r="AC63" s="776" t="s">
        <v>444</v>
      </c>
      <c r="AD63" s="1034" t="s">
        <v>367</v>
      </c>
      <c r="AE63" s="1034"/>
      <c r="AF63" s="1034" t="s">
        <v>374</v>
      </c>
      <c r="AG63" s="1034"/>
      <c r="AH63" s="1034" t="s">
        <v>445</v>
      </c>
      <c r="AI63" s="1034"/>
      <c r="AJ63" s="1030" t="s">
        <v>444</v>
      </c>
      <c r="AK63" s="1030"/>
      <c r="AL63" s="1034" t="s">
        <v>109</v>
      </c>
      <c r="AM63" s="1034"/>
      <c r="AN63" s="681"/>
    </row>
    <row r="64" spans="2:80" s="2" customFormat="1" ht="14.25" thickTop="1" thickBot="1" x14ac:dyDescent="0.25">
      <c r="F64" s="767">
        <v>1000000</v>
      </c>
      <c r="G64" s="770" t="s">
        <v>440</v>
      </c>
      <c r="L64" s="664"/>
      <c r="P64" s="44" t="s">
        <v>6</v>
      </c>
      <c r="Q64" s="59" t="str">
        <f>IF(Planung!$C$24="","",Planung!$C$24)</f>
        <v>Mainz 05</v>
      </c>
      <c r="U64" s="65" t="s">
        <v>6</v>
      </c>
      <c r="V64" s="39" t="str">
        <f ca="1">Planung!$L6</f>
        <v>VFB Essenheim</v>
      </c>
      <c r="W64" s="32" t="str">
        <f ca="1">Planung!$N6</f>
        <v>FC Barcelona</v>
      </c>
      <c r="X64" s="32">
        <f ca="1">IF(AND($AA64=1,Vorrunde!$I12&lt;&gt;"",Vorrunde!$K12&lt;&gt;"",ABS(Vorrunde!$I12-Vorrunde!$K12)&gt;1),Vorrunde!$I12,"")</f>
        <v>25</v>
      </c>
      <c r="Y64" s="33">
        <f ca="1">IF(AND($AA64=1,Vorrunde!$I12&lt;&gt;"",Vorrunde!$K12&lt;&gt;"",ABS(Vorrunde!$I12-Vorrunde!$K12)&gt;1),Vorrunde!$K12,"")</f>
        <v>19</v>
      </c>
      <c r="Z64" s="31" t="str">
        <f ca="1">V64&amp;W64</f>
        <v>VFB EssenheimFC Barcelona</v>
      </c>
      <c r="AA64" s="32">
        <f ca="1">IF(AND(V64&lt;&gt;"",W64&lt;&gt;"",V64&lt;&gt;W64,Vorrunde!$R12&lt;&gt;"",Vorrunde!$T12&lt;&gt;""),1,0)</f>
        <v>1</v>
      </c>
      <c r="AB64" s="139" t="str">
        <f ca="1">IF(AA64&gt;0,AH64&amp;Sprache!$E$109&amp;AI64,"")</f>
        <v>57 : 69</v>
      </c>
      <c r="AC64" s="140" t="str">
        <f ca="1">IF(AA64&gt;0,AJ64&amp;Sprache!$E$109&amp;AK64,"")</f>
        <v>1 : 2</v>
      </c>
      <c r="AD64" s="144">
        <f ca="1">IF(AND($AA64=1,Vorrunde!$L12&lt;&gt;"",Vorrunde!$N12&lt;&gt;"",ABS(Vorrunde!$L12-Vorrunde!$N12)&gt;1),Vorrunde!$L12,"")</f>
        <v>18</v>
      </c>
      <c r="AE64" s="140">
        <f ca="1">IF(AND($AA64=1,Vorrunde!$L12&lt;&gt;"",Vorrunde!$N12&lt;&gt;"",ABS(Vorrunde!$L12-Vorrunde!$N12)&gt;1),Vorrunde!$N12,"")</f>
        <v>25</v>
      </c>
      <c r="AF64" s="144">
        <f ca="1">IF(AND($AA64=1,Vorrunde!$O12&lt;&gt;"",Vorrunde!$Q12&lt;&gt;"",ABS(Vorrunde!$O12-Vorrunde!$Q12)&gt;1),Vorrunde!$O12,"")</f>
        <v>14</v>
      </c>
      <c r="AG64" s="140">
        <f ca="1">IF(AND($AA64=1,Vorrunde!$O12&lt;&gt;"",Vorrunde!$Q12&lt;&gt;"",ABS(Vorrunde!$O12-Vorrunde!$Q12)&gt;1),Vorrunde!$Q12,"")</f>
        <v>25</v>
      </c>
      <c r="AH64" s="144">
        <f ca="1">IF(AA64&gt;0,SUM(X64,AD64,AF64),"")</f>
        <v>57</v>
      </c>
      <c r="AI64" s="140">
        <f ca="1">IF(AA64&gt;0,SUM(Y64,AE64,AG64),"")</f>
        <v>69</v>
      </c>
      <c r="AJ64" s="144">
        <f ca="1">IF(Vorrunde!$R12="",0,Vorrunde!$R12)</f>
        <v>1</v>
      </c>
      <c r="AK64" s="140">
        <f ca="1">IF(Vorrunde!$T12="",0,Vorrunde!$T12)</f>
        <v>2</v>
      </c>
      <c r="AL64" s="144">
        <f ca="1">IF($AA64=0,"",IF($AJ64&gt;$AK64,Einstellungen!$C$4,IF($AJ64=$AK64,1,0)))</f>
        <v>0</v>
      </c>
      <c r="AM64" s="140">
        <f ca="1">IF($AA64=0,"",IF($AJ64&lt;$AK64,Einstellungen!$C$4,IF($AJ64=$AK64,1,0)))</f>
        <v>2</v>
      </c>
      <c r="AN64" s="778"/>
    </row>
    <row r="65" spans="2:40" s="2" customFormat="1" ht="13.5" thickBot="1" x14ac:dyDescent="0.25">
      <c r="F65" s="768">
        <v>1000</v>
      </c>
      <c r="G65" s="771" t="s">
        <v>441</v>
      </c>
      <c r="H65" s="766">
        <v>500</v>
      </c>
      <c r="I65" s="187" t="s">
        <v>439</v>
      </c>
      <c r="L65" s="664"/>
      <c r="P65" s="45" t="s">
        <v>7</v>
      </c>
      <c r="Q65" s="60" t="str">
        <f>IF(Planung!$C$26="","",Planung!$C$26)</f>
        <v>Inter Mailand</v>
      </c>
      <c r="U65" s="66" t="s">
        <v>7</v>
      </c>
      <c r="V65" s="40" t="str">
        <f ca="1">Planung!$L7</f>
        <v>FC Grönlingen</v>
      </c>
      <c r="W65" s="778" t="str">
        <f ca="1">Planung!$N7</f>
        <v>Inter Mailand</v>
      </c>
      <c r="X65" s="831">
        <f ca="1">IF(AND($AA65=1,Vorrunde!$I13&lt;&gt;"",Vorrunde!$K13&lt;&gt;"",ABS(Vorrunde!$I13-Vorrunde!$K13)&gt;1),Vorrunde!$I13,"")</f>
        <v>16</v>
      </c>
      <c r="Y65" s="35">
        <f ca="1">IF(AND($AA65=1,Vorrunde!$I13&lt;&gt;"",Vorrunde!$K13&lt;&gt;"",ABS(Vorrunde!$I13-Vorrunde!$K13)&gt;1),Vorrunde!$K13,"")</f>
        <v>25</v>
      </c>
      <c r="Z65" s="34" t="str">
        <f t="shared" ref="Z65:Z73" ca="1" si="67">V65&amp;W65</f>
        <v>FC GrönlingenInter Mailand</v>
      </c>
      <c r="AA65" s="831">
        <f ca="1">IF(AND(V65&lt;&gt;"",W65&lt;&gt;"",V65&lt;&gt;W65,Vorrunde!$R13&lt;&gt;"",Vorrunde!$T13&lt;&gt;""),1,0)</f>
        <v>1</v>
      </c>
      <c r="AB65" s="831" t="str">
        <f ca="1">IF(AA65&gt;0,AH65&amp;Sprache!$E$109&amp;AI65,"")</f>
        <v>36 : 50</v>
      </c>
      <c r="AC65" s="141" t="str">
        <f ca="1">IF(AA65&gt;0,AJ65&amp;Sprache!$E$109&amp;AK65,"")</f>
        <v>0 : 2</v>
      </c>
      <c r="AD65" s="145">
        <f ca="1">IF(AND($AA65=1,Vorrunde!$L13&lt;&gt;"",Vorrunde!$N13&lt;&gt;"",ABS(Vorrunde!$L13-Vorrunde!$N13)&gt;1),Vorrunde!$L13,"")</f>
        <v>20</v>
      </c>
      <c r="AE65" s="141">
        <f ca="1">IF(AND($AA65=1,Vorrunde!$L13&lt;&gt;"",Vorrunde!$N13&lt;&gt;"",ABS(Vorrunde!$L13-Vorrunde!$N13)&gt;1),Vorrunde!$N13,"")</f>
        <v>25</v>
      </c>
      <c r="AF65" s="145" t="str">
        <f ca="1">IF(AND($AA65=1,Vorrunde!$O13&lt;&gt;"",Vorrunde!$Q13&lt;&gt;"",ABS(Vorrunde!$O13-Vorrunde!$Q13)&gt;1),Vorrunde!$O13,"")</f>
        <v/>
      </c>
      <c r="AG65" s="141" t="str">
        <f ca="1">IF(AND($AA65=1,Vorrunde!$O13&lt;&gt;"",Vorrunde!$Q13&lt;&gt;"",ABS(Vorrunde!$O13-Vorrunde!$Q13)&gt;1),Vorrunde!$Q13,"")</f>
        <v/>
      </c>
      <c r="AH65" s="145">
        <f t="shared" ref="AH65:AH123" ca="1" si="68">IF(AA65&gt;0,SUM(X65,AD65,AF65),"")</f>
        <v>36</v>
      </c>
      <c r="AI65" s="141">
        <f t="shared" ref="AI65:AI123" ca="1" si="69">IF(AA65&gt;0,SUM(Y65,AE65,AG65),"")</f>
        <v>50</v>
      </c>
      <c r="AJ65" s="145">
        <f ca="1">IF(Vorrunde!$R13="",0,Vorrunde!$R13)</f>
        <v>0</v>
      </c>
      <c r="AK65" s="141">
        <f ca="1">IF(Vorrunde!$T13="",0,Vorrunde!$T13)</f>
        <v>2</v>
      </c>
      <c r="AL65" s="145">
        <f ca="1">IF($AA65=0,"",IF($AJ65&gt;$AK65,Einstellungen!$C$4,IF($AJ65=$AK65,1,0)))</f>
        <v>0</v>
      </c>
      <c r="AM65" s="141">
        <f ca="1">IF($AA65=0,"",IF($AJ65&lt;$AK65,Einstellungen!$C$4,IF($AJ65=$AK65,1,0)))</f>
        <v>2</v>
      </c>
      <c r="AN65" s="778"/>
    </row>
    <row r="66" spans="2:40" s="2" customFormat="1" ht="12.75" x14ac:dyDescent="0.2">
      <c r="F66" s="768">
        <v>1</v>
      </c>
      <c r="G66" s="771" t="s">
        <v>442</v>
      </c>
      <c r="L66" s="664"/>
      <c r="P66" s="45" t="s">
        <v>8</v>
      </c>
      <c r="Q66" s="60" t="str">
        <f>IF(Planung!$C$28="","",Planung!$C$28)</f>
        <v>SSV Wildbach</v>
      </c>
      <c r="U66" s="66" t="s">
        <v>8</v>
      </c>
      <c r="V66" s="40" t="str">
        <f ca="1">Planung!$L8</f>
        <v>1. FC Nürnberg</v>
      </c>
      <c r="W66" s="778" t="str">
        <f ca="1">Planung!$N8</f>
        <v>Real Madrid</v>
      </c>
      <c r="X66" s="831">
        <f ca="1">IF(AND($AA66=1,Vorrunde!$I14&lt;&gt;"",Vorrunde!$K14&lt;&gt;"",ABS(Vorrunde!$I14-Vorrunde!$K14)&gt;1),Vorrunde!$I14,"")</f>
        <v>21</v>
      </c>
      <c r="Y66" s="35">
        <f ca="1">IF(AND($AA66=1,Vorrunde!$I14&lt;&gt;"",Vorrunde!$K14&lt;&gt;"",ABS(Vorrunde!$I14-Vorrunde!$K14)&gt;1),Vorrunde!$K14,"")</f>
        <v>25</v>
      </c>
      <c r="Z66" s="34" t="str">
        <f t="shared" ca="1" si="67"/>
        <v>1. FC NürnbergReal Madrid</v>
      </c>
      <c r="AA66" s="831">
        <f ca="1">IF(AND(V66&lt;&gt;"",W66&lt;&gt;"",V66&lt;&gt;W66,Vorrunde!$R14&lt;&gt;"",Vorrunde!$T14&lt;&gt;""),1,0)</f>
        <v>1</v>
      </c>
      <c r="AB66" s="831" t="str">
        <f ca="1">IF(AA66&gt;0,AH66&amp;Sprache!$E$109&amp;AI66,"")</f>
        <v>40 : 50</v>
      </c>
      <c r="AC66" s="141" t="str">
        <f ca="1">IF(AA66&gt;0,AJ66&amp;Sprache!$E$109&amp;AK66,"")</f>
        <v>0 : 2</v>
      </c>
      <c r="AD66" s="145">
        <f ca="1">IF(AND($AA66=1,Vorrunde!$L14&lt;&gt;"",Vorrunde!$N14&lt;&gt;"",ABS(Vorrunde!$L14-Vorrunde!$N14)&gt;1),Vorrunde!$L14,"")</f>
        <v>19</v>
      </c>
      <c r="AE66" s="141">
        <f ca="1">IF(AND($AA66=1,Vorrunde!$L14&lt;&gt;"",Vorrunde!$N14&lt;&gt;"",ABS(Vorrunde!$L14-Vorrunde!$N14)&gt;1),Vorrunde!$N14,"")</f>
        <v>25</v>
      </c>
      <c r="AF66" s="145" t="str">
        <f ca="1">IF(AND($AA66=1,Vorrunde!$O14&lt;&gt;"",Vorrunde!$Q14&lt;&gt;"",ABS(Vorrunde!$O14-Vorrunde!$Q14)&gt;1),Vorrunde!$O14,"")</f>
        <v/>
      </c>
      <c r="AG66" s="141" t="str">
        <f ca="1">IF(AND($AA66=1,Vorrunde!$O14&lt;&gt;"",Vorrunde!$Q14&lt;&gt;"",ABS(Vorrunde!$O14-Vorrunde!$Q14)&gt;1),Vorrunde!$Q14,"")</f>
        <v/>
      </c>
      <c r="AH66" s="145">
        <f t="shared" ca="1" si="68"/>
        <v>40</v>
      </c>
      <c r="AI66" s="141">
        <f t="shared" ca="1" si="69"/>
        <v>50</v>
      </c>
      <c r="AJ66" s="145">
        <f ca="1">IF(Vorrunde!$R14="",0,Vorrunde!$R14)</f>
        <v>0</v>
      </c>
      <c r="AK66" s="141">
        <f ca="1">IF(Vorrunde!$T14="",0,Vorrunde!$T14)</f>
        <v>2</v>
      </c>
      <c r="AL66" s="145">
        <f ca="1">IF($AA66=0,"",IF($AJ66&gt;$AK66,Einstellungen!$C$4,IF($AJ66=$AK66,1,0)))</f>
        <v>0</v>
      </c>
      <c r="AM66" s="141">
        <f ca="1">IF($AA66=0,"",IF($AJ66&lt;$AK66,Einstellungen!$C$4,IF($AJ66=$AK66,1,0)))</f>
        <v>2</v>
      </c>
      <c r="AN66" s="778"/>
    </row>
    <row r="67" spans="2:40" s="2" customFormat="1" ht="12.75" thickBot="1" x14ac:dyDescent="0.25">
      <c r="F67" s="769">
        <v>1E-3</v>
      </c>
      <c r="G67" s="772" t="s">
        <v>443</v>
      </c>
      <c r="L67" s="664"/>
      <c r="P67" s="45" t="s">
        <v>9</v>
      </c>
      <c r="Q67" s="60" t="str">
        <f>IF(Planung!$C$30="","",Planung!$C$30)</f>
        <v>Manchester City</v>
      </c>
      <c r="U67" s="66" t="s">
        <v>9</v>
      </c>
      <c r="V67" s="40" t="str">
        <f ca="1">Planung!$L9</f>
        <v>SV Oberredenburg</v>
      </c>
      <c r="W67" s="778" t="str">
        <f ca="1">Planung!$N9</f>
        <v>Paris St. Germain</v>
      </c>
      <c r="X67" s="831">
        <f ca="1">IF(AND($AA67=1,Vorrunde!$I15&lt;&gt;"",Vorrunde!$K15&lt;&gt;"",ABS(Vorrunde!$I15-Vorrunde!$K15)&gt;1),Vorrunde!$I15,"")</f>
        <v>22</v>
      </c>
      <c r="Y67" s="35">
        <f ca="1">IF(AND($AA67=1,Vorrunde!$I15&lt;&gt;"",Vorrunde!$K15&lt;&gt;"",ABS(Vorrunde!$I15-Vorrunde!$K15)&gt;1),Vorrunde!$K15,"")</f>
        <v>25</v>
      </c>
      <c r="Z67" s="34" t="str">
        <f t="shared" ca="1" si="67"/>
        <v>SV OberredenburgParis St. Germain</v>
      </c>
      <c r="AA67" s="831">
        <f ca="1">IF(AND(V67&lt;&gt;"",W67&lt;&gt;"",V67&lt;&gt;W67,Vorrunde!$R15&lt;&gt;"",Vorrunde!$T15&lt;&gt;""),1,0)</f>
        <v>1</v>
      </c>
      <c r="AB67" s="831" t="str">
        <f ca="1">IF(AA67&gt;0,AH67&amp;Sprache!$E$109&amp;AI67,"")</f>
        <v>39 : 50</v>
      </c>
      <c r="AC67" s="141" t="str">
        <f ca="1">IF(AA67&gt;0,AJ67&amp;Sprache!$E$109&amp;AK67,"")</f>
        <v>0 : 2</v>
      </c>
      <c r="AD67" s="145">
        <f ca="1">IF(AND($AA67=1,Vorrunde!$L15&lt;&gt;"",Vorrunde!$N15&lt;&gt;"",ABS(Vorrunde!$L15-Vorrunde!$N15)&gt;1),Vorrunde!$L15,"")</f>
        <v>17</v>
      </c>
      <c r="AE67" s="141">
        <f ca="1">IF(AND($AA67=1,Vorrunde!$L15&lt;&gt;"",Vorrunde!$N15&lt;&gt;"",ABS(Vorrunde!$L15-Vorrunde!$N15)&gt;1),Vorrunde!$N15,"")</f>
        <v>25</v>
      </c>
      <c r="AF67" s="145" t="str">
        <f ca="1">IF(AND($AA67=1,Vorrunde!$O15&lt;&gt;"",Vorrunde!$Q15&lt;&gt;"",ABS(Vorrunde!$O15-Vorrunde!$Q15)&gt;1),Vorrunde!$O15,"")</f>
        <v/>
      </c>
      <c r="AG67" s="141" t="str">
        <f ca="1">IF(AND($AA67=1,Vorrunde!$O15&lt;&gt;"",Vorrunde!$Q15&lt;&gt;"",ABS(Vorrunde!$O15-Vorrunde!$Q15)&gt;1),Vorrunde!$Q15,"")</f>
        <v/>
      </c>
      <c r="AH67" s="145">
        <f t="shared" ca="1" si="68"/>
        <v>39</v>
      </c>
      <c r="AI67" s="141">
        <f t="shared" ca="1" si="69"/>
        <v>50</v>
      </c>
      <c r="AJ67" s="145">
        <f ca="1">IF(Vorrunde!$R15="",0,Vorrunde!$R15)</f>
        <v>0</v>
      </c>
      <c r="AK67" s="141">
        <f ca="1">IF(Vorrunde!$T15="",0,Vorrunde!$T15)</f>
        <v>2</v>
      </c>
      <c r="AL67" s="145">
        <f ca="1">IF($AA67=0,"",IF($AJ67&gt;$AK67,Einstellungen!$C$4,IF($AJ67=$AK67,1,0)))</f>
        <v>0</v>
      </c>
      <c r="AM67" s="141">
        <f ca="1">IF($AA67=0,"",IF($AJ67&lt;$AK67,Einstellungen!$C$4,IF($AJ67=$AK67,1,0)))</f>
        <v>2</v>
      </c>
      <c r="AN67" s="778"/>
    </row>
    <row r="68" spans="2:40" s="2" customFormat="1" x14ac:dyDescent="0.2">
      <c r="L68" s="664"/>
      <c r="P68" s="45" t="s">
        <v>10</v>
      </c>
      <c r="Q68" s="60" t="str">
        <f>IF(Planung!$C$32="","",Planung!$C$32)</f>
        <v>FC Grönlingen</v>
      </c>
      <c r="U68" s="66" t="s">
        <v>10</v>
      </c>
      <c r="V68" s="40" t="str">
        <f ca="1">Planung!$L10</f>
        <v>Eintracht Frankfurt</v>
      </c>
      <c r="W68" s="778" t="str">
        <f ca="1">Planung!$N10</f>
        <v>Maibach 1822 eV</v>
      </c>
      <c r="X68" s="831">
        <f ca="1">IF(AND($AA68=1,Vorrunde!$I16&lt;&gt;"",Vorrunde!$K16&lt;&gt;"",ABS(Vorrunde!$I16-Vorrunde!$K16)&gt;1),Vorrunde!$I16,"")</f>
        <v>25</v>
      </c>
      <c r="Y68" s="35">
        <f ca="1">IF(AND($AA68=1,Vorrunde!$I16&lt;&gt;"",Vorrunde!$K16&lt;&gt;"",ABS(Vorrunde!$I16-Vorrunde!$K16)&gt;1),Vorrunde!$K16,"")</f>
        <v>23</v>
      </c>
      <c r="Z68" s="34" t="str">
        <f t="shared" ca="1" si="67"/>
        <v>Eintracht FrankfurtMaibach 1822 eV</v>
      </c>
      <c r="AA68" s="831">
        <f ca="1">IF(AND(V68&lt;&gt;"",W68&lt;&gt;"",V68&lt;&gt;W68,Vorrunde!$R16&lt;&gt;"",Vorrunde!$T16&lt;&gt;""),1,0)</f>
        <v>1</v>
      </c>
      <c r="AB68" s="831" t="str">
        <f ca="1">IF(AA68&gt;0,AH68&amp;Sprache!$E$109&amp;AI68,"")</f>
        <v>50 : 44</v>
      </c>
      <c r="AC68" s="141" t="str">
        <f ca="1">IF(AA68&gt;0,AJ68&amp;Sprache!$E$109&amp;AK68,"")</f>
        <v>2 : 0</v>
      </c>
      <c r="AD68" s="145">
        <f ca="1">IF(AND($AA68=1,Vorrunde!$L16&lt;&gt;"",Vorrunde!$N16&lt;&gt;"",ABS(Vorrunde!$L16-Vorrunde!$N16)&gt;1),Vorrunde!$L16,"")</f>
        <v>25</v>
      </c>
      <c r="AE68" s="141">
        <f ca="1">IF(AND($AA68=1,Vorrunde!$L16&lt;&gt;"",Vorrunde!$N16&lt;&gt;"",ABS(Vorrunde!$L16-Vorrunde!$N16)&gt;1),Vorrunde!$N16,"")</f>
        <v>21</v>
      </c>
      <c r="AF68" s="145" t="str">
        <f ca="1">IF(AND($AA68=1,Vorrunde!$O16&lt;&gt;"",Vorrunde!$Q16&lt;&gt;"",ABS(Vorrunde!$O16-Vorrunde!$Q16)&gt;1),Vorrunde!$O16,"")</f>
        <v/>
      </c>
      <c r="AG68" s="141" t="str">
        <f ca="1">IF(AND($AA68=1,Vorrunde!$O16&lt;&gt;"",Vorrunde!$Q16&lt;&gt;"",ABS(Vorrunde!$O16-Vorrunde!$Q16)&gt;1),Vorrunde!$Q16,"")</f>
        <v/>
      </c>
      <c r="AH68" s="145">
        <f t="shared" ca="1" si="68"/>
        <v>50</v>
      </c>
      <c r="AI68" s="141">
        <f t="shared" ca="1" si="69"/>
        <v>44</v>
      </c>
      <c r="AJ68" s="145">
        <f ca="1">IF(Vorrunde!$R16="",0,Vorrunde!$R16)</f>
        <v>2</v>
      </c>
      <c r="AK68" s="141">
        <f ca="1">IF(Vorrunde!$T16="",0,Vorrunde!$T16)</f>
        <v>0</v>
      </c>
      <c r="AL68" s="145">
        <f ca="1">IF($AA68=0,"",IF($AJ68&gt;$AK68,Einstellungen!$C$4,IF($AJ68=$AK68,1,0)))</f>
        <v>2</v>
      </c>
      <c r="AM68" s="141">
        <f ca="1">IF($AA68=0,"",IF($AJ68&lt;$AK68,Einstellungen!$C$4,IF($AJ68=$AK68,1,0)))</f>
        <v>0</v>
      </c>
      <c r="AN68" s="778"/>
    </row>
    <row r="69" spans="2:40" s="2" customFormat="1" x14ac:dyDescent="0.2">
      <c r="L69" s="664"/>
      <c r="P69" s="45" t="s">
        <v>11</v>
      </c>
      <c r="Q69" s="60" t="str">
        <f>IF(Planung!$C$34="","",Planung!$C$34)</f>
        <v/>
      </c>
      <c r="U69" s="66" t="s">
        <v>11</v>
      </c>
      <c r="V69" s="40" t="str">
        <f ca="1">Planung!$L11</f>
        <v>SSV Wildbach</v>
      </c>
      <c r="W69" s="778" t="str">
        <f ca="1">Planung!$N11</f>
        <v>Manchester City</v>
      </c>
      <c r="X69" s="831">
        <f ca="1">IF(AND($AA69=1,Vorrunde!$I17&lt;&gt;"",Vorrunde!$K17&lt;&gt;"",ABS(Vorrunde!$I17-Vorrunde!$K17)&gt;1),Vorrunde!$I17,"")</f>
        <v>18</v>
      </c>
      <c r="Y69" s="35">
        <f ca="1">IF(AND($AA69=1,Vorrunde!$I17&lt;&gt;"",Vorrunde!$K17&lt;&gt;"",ABS(Vorrunde!$I17-Vorrunde!$K17)&gt;1),Vorrunde!$K17,"")</f>
        <v>25</v>
      </c>
      <c r="Z69" s="34" t="str">
        <f t="shared" ca="1" si="67"/>
        <v>SSV WildbachManchester City</v>
      </c>
      <c r="AA69" s="831">
        <f ca="1">IF(AND(V69&lt;&gt;"",W69&lt;&gt;"",V69&lt;&gt;W69,Vorrunde!$R17&lt;&gt;"",Vorrunde!$T17&lt;&gt;""),1,0)</f>
        <v>1</v>
      </c>
      <c r="AB69" s="831" t="str">
        <f ca="1">IF(AA69&gt;0,AH69&amp;Sprache!$E$109&amp;AI69,"")</f>
        <v>40 : 50</v>
      </c>
      <c r="AC69" s="141" t="str">
        <f ca="1">IF(AA69&gt;0,AJ69&amp;Sprache!$E$109&amp;AK69,"")</f>
        <v>0 : 2</v>
      </c>
      <c r="AD69" s="145">
        <f ca="1">IF(AND($AA69=1,Vorrunde!$L17&lt;&gt;"",Vorrunde!$N17&lt;&gt;"",ABS(Vorrunde!$L17-Vorrunde!$N17)&gt;1),Vorrunde!$L17,"")</f>
        <v>22</v>
      </c>
      <c r="AE69" s="141">
        <f ca="1">IF(AND($AA69=1,Vorrunde!$L17&lt;&gt;"",Vorrunde!$N17&lt;&gt;"",ABS(Vorrunde!$L17-Vorrunde!$N17)&gt;1),Vorrunde!$N17,"")</f>
        <v>25</v>
      </c>
      <c r="AF69" s="145" t="str">
        <f ca="1">IF(AND($AA69=1,Vorrunde!$O17&lt;&gt;"",Vorrunde!$Q17&lt;&gt;"",ABS(Vorrunde!$O17-Vorrunde!$Q17)&gt;1),Vorrunde!$O17,"")</f>
        <v/>
      </c>
      <c r="AG69" s="141" t="str">
        <f ca="1">IF(AND($AA69=1,Vorrunde!$O17&lt;&gt;"",Vorrunde!$Q17&lt;&gt;"",ABS(Vorrunde!$O17-Vorrunde!$Q17)&gt;1),Vorrunde!$Q17,"")</f>
        <v/>
      </c>
      <c r="AH69" s="145">
        <f t="shared" ca="1" si="68"/>
        <v>40</v>
      </c>
      <c r="AI69" s="141">
        <f t="shared" ca="1" si="69"/>
        <v>50</v>
      </c>
      <c r="AJ69" s="145">
        <f ca="1">IF(Vorrunde!$R17="",0,Vorrunde!$R17)</f>
        <v>0</v>
      </c>
      <c r="AK69" s="141">
        <f ca="1">IF(Vorrunde!$T17="",0,Vorrunde!$T17)</f>
        <v>2</v>
      </c>
      <c r="AL69" s="145">
        <f ca="1">IF($AA69=0,"",IF($AJ69&gt;$AK69,Einstellungen!$C$4,IF($AJ69=$AK69,1,0)))</f>
        <v>0</v>
      </c>
      <c r="AM69" s="141">
        <f ca="1">IF($AA69=0,"",IF($AJ69&lt;$AK69,Einstellungen!$C$4,IF($AJ69=$AK69,1,0)))</f>
        <v>2</v>
      </c>
      <c r="AN69" s="778"/>
    </row>
    <row r="70" spans="2:40" s="2" customFormat="1" x14ac:dyDescent="0.2">
      <c r="L70" s="4"/>
      <c r="P70" s="45"/>
      <c r="Q70" s="60" t="str">
        <f>""</f>
        <v/>
      </c>
      <c r="U70" s="66" t="s">
        <v>16</v>
      </c>
      <c r="V70" s="40" t="str">
        <f ca="1">Planung!$L12</f>
        <v>Borussia Dortmund</v>
      </c>
      <c r="W70" s="778" t="str">
        <f ca="1">Planung!$N12</f>
        <v>FSV Rauen</v>
      </c>
      <c r="X70" s="831">
        <f ca="1">IF(AND($AA70=1,Vorrunde!$I18&lt;&gt;"",Vorrunde!$K18&lt;&gt;"",ABS(Vorrunde!$I18-Vorrunde!$K18)&gt;1),Vorrunde!$I18,"")</f>
        <v>20</v>
      </c>
      <c r="Y70" s="35">
        <f ca="1">IF(AND($AA70=1,Vorrunde!$I18&lt;&gt;"",Vorrunde!$K18&lt;&gt;"",ABS(Vorrunde!$I18-Vorrunde!$K18)&gt;1),Vorrunde!$K18,"")</f>
        <v>25</v>
      </c>
      <c r="Z70" s="34" t="str">
        <f t="shared" ca="1" si="67"/>
        <v>Borussia DortmundFSV Rauen</v>
      </c>
      <c r="AA70" s="831">
        <f ca="1">IF(AND(V70&lt;&gt;"",W70&lt;&gt;"",V70&lt;&gt;W70,Vorrunde!$R18&lt;&gt;"",Vorrunde!$T18&lt;&gt;""),1,0)</f>
        <v>1</v>
      </c>
      <c r="AB70" s="831" t="str">
        <f ca="1">IF(AA70&gt;0,AH70&amp;Sprache!$E$109&amp;AI70,"")</f>
        <v>70 : 61</v>
      </c>
      <c r="AC70" s="141" t="str">
        <f ca="1">IF(AA70&gt;0,AJ70&amp;Sprache!$E$109&amp;AK70,"")</f>
        <v>2 : 1</v>
      </c>
      <c r="AD70" s="145">
        <f ca="1">IF(AND($AA70=1,Vorrunde!$L18&lt;&gt;"",Vorrunde!$N18&lt;&gt;"",ABS(Vorrunde!$L18-Vorrunde!$N18)&gt;1),Vorrunde!$L18,"")</f>
        <v>25</v>
      </c>
      <c r="AE70" s="141">
        <f ca="1">IF(AND($AA70=1,Vorrunde!$L18&lt;&gt;"",Vorrunde!$N18&lt;&gt;"",ABS(Vorrunde!$L18-Vorrunde!$N18)&gt;1),Vorrunde!$N18,"")</f>
        <v>23</v>
      </c>
      <c r="AF70" s="145">
        <f ca="1">IF(AND($AA70=1,Vorrunde!$O18&lt;&gt;"",Vorrunde!$Q18&lt;&gt;"",ABS(Vorrunde!$O18-Vorrunde!$Q18)&gt;1),Vorrunde!$O18,"")</f>
        <v>25</v>
      </c>
      <c r="AG70" s="141">
        <f ca="1">IF(AND($AA70=1,Vorrunde!$O18&lt;&gt;"",Vorrunde!$Q18&lt;&gt;"",ABS(Vorrunde!$O18-Vorrunde!$Q18)&gt;1),Vorrunde!$Q18,"")</f>
        <v>13</v>
      </c>
      <c r="AH70" s="145">
        <f t="shared" ca="1" si="68"/>
        <v>70</v>
      </c>
      <c r="AI70" s="141">
        <f t="shared" ca="1" si="69"/>
        <v>61</v>
      </c>
      <c r="AJ70" s="145">
        <f ca="1">IF(Vorrunde!$R18="",0,Vorrunde!$R18)</f>
        <v>2</v>
      </c>
      <c r="AK70" s="141">
        <f ca="1">IF(Vorrunde!$T18="",0,Vorrunde!$T18)</f>
        <v>1</v>
      </c>
      <c r="AL70" s="145">
        <f ca="1">IF($AA70=0,"",IF($AJ70&gt;$AK70,Einstellungen!$C$4,IF($AJ70=$AK70,1,0)))</f>
        <v>2</v>
      </c>
      <c r="AM70" s="141">
        <f ca="1">IF($AA70=0,"",IF($AJ70&lt;$AK70,Einstellungen!$C$4,IF($AJ70=$AK70,1,0)))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Planung!$L13</f>
        <v>HSV</v>
      </c>
      <c r="W71" s="778" t="str">
        <f ca="1">Planung!$N13</f>
        <v>RB Leipzig</v>
      </c>
      <c r="X71" s="831">
        <f ca="1">IF(AND($AA71=1,Vorrunde!$I19&lt;&gt;"",Vorrunde!$K19&lt;&gt;"",ABS(Vorrunde!$I19-Vorrunde!$K19)&gt;1),Vorrunde!$I19,"")</f>
        <v>19</v>
      </c>
      <c r="Y71" s="35">
        <f ca="1">IF(AND($AA71=1,Vorrunde!$I19&lt;&gt;"",Vorrunde!$K19&lt;&gt;"",ABS(Vorrunde!$I19-Vorrunde!$K19)&gt;1),Vorrunde!$K19,"")</f>
        <v>25</v>
      </c>
      <c r="Z71" s="34" t="str">
        <f t="shared" ca="1" si="67"/>
        <v>HSVRB Leipzig</v>
      </c>
      <c r="AA71" s="831">
        <f ca="1">IF(AND(V71&lt;&gt;"",W71&lt;&gt;"",V71&lt;&gt;W71,Vorrunde!$R19&lt;&gt;"",Vorrunde!$T19&lt;&gt;""),1,0)</f>
        <v>1</v>
      </c>
      <c r="AB71" s="831" t="str">
        <f ca="1">IF(AA71&gt;0,AH71&amp;Sprache!$E$109&amp;AI71,"")</f>
        <v>66 : 67</v>
      </c>
      <c r="AC71" s="141" t="str">
        <f ca="1">IF(AA71&gt;0,AJ71&amp;Sprache!$E$109&amp;AK71,"")</f>
        <v>1 : 2</v>
      </c>
      <c r="AD71" s="145">
        <f ca="1">IF(AND($AA71=1,Vorrunde!$L19&lt;&gt;"",Vorrunde!$N19&lt;&gt;"",ABS(Vorrunde!$L19-Vorrunde!$N19)&gt;1),Vorrunde!$L19,"")</f>
        <v>25</v>
      </c>
      <c r="AE71" s="141">
        <f ca="1">IF(AND($AA71=1,Vorrunde!$L19&lt;&gt;"",Vorrunde!$N19&lt;&gt;"",ABS(Vorrunde!$L19-Vorrunde!$N19)&gt;1),Vorrunde!$N19,"")</f>
        <v>17</v>
      </c>
      <c r="AF71" s="145">
        <f ca="1">IF(AND($AA71=1,Vorrunde!$O19&lt;&gt;"",Vorrunde!$Q19&lt;&gt;"",ABS(Vorrunde!$O19-Vorrunde!$Q19)&gt;1),Vorrunde!$O19,"")</f>
        <v>22</v>
      </c>
      <c r="AG71" s="141">
        <f ca="1">IF(AND($AA71=1,Vorrunde!$O19&lt;&gt;"",Vorrunde!$Q19&lt;&gt;"",ABS(Vorrunde!$O19-Vorrunde!$Q19)&gt;1),Vorrunde!$Q19,"")</f>
        <v>25</v>
      </c>
      <c r="AH71" s="145">
        <f t="shared" ca="1" si="68"/>
        <v>66</v>
      </c>
      <c r="AI71" s="141">
        <f t="shared" ca="1" si="69"/>
        <v>67</v>
      </c>
      <c r="AJ71" s="145">
        <f ca="1">IF(Vorrunde!$R19="",0,Vorrunde!$R19)</f>
        <v>1</v>
      </c>
      <c r="AK71" s="141">
        <f ca="1">IF(Vorrunde!$T19="",0,Vorrunde!$T19)</f>
        <v>2</v>
      </c>
      <c r="AL71" s="145">
        <f ca="1">IF($AA71=0,"",IF($AJ71&gt;$AK71,Einstellungen!$C$4,IF($AJ71=$AK71,1,0)))</f>
        <v>0</v>
      </c>
      <c r="AM71" s="141">
        <f ca="1">IF($AA71=0,"",IF($AJ71&lt;$AK71,Einstellungen!$C$4,IF($AJ71=$AK71,1,0)))</f>
        <v>2</v>
      </c>
      <c r="AN71" s="778"/>
    </row>
    <row r="72" spans="2:40" s="2" customFormat="1" ht="12.75" thickBot="1" x14ac:dyDescent="0.25">
      <c r="B72" s="4"/>
      <c r="C72" s="4"/>
      <c r="D72" s="4"/>
      <c r="E72" s="4"/>
      <c r="F72" s="778"/>
      <c r="G72" s="778"/>
      <c r="H72" s="778"/>
      <c r="I72" s="778"/>
      <c r="J72" s="778"/>
      <c r="K72" s="778"/>
      <c r="L72" s="664"/>
      <c r="M72" s="778"/>
      <c r="P72" s="46"/>
      <c r="Q72" s="61" t="str">
        <f>""</f>
        <v/>
      </c>
      <c r="U72" s="66" t="s">
        <v>18</v>
      </c>
      <c r="V72" s="40" t="str">
        <f ca="1">Planung!$L14</f>
        <v>VFB Essenheim</v>
      </c>
      <c r="W72" s="778" t="str">
        <f ca="1">Planung!$N14</f>
        <v>1. FC Riedwald</v>
      </c>
      <c r="X72" s="831">
        <f ca="1">IF(AND($AA72=1,Vorrunde!$I20&lt;&gt;"",Vorrunde!$K20&lt;&gt;"",ABS(Vorrunde!$I20-Vorrunde!$K20)&gt;1),Vorrunde!$I20,"")</f>
        <v>16</v>
      </c>
      <c r="Y72" s="35">
        <f ca="1">IF(AND($AA72=1,Vorrunde!$I20&lt;&gt;"",Vorrunde!$K20&lt;&gt;"",ABS(Vorrunde!$I20-Vorrunde!$K20)&gt;1),Vorrunde!$K20,"")</f>
        <v>25</v>
      </c>
      <c r="Z72" s="34" t="str">
        <f t="shared" ca="1" si="67"/>
        <v>VFB Essenheim1. FC Riedwald</v>
      </c>
      <c r="AA72" s="831">
        <f ca="1">IF(AND(V72&lt;&gt;"",W72&lt;&gt;"",V72&lt;&gt;W72,Vorrunde!$R20&lt;&gt;"",Vorrunde!$T20&lt;&gt;""),1,0)</f>
        <v>1</v>
      </c>
      <c r="AB72" s="831" t="str">
        <f ca="1">IF(AA72&gt;0,AH72&amp;Sprache!$E$109&amp;AI72,"")</f>
        <v>65 : 69</v>
      </c>
      <c r="AC72" s="141" t="str">
        <f ca="1">IF(AA72&gt;0,AJ72&amp;Sprache!$E$109&amp;AK72,"")</f>
        <v>1 : 2</v>
      </c>
      <c r="AD72" s="145">
        <f ca="1">IF(AND($AA72=1,Vorrunde!$L20&lt;&gt;"",Vorrunde!$N20&lt;&gt;"",ABS(Vorrunde!$L20-Vorrunde!$N20)&gt;1),Vorrunde!$L20,"")</f>
        <v>25</v>
      </c>
      <c r="AE72" s="141">
        <f ca="1">IF(AND($AA72=1,Vorrunde!$L20&lt;&gt;"",Vorrunde!$N20&lt;&gt;"",ABS(Vorrunde!$L20-Vorrunde!$N20)&gt;1),Vorrunde!$N20,"")</f>
        <v>18</v>
      </c>
      <c r="AF72" s="145">
        <f ca="1">IF(AND($AA72=1,Vorrunde!$O20&lt;&gt;"",Vorrunde!$Q20&lt;&gt;"",ABS(Vorrunde!$O20-Vorrunde!$Q20)&gt;1),Vorrunde!$O20,"")</f>
        <v>24</v>
      </c>
      <c r="AG72" s="141">
        <f ca="1">IF(AND($AA72=1,Vorrunde!$O20&lt;&gt;"",Vorrunde!$Q20&lt;&gt;"",ABS(Vorrunde!$O20-Vorrunde!$Q20)&gt;1),Vorrunde!$Q20,"")</f>
        <v>26</v>
      </c>
      <c r="AH72" s="145">
        <f t="shared" ca="1" si="68"/>
        <v>65</v>
      </c>
      <c r="AI72" s="141">
        <f t="shared" ca="1" si="69"/>
        <v>69</v>
      </c>
      <c r="AJ72" s="145">
        <f ca="1">IF(Vorrunde!$R20="",0,Vorrunde!$R20)</f>
        <v>1</v>
      </c>
      <c r="AK72" s="141">
        <f ca="1">IF(Vorrunde!$T20="",0,Vorrunde!$T20)</f>
        <v>2</v>
      </c>
      <c r="AL72" s="145">
        <f ca="1">IF($AA72=0,"",IF($AJ72&gt;$AK72,Einstellungen!$C$4,IF($AJ72=$AK72,1,0)))</f>
        <v>0</v>
      </c>
      <c r="AM72" s="141">
        <f ca="1">IF($AA72=0,"",IF($AJ72&lt;$AK72,Einstellungen!$C$4,IF($AJ72=$AK72,1,0)))</f>
        <v>2</v>
      </c>
      <c r="AN72" s="778"/>
    </row>
    <row r="73" spans="2:40" s="2" customFormat="1" ht="12.75" thickTop="1" x14ac:dyDescent="0.2">
      <c r="B73" s="4"/>
      <c r="C73" s="4"/>
      <c r="D73" s="4"/>
      <c r="E73" s="4"/>
      <c r="F73" s="778"/>
      <c r="G73" s="778"/>
      <c r="H73" s="778"/>
      <c r="I73" s="778"/>
      <c r="J73" s="778"/>
      <c r="K73" s="778"/>
      <c r="L73" s="664"/>
      <c r="M73" s="778"/>
      <c r="U73" s="66" t="s">
        <v>24</v>
      </c>
      <c r="V73" s="40" t="str">
        <f ca="1">Planung!$L15</f>
        <v>FC Grönlingen</v>
      </c>
      <c r="W73" s="778" t="str">
        <f ca="1">Planung!$N15</f>
        <v>Mainz 05</v>
      </c>
      <c r="X73" s="831">
        <f ca="1">IF(AND($AA73=1,Vorrunde!$I21&lt;&gt;"",Vorrunde!$K21&lt;&gt;"",ABS(Vorrunde!$I21-Vorrunde!$K21)&gt;1),Vorrunde!$I21,"")</f>
        <v>14</v>
      </c>
      <c r="Y73" s="35">
        <f ca="1">IF(AND($AA73=1,Vorrunde!$I21&lt;&gt;"",Vorrunde!$K21&lt;&gt;"",ABS(Vorrunde!$I21-Vorrunde!$K21)&gt;1),Vorrunde!$K21,"")</f>
        <v>25</v>
      </c>
      <c r="Z73" s="34" t="str">
        <f t="shared" ca="1" si="67"/>
        <v>FC GrönlingenMainz 05</v>
      </c>
      <c r="AA73" s="831">
        <f ca="1">IF(AND(V73&lt;&gt;"",W73&lt;&gt;"",V73&lt;&gt;W73,Vorrunde!$R21&lt;&gt;"",Vorrunde!$T21&lt;&gt;""),1,0)</f>
        <v>1</v>
      </c>
      <c r="AB73" s="831" t="str">
        <f ca="1">IF(AA73&gt;0,AH73&amp;Sprache!$E$109&amp;AI73,"")</f>
        <v>33 : 50</v>
      </c>
      <c r="AC73" s="141" t="str">
        <f ca="1">IF(AA73&gt;0,AJ73&amp;Sprache!$E$109&amp;AK73,"")</f>
        <v>0 : 2</v>
      </c>
      <c r="AD73" s="145">
        <f ca="1">IF(AND($AA73=1,Vorrunde!$L21&lt;&gt;"",Vorrunde!$N21&lt;&gt;"",ABS(Vorrunde!$L21-Vorrunde!$N21)&gt;1),Vorrunde!$L21,"")</f>
        <v>19</v>
      </c>
      <c r="AE73" s="141">
        <f ca="1">IF(AND($AA73=1,Vorrunde!$L21&lt;&gt;"",Vorrunde!$N21&lt;&gt;"",ABS(Vorrunde!$L21-Vorrunde!$N21)&gt;1),Vorrunde!$N21,"")</f>
        <v>25</v>
      </c>
      <c r="AF73" s="145" t="str">
        <f ca="1">IF(AND($AA73=1,Vorrunde!$O21&lt;&gt;"",Vorrunde!$Q21&lt;&gt;"",ABS(Vorrunde!$O21-Vorrunde!$Q21)&gt;1),Vorrunde!$O21,"")</f>
        <v/>
      </c>
      <c r="AG73" s="141" t="str">
        <f ca="1">IF(AND($AA73=1,Vorrunde!$O21&lt;&gt;"",Vorrunde!$Q21&lt;&gt;"",ABS(Vorrunde!$O21-Vorrunde!$Q21)&gt;1),Vorrunde!$Q21,"")</f>
        <v/>
      </c>
      <c r="AH73" s="145">
        <f t="shared" ca="1" si="68"/>
        <v>33</v>
      </c>
      <c r="AI73" s="141">
        <f t="shared" ca="1" si="69"/>
        <v>50</v>
      </c>
      <c r="AJ73" s="145">
        <f ca="1">IF(Vorrunde!$R21="",0,Vorrunde!$R21)</f>
        <v>0</v>
      </c>
      <c r="AK73" s="141">
        <f ca="1">IF(Vorrunde!$T21="",0,Vorrunde!$T21)</f>
        <v>2</v>
      </c>
      <c r="AL73" s="145">
        <f ca="1">IF($AA73=0,"",IF($AJ73&gt;$AK73,Einstellungen!$C$4,IF($AJ73=$AK73,1,0)))</f>
        <v>0</v>
      </c>
      <c r="AM73" s="141">
        <f ca="1">IF($AA73=0,"",IF($AJ73&lt;$AK73,Einstellungen!$C$4,IF($AJ73=$AK73,1,0)))</f>
        <v>2</v>
      </c>
      <c r="AN73" s="778"/>
    </row>
    <row r="74" spans="2:40" s="2" customFormat="1" x14ac:dyDescent="0.2">
      <c r="B74" s="4"/>
      <c r="C74" s="4"/>
      <c r="D74" s="4"/>
      <c r="E74" s="4"/>
      <c r="F74" s="778"/>
      <c r="G74" s="778"/>
      <c r="H74" s="778"/>
      <c r="I74" s="778"/>
      <c r="J74" s="778"/>
      <c r="K74" s="778"/>
      <c r="L74" s="664"/>
      <c r="M74" s="778"/>
      <c r="U74" s="66" t="s">
        <v>25</v>
      </c>
      <c r="V74" s="40" t="str">
        <f ca="1">Planung!$L16</f>
        <v>1. FC Nürnberg</v>
      </c>
      <c r="W74" s="778" t="str">
        <f ca="1">Planung!$N16</f>
        <v>Kickers Rodendorf</v>
      </c>
      <c r="X74" s="831">
        <f ca="1">IF(AND($AA74=1,Vorrunde!$I22&lt;&gt;"",Vorrunde!$K22&lt;&gt;"",ABS(Vorrunde!$I22-Vorrunde!$K22)&gt;1),Vorrunde!$I22,"")</f>
        <v>25</v>
      </c>
      <c r="Y74" s="35">
        <f ca="1">IF(AND($AA74=1,Vorrunde!$I22&lt;&gt;"",Vorrunde!$K22&lt;&gt;"",ABS(Vorrunde!$I22-Vorrunde!$K22)&gt;1),Vorrunde!$K22,"")</f>
        <v>22</v>
      </c>
      <c r="Z74" s="34" t="str">
        <f ca="1">V74&amp;W74</f>
        <v>1. FC NürnbergKickers Rodendorf</v>
      </c>
      <c r="AA74" s="831">
        <f ca="1">IF(AND(V74&lt;&gt;"",W74&lt;&gt;"",V74&lt;&gt;W74,Vorrunde!$R22&lt;&gt;"",Vorrunde!$T22&lt;&gt;""),1,0)</f>
        <v>1</v>
      </c>
      <c r="AB74" s="831" t="str">
        <f ca="1">IF(AA74&gt;0,AH74&amp;Sprache!$E$109&amp;AI74,"")</f>
        <v>50 : 42</v>
      </c>
      <c r="AC74" s="141" t="str">
        <f ca="1">IF(AA74&gt;0,AJ74&amp;Sprache!$E$109&amp;AK74,"")</f>
        <v>2 : 0</v>
      </c>
      <c r="AD74" s="145">
        <f ca="1">IF(AND($AA74=1,Vorrunde!$L22&lt;&gt;"",Vorrunde!$N22&lt;&gt;"",ABS(Vorrunde!$L22-Vorrunde!$N22)&gt;1),Vorrunde!$L22,"")</f>
        <v>25</v>
      </c>
      <c r="AE74" s="141">
        <f ca="1">IF(AND($AA74=1,Vorrunde!$L22&lt;&gt;"",Vorrunde!$N22&lt;&gt;"",ABS(Vorrunde!$L22-Vorrunde!$N22)&gt;1),Vorrunde!$N22,"")</f>
        <v>20</v>
      </c>
      <c r="AF74" s="145" t="str">
        <f ca="1">IF(AND($AA74=1,Vorrunde!$O22&lt;&gt;"",Vorrunde!$Q22&lt;&gt;"",ABS(Vorrunde!$O22-Vorrunde!$Q22)&gt;1),Vorrunde!$O22,"")</f>
        <v/>
      </c>
      <c r="AG74" s="141" t="str">
        <f ca="1">IF(AND($AA74=1,Vorrunde!$O22&lt;&gt;"",Vorrunde!$Q22&lt;&gt;"",ABS(Vorrunde!$O22-Vorrunde!$Q22)&gt;1),Vorrunde!$Q22,"")</f>
        <v/>
      </c>
      <c r="AH74" s="145">
        <f t="shared" ca="1" si="68"/>
        <v>50</v>
      </c>
      <c r="AI74" s="141">
        <f t="shared" ca="1" si="69"/>
        <v>42</v>
      </c>
      <c r="AJ74" s="145">
        <f ca="1">IF(Vorrunde!$R22="",0,Vorrunde!$R22)</f>
        <v>2</v>
      </c>
      <c r="AK74" s="141">
        <f ca="1">IF(Vorrunde!$T22="",0,Vorrunde!$T22)</f>
        <v>0</v>
      </c>
      <c r="AL74" s="145">
        <f ca="1">IF($AA74=0,"",IF($AJ74&gt;$AK74,Einstellungen!$C$4,IF($AJ74=$AK74,1,0)))</f>
        <v>2</v>
      </c>
      <c r="AM74" s="141">
        <f ca="1">IF($AA74=0,"",IF($AJ74&lt;$AK74,Einstellungen!$C$4,IF($AJ74=$AK74,1,0)))</f>
        <v>0</v>
      </c>
    </row>
    <row r="75" spans="2:40" s="2" customFormat="1" x14ac:dyDescent="0.2">
      <c r="B75" s="4"/>
      <c r="C75" s="4"/>
      <c r="D75" s="4"/>
      <c r="E75" s="4"/>
      <c r="F75" s="778"/>
      <c r="G75" s="778"/>
      <c r="H75" s="778"/>
      <c r="I75" s="778"/>
      <c r="J75" s="778"/>
      <c r="K75" s="778"/>
      <c r="L75" s="664"/>
      <c r="M75" s="778"/>
      <c r="U75" s="66" t="s">
        <v>26</v>
      </c>
      <c r="V75" s="40" t="str">
        <f ca="1">Planung!$L17</f>
        <v>SV Oberredenburg</v>
      </c>
      <c r="W75" s="778" t="str">
        <f ca="1">Planung!$N17</f>
        <v>TSG Saalberg eV</v>
      </c>
      <c r="X75" s="831">
        <f ca="1">IF(AND($AA75=1,Vorrunde!$I23&lt;&gt;"",Vorrunde!$K23&lt;&gt;"",ABS(Vorrunde!$I23-Vorrunde!$K23)&gt;1),Vorrunde!$I23,"")</f>
        <v>19</v>
      </c>
      <c r="Y75" s="35">
        <f ca="1">IF(AND($AA75=1,Vorrunde!$I23&lt;&gt;"",Vorrunde!$K23&lt;&gt;"",ABS(Vorrunde!$I23-Vorrunde!$K23)&gt;1),Vorrunde!$K23,"")</f>
        <v>25</v>
      </c>
      <c r="Z75" s="34" t="str">
        <f t="shared" ref="Z75:Z123" ca="1" si="70">V75&amp;W75</f>
        <v>SV OberredenburgTSG Saalberg eV</v>
      </c>
      <c r="AA75" s="831">
        <f ca="1">IF(AND(V75&lt;&gt;"",W75&lt;&gt;"",V75&lt;&gt;W75,Vorrunde!$R23&lt;&gt;"",Vorrunde!$T23&lt;&gt;""),1,0)</f>
        <v>1</v>
      </c>
      <c r="AB75" s="831" t="str">
        <f ca="1">IF(AA75&gt;0,AH75&amp;Sprache!$E$109&amp;AI75,"")</f>
        <v>42 : 50</v>
      </c>
      <c r="AC75" s="141" t="str">
        <f ca="1">IF(AA75&gt;0,AJ75&amp;Sprache!$E$109&amp;AK75,"")</f>
        <v>0 : 2</v>
      </c>
      <c r="AD75" s="145">
        <f ca="1">IF(AND($AA75=1,Vorrunde!$L23&lt;&gt;"",Vorrunde!$N23&lt;&gt;"",ABS(Vorrunde!$L23-Vorrunde!$N23)&gt;1),Vorrunde!$L23,"")</f>
        <v>23</v>
      </c>
      <c r="AE75" s="141">
        <f ca="1">IF(AND($AA75=1,Vorrunde!$L23&lt;&gt;"",Vorrunde!$N23&lt;&gt;"",ABS(Vorrunde!$L23-Vorrunde!$N23)&gt;1),Vorrunde!$N23,"")</f>
        <v>25</v>
      </c>
      <c r="AF75" s="145" t="str">
        <f ca="1">IF(AND($AA75=1,Vorrunde!$O23&lt;&gt;"",Vorrunde!$Q23&lt;&gt;"",ABS(Vorrunde!$O23-Vorrunde!$Q23)&gt;1),Vorrunde!$O23,"")</f>
        <v/>
      </c>
      <c r="AG75" s="141" t="str">
        <f ca="1">IF(AND($AA75=1,Vorrunde!$O23&lt;&gt;"",Vorrunde!$Q23&lt;&gt;"",ABS(Vorrunde!$O23-Vorrunde!$Q23)&gt;1),Vorrunde!$Q23,"")</f>
        <v/>
      </c>
      <c r="AH75" s="145">
        <f t="shared" ca="1" si="68"/>
        <v>42</v>
      </c>
      <c r="AI75" s="141">
        <f t="shared" ca="1" si="69"/>
        <v>50</v>
      </c>
      <c r="AJ75" s="145">
        <f ca="1">IF(Vorrunde!$R23="",0,Vorrunde!$R23)</f>
        <v>0</v>
      </c>
      <c r="AK75" s="141">
        <f ca="1">IF(Vorrunde!$T23="",0,Vorrunde!$T23)</f>
        <v>2</v>
      </c>
      <c r="AL75" s="145">
        <f ca="1">IF($AA75=0,"",IF($AJ75&gt;$AK75,Einstellungen!$C$4,IF($AJ75=$AK75,1,0)))</f>
        <v>0</v>
      </c>
      <c r="AM75" s="141">
        <f ca="1">IF($AA75=0,"",IF($AJ75&lt;$AK75,Einstellungen!$C$4,IF($AJ75=$AK75,1,0)))</f>
        <v>2</v>
      </c>
    </row>
    <row r="76" spans="2:40" s="2" customFormat="1" x14ac:dyDescent="0.2">
      <c r="B76" s="4"/>
      <c r="C76" s="4"/>
      <c r="D76" s="4"/>
      <c r="E76" s="4"/>
      <c r="F76" s="778"/>
      <c r="G76" s="778"/>
      <c r="H76" s="778"/>
      <c r="I76" s="778"/>
      <c r="J76" s="778"/>
      <c r="K76" s="778"/>
      <c r="L76" s="664"/>
      <c r="M76" s="778"/>
      <c r="U76" s="66" t="s">
        <v>27</v>
      </c>
      <c r="V76" s="40" t="str">
        <f ca="1">Planung!$L18</f>
        <v>FC Barcelona</v>
      </c>
      <c r="W76" s="778" t="str">
        <f ca="1">Planung!$N18</f>
        <v>Eintracht Frankfurt</v>
      </c>
      <c r="X76" s="831">
        <f ca="1">IF(AND($AA76=1,Vorrunde!$I24&lt;&gt;"",Vorrunde!$K24&lt;&gt;"",ABS(Vorrunde!$I24-Vorrunde!$K24)&gt;1),Vorrunde!$I24,"")</f>
        <v>23</v>
      </c>
      <c r="Y76" s="35">
        <f ca="1">IF(AND($AA76=1,Vorrunde!$I24&lt;&gt;"",Vorrunde!$K24&lt;&gt;"",ABS(Vorrunde!$I24-Vorrunde!$K24)&gt;1),Vorrunde!$K24,"")</f>
        <v>25</v>
      </c>
      <c r="Z76" s="34" t="str">
        <f t="shared" ca="1" si="70"/>
        <v>FC BarcelonaEintracht Frankfurt</v>
      </c>
      <c r="AA76" s="831">
        <f ca="1">IF(AND(V76&lt;&gt;"",W76&lt;&gt;"",V76&lt;&gt;W76,Vorrunde!$R24&lt;&gt;"",Vorrunde!$T24&lt;&gt;""),1,0)</f>
        <v>1</v>
      </c>
      <c r="AB76" s="831" t="str">
        <f ca="1">IF(AA76&gt;0,AH76&amp;Sprache!$E$109&amp;AI76,"")</f>
        <v>69 : 72</v>
      </c>
      <c r="AC76" s="141" t="str">
        <f ca="1">IF(AA76&gt;0,AJ76&amp;Sprache!$E$109&amp;AK76,"")</f>
        <v>1 : 2</v>
      </c>
      <c r="AD76" s="145">
        <f ca="1">IF(AND($AA76=1,Vorrunde!$L24&lt;&gt;"",Vorrunde!$N24&lt;&gt;"",ABS(Vorrunde!$L24-Vorrunde!$N24)&gt;1),Vorrunde!$L24,"")</f>
        <v>25</v>
      </c>
      <c r="AE76" s="141">
        <f ca="1">IF(AND($AA76=1,Vorrunde!$L24&lt;&gt;"",Vorrunde!$N24&lt;&gt;"",ABS(Vorrunde!$L24-Vorrunde!$N24)&gt;1),Vorrunde!$N24,"")</f>
        <v>22</v>
      </c>
      <c r="AF76" s="145">
        <f ca="1">IF(AND($AA76=1,Vorrunde!$O24&lt;&gt;"",Vorrunde!$Q24&lt;&gt;"",ABS(Vorrunde!$O24-Vorrunde!$Q24)&gt;1),Vorrunde!$O24,"")</f>
        <v>21</v>
      </c>
      <c r="AG76" s="141">
        <f ca="1">IF(AND($AA76=1,Vorrunde!$O24&lt;&gt;"",Vorrunde!$Q24&lt;&gt;"",ABS(Vorrunde!$O24-Vorrunde!$Q24)&gt;1),Vorrunde!$Q24,"")</f>
        <v>25</v>
      </c>
      <c r="AH76" s="145">
        <f t="shared" ca="1" si="68"/>
        <v>69</v>
      </c>
      <c r="AI76" s="141">
        <f t="shared" ca="1" si="69"/>
        <v>72</v>
      </c>
      <c r="AJ76" s="145">
        <f ca="1">IF(Vorrunde!$R24="",0,Vorrunde!$R24)</f>
        <v>1</v>
      </c>
      <c r="AK76" s="141">
        <f ca="1">IF(Vorrunde!$T24="",0,Vorrunde!$T24)</f>
        <v>2</v>
      </c>
      <c r="AL76" s="145">
        <f ca="1">IF($AA76=0,"",IF($AJ76&gt;$AK76,Einstellungen!$C$4,IF($AJ76=$AK76,1,0)))</f>
        <v>0</v>
      </c>
      <c r="AM76" s="141">
        <f ca="1">IF($AA76=0,"",IF($AJ76&lt;$AK76,Einstellungen!$C$4,IF($AJ76=$AK76,1,0)))</f>
        <v>2</v>
      </c>
    </row>
    <row r="77" spans="2:40" s="2" customFormat="1" x14ac:dyDescent="0.2">
      <c r="B77" s="4"/>
      <c r="C77" s="4"/>
      <c r="D77" s="4"/>
      <c r="E77" s="4"/>
      <c r="F77" s="778"/>
      <c r="G77" s="778"/>
      <c r="H77" s="778"/>
      <c r="I77" s="778"/>
      <c r="J77" s="778"/>
      <c r="K77" s="778"/>
      <c r="L77" s="664"/>
      <c r="M77" s="778"/>
      <c r="U77" s="66" t="s">
        <v>28</v>
      </c>
      <c r="V77" s="40" t="str">
        <f ca="1">Planung!$L19</f>
        <v>Inter Mailand</v>
      </c>
      <c r="W77" s="778" t="str">
        <f ca="1">Planung!$N19</f>
        <v>SSV Wildbach</v>
      </c>
      <c r="X77" s="831">
        <f ca="1">IF(AND($AA77=1,Vorrunde!$I25&lt;&gt;"",Vorrunde!$K25&lt;&gt;"",ABS(Vorrunde!$I25-Vorrunde!$K25)&gt;1),Vorrunde!$I25,"")</f>
        <v>25</v>
      </c>
      <c r="Y77" s="35">
        <f ca="1">IF(AND($AA77=1,Vorrunde!$I25&lt;&gt;"",Vorrunde!$K25&lt;&gt;"",ABS(Vorrunde!$I25-Vorrunde!$K25)&gt;1),Vorrunde!$K25,"")</f>
        <v>14</v>
      </c>
      <c r="Z77" s="34" t="str">
        <f t="shared" ca="1" si="70"/>
        <v>Inter MailandSSV Wildbach</v>
      </c>
      <c r="AA77" s="831">
        <f ca="1">IF(AND(V77&lt;&gt;"",W77&lt;&gt;"",V77&lt;&gt;W77,Vorrunde!$R25&lt;&gt;"",Vorrunde!$T25&lt;&gt;""),1,0)</f>
        <v>1</v>
      </c>
      <c r="AB77" s="831" t="str">
        <f ca="1">IF(AA77&gt;0,AH77&amp;Sprache!$E$109&amp;AI77,"")</f>
        <v>50 : 37</v>
      </c>
      <c r="AC77" s="141" t="str">
        <f ca="1">IF(AA77&gt;0,AJ77&amp;Sprache!$E$109&amp;AK77,"")</f>
        <v>2 : 0</v>
      </c>
      <c r="AD77" s="145">
        <f ca="1">IF(AND($AA77=1,Vorrunde!$L25&lt;&gt;"",Vorrunde!$N25&lt;&gt;"",ABS(Vorrunde!$L25-Vorrunde!$N25)&gt;1),Vorrunde!$L25,"")</f>
        <v>25</v>
      </c>
      <c r="AE77" s="141">
        <f ca="1">IF(AND($AA77=1,Vorrunde!$L25&lt;&gt;"",Vorrunde!$N25&lt;&gt;"",ABS(Vorrunde!$L25-Vorrunde!$N25)&gt;1),Vorrunde!$N25,"")</f>
        <v>23</v>
      </c>
      <c r="AF77" s="145" t="str">
        <f ca="1">IF(AND($AA77=1,Vorrunde!$O25&lt;&gt;"",Vorrunde!$Q25&lt;&gt;"",ABS(Vorrunde!$O25-Vorrunde!$Q25)&gt;1),Vorrunde!$O25,"")</f>
        <v/>
      </c>
      <c r="AG77" s="141" t="str">
        <f ca="1">IF(AND($AA77=1,Vorrunde!$O25&lt;&gt;"",Vorrunde!$Q25&lt;&gt;"",ABS(Vorrunde!$O25-Vorrunde!$Q25)&gt;1),Vorrunde!$Q25,"")</f>
        <v/>
      </c>
      <c r="AH77" s="145">
        <f t="shared" ca="1" si="68"/>
        <v>50</v>
      </c>
      <c r="AI77" s="141">
        <f t="shared" ca="1" si="69"/>
        <v>37</v>
      </c>
      <c r="AJ77" s="145">
        <f ca="1">IF(Vorrunde!$R25="",0,Vorrunde!$R25)</f>
        <v>2</v>
      </c>
      <c r="AK77" s="141">
        <f ca="1">IF(Vorrunde!$T25="",0,Vorrunde!$T25)</f>
        <v>0</v>
      </c>
      <c r="AL77" s="145">
        <f ca="1">IF($AA77=0,"",IF($AJ77&gt;$AK77,Einstellungen!$C$4,IF($AJ77=$AK77,1,0)))</f>
        <v>2</v>
      </c>
      <c r="AM77" s="141">
        <f ca="1">IF($AA77=0,"",IF($AJ77&lt;$AK77,Einstellungen!$C$4,IF($AJ77=$AK77,1,0)))</f>
        <v>0</v>
      </c>
    </row>
    <row r="78" spans="2:40" s="2" customFormat="1" x14ac:dyDescent="0.2">
      <c r="B78" s="4"/>
      <c r="C78" s="4"/>
      <c r="D78" s="4"/>
      <c r="E78" s="4"/>
      <c r="F78" s="778"/>
      <c r="G78" s="778"/>
      <c r="H78" s="778"/>
      <c r="I78" s="778"/>
      <c r="J78" s="778"/>
      <c r="K78" s="778"/>
      <c r="L78" s="778"/>
      <c r="M78" s="778"/>
      <c r="U78" s="66" t="s">
        <v>29</v>
      </c>
      <c r="V78" s="40" t="str">
        <f ca="1">Planung!$L20</f>
        <v>Real Madrid</v>
      </c>
      <c r="W78" s="778" t="str">
        <f ca="1">Planung!$N20</f>
        <v>Borussia Dortmund</v>
      </c>
      <c r="X78" s="831">
        <f ca="1">IF(AND($AA78=1,Vorrunde!$I26&lt;&gt;"",Vorrunde!$K26&lt;&gt;"",ABS(Vorrunde!$I26-Vorrunde!$K26)&gt;1),Vorrunde!$I26,"")</f>
        <v>21</v>
      </c>
      <c r="Y78" s="35">
        <f ca="1">IF(AND($AA78=1,Vorrunde!$I26&lt;&gt;"",Vorrunde!$K26&lt;&gt;"",ABS(Vorrunde!$I26-Vorrunde!$K26)&gt;1),Vorrunde!$K26,"")</f>
        <v>25</v>
      </c>
      <c r="Z78" s="34" t="str">
        <f t="shared" ca="1" si="70"/>
        <v>Real MadridBorussia Dortmund</v>
      </c>
      <c r="AA78" s="831">
        <f ca="1">IF(AND(V78&lt;&gt;"",W78&lt;&gt;"",V78&lt;&gt;W78,Vorrunde!$R26&lt;&gt;"",Vorrunde!$T26&lt;&gt;""),1,0)</f>
        <v>1</v>
      </c>
      <c r="AB78" s="831" t="str">
        <f ca="1">IF(AA78&gt;0,AH78&amp;Sprache!$E$109&amp;AI78,"")</f>
        <v>71 : 62</v>
      </c>
      <c r="AC78" s="141" t="str">
        <f ca="1">IF(AA78&gt;0,AJ78&amp;Sprache!$E$109&amp;AK78,"")</f>
        <v>2 : 1</v>
      </c>
      <c r="AD78" s="145">
        <f ca="1">IF(AND($AA78=1,Vorrunde!$L26&lt;&gt;"",Vorrunde!$N26&lt;&gt;"",ABS(Vorrunde!$L26-Vorrunde!$N26)&gt;1),Vorrunde!$L26,"")</f>
        <v>25</v>
      </c>
      <c r="AE78" s="141">
        <f ca="1">IF(AND($AA78=1,Vorrunde!$L26&lt;&gt;"",Vorrunde!$N26&lt;&gt;"",ABS(Vorrunde!$L26-Vorrunde!$N26)&gt;1),Vorrunde!$N26,"")</f>
        <v>17</v>
      </c>
      <c r="AF78" s="145">
        <f ca="1">IF(AND($AA78=1,Vorrunde!$O26&lt;&gt;"",Vorrunde!$Q26&lt;&gt;"",ABS(Vorrunde!$O26-Vorrunde!$Q26)&gt;1),Vorrunde!$O26,"")</f>
        <v>25</v>
      </c>
      <c r="AG78" s="141">
        <f ca="1">IF(AND($AA78=1,Vorrunde!$O26&lt;&gt;"",Vorrunde!$Q26&lt;&gt;"",ABS(Vorrunde!$O26-Vorrunde!$Q26)&gt;1),Vorrunde!$Q26,"")</f>
        <v>20</v>
      </c>
      <c r="AH78" s="145">
        <f t="shared" ca="1" si="68"/>
        <v>71</v>
      </c>
      <c r="AI78" s="141">
        <f t="shared" ca="1" si="69"/>
        <v>62</v>
      </c>
      <c r="AJ78" s="145">
        <f ca="1">IF(Vorrunde!$R26="",0,Vorrunde!$R26)</f>
        <v>2</v>
      </c>
      <c r="AK78" s="141">
        <f ca="1">IF(Vorrunde!$T26="",0,Vorrunde!$T26)</f>
        <v>1</v>
      </c>
      <c r="AL78" s="145">
        <f ca="1">IF($AA78=0,"",IF($AJ78&gt;$AK78,Einstellungen!$C$4,IF($AJ78=$AK78,1,0)))</f>
        <v>2</v>
      </c>
      <c r="AM78" s="141">
        <f ca="1">IF($AA78=0,"",IF($AJ78&lt;$AK78,Einstellungen!$C$4,IF($AJ78=$AK78,1,0)))</f>
        <v>0</v>
      </c>
    </row>
    <row r="79" spans="2:40" s="2" customFormat="1" x14ac:dyDescent="0.2">
      <c r="B79" s="4"/>
      <c r="C79" s="4"/>
      <c r="D79" s="4"/>
      <c r="E79" s="4"/>
      <c r="F79" s="778"/>
      <c r="G79" s="778"/>
      <c r="H79" s="778"/>
      <c r="I79" s="778"/>
      <c r="J79" s="778"/>
      <c r="K79" s="778"/>
      <c r="L79" s="778"/>
      <c r="M79" s="778"/>
      <c r="U79" s="66" t="s">
        <v>30</v>
      </c>
      <c r="V79" s="40" t="str">
        <f ca="1">Planung!$L21</f>
        <v>Paris St. Germain</v>
      </c>
      <c r="W79" s="778" t="str">
        <f ca="1">Planung!$N21</f>
        <v>HSV</v>
      </c>
      <c r="X79" s="831">
        <f ca="1">IF(AND($AA79=1,Vorrunde!$I27&lt;&gt;"",Vorrunde!$K27&lt;&gt;"",ABS(Vorrunde!$I27-Vorrunde!$K27)&gt;1),Vorrunde!$I27,"")</f>
        <v>25</v>
      </c>
      <c r="Y79" s="35">
        <f ca="1">IF(AND($AA79=1,Vorrunde!$I27&lt;&gt;"",Vorrunde!$K27&lt;&gt;"",ABS(Vorrunde!$I27-Vorrunde!$K27)&gt;1),Vorrunde!$K27,"")</f>
        <v>12</v>
      </c>
      <c r="Z79" s="34" t="str">
        <f t="shared" ca="1" si="70"/>
        <v>Paris St. GermainHSV</v>
      </c>
      <c r="AA79" s="831">
        <f ca="1">IF(AND(V79&lt;&gt;"",W79&lt;&gt;"",V79&lt;&gt;W79,Vorrunde!$R27&lt;&gt;"",Vorrunde!$T27&lt;&gt;""),1,0)</f>
        <v>1</v>
      </c>
      <c r="AB79" s="831" t="str">
        <f ca="1">IF(AA79&gt;0,AH79&amp;Sprache!$E$109&amp;AI79,"")</f>
        <v>50 : 30</v>
      </c>
      <c r="AC79" s="141" t="str">
        <f ca="1">IF(AA79&gt;0,AJ79&amp;Sprache!$E$109&amp;AK79,"")</f>
        <v>2 : 0</v>
      </c>
      <c r="AD79" s="145">
        <f ca="1">IF(AND($AA79=1,Vorrunde!$L27&lt;&gt;"",Vorrunde!$N27&lt;&gt;"",ABS(Vorrunde!$L27-Vorrunde!$N27)&gt;1),Vorrunde!$L27,"")</f>
        <v>25</v>
      </c>
      <c r="AE79" s="141">
        <f ca="1">IF(AND($AA79=1,Vorrunde!$L27&lt;&gt;"",Vorrunde!$N27&lt;&gt;"",ABS(Vorrunde!$L27-Vorrunde!$N27)&gt;1),Vorrunde!$N27,"")</f>
        <v>18</v>
      </c>
      <c r="AF79" s="145" t="str">
        <f ca="1">IF(AND($AA79=1,Vorrunde!$O27&lt;&gt;"",Vorrunde!$Q27&lt;&gt;"",ABS(Vorrunde!$O27-Vorrunde!$Q27)&gt;1),Vorrunde!$O27,"")</f>
        <v/>
      </c>
      <c r="AG79" s="141" t="str">
        <f ca="1">IF(AND($AA79=1,Vorrunde!$O27&lt;&gt;"",Vorrunde!$Q27&lt;&gt;"",ABS(Vorrunde!$O27-Vorrunde!$Q27)&gt;1),Vorrunde!$Q27,"")</f>
        <v/>
      </c>
      <c r="AH79" s="145">
        <f t="shared" ca="1" si="68"/>
        <v>50</v>
      </c>
      <c r="AI79" s="141">
        <f t="shared" ca="1" si="69"/>
        <v>30</v>
      </c>
      <c r="AJ79" s="145">
        <f ca="1">IF(Vorrunde!$R27="",0,Vorrunde!$R27)</f>
        <v>2</v>
      </c>
      <c r="AK79" s="141">
        <f ca="1">IF(Vorrunde!$T27="",0,Vorrunde!$T27)</f>
        <v>0</v>
      </c>
      <c r="AL79" s="145">
        <f ca="1">IF($AA79=0,"",IF($AJ79&gt;$AK79,Einstellungen!$C$4,IF($AJ79=$AK79,1,0)))</f>
        <v>2</v>
      </c>
      <c r="AM79" s="141">
        <f ca="1">IF($AA79=0,"",IF($AJ79&lt;$AK79,Einstellungen!$C$4,IF($AJ79=$AK79,1,0)))</f>
        <v>0</v>
      </c>
    </row>
    <row r="80" spans="2:40" s="2" customFormat="1" x14ac:dyDescent="0.2">
      <c r="B80" s="4"/>
      <c r="C80" s="4"/>
      <c r="D80" s="4"/>
      <c r="E80" s="4"/>
      <c r="F80" s="778"/>
      <c r="G80" s="778"/>
      <c r="H80" s="778"/>
      <c r="I80" s="778"/>
      <c r="J80" s="778"/>
      <c r="K80" s="778"/>
      <c r="L80" s="778"/>
      <c r="M80" s="778"/>
      <c r="U80" s="66" t="s">
        <v>31</v>
      </c>
      <c r="V80" s="40" t="str">
        <f ca="1">Planung!$L22</f>
        <v>1. FC Riedwald</v>
      </c>
      <c r="W80" s="778" t="str">
        <f ca="1">Planung!$N22</f>
        <v>Maibach 1822 eV</v>
      </c>
      <c r="X80" s="831">
        <f ca="1">IF(AND($AA80=1,Vorrunde!$I28&lt;&gt;"",Vorrunde!$K28&lt;&gt;"",ABS(Vorrunde!$I28-Vorrunde!$K28)&gt;1),Vorrunde!$I28,"")</f>
        <v>25</v>
      </c>
      <c r="Y80" s="35">
        <f ca="1">IF(AND($AA80=1,Vorrunde!$I28&lt;&gt;"",Vorrunde!$K28&lt;&gt;"",ABS(Vorrunde!$I28-Vorrunde!$K28)&gt;1),Vorrunde!$K28,"")</f>
        <v>20</v>
      </c>
      <c r="Z80" s="34" t="str">
        <f t="shared" ca="1" si="70"/>
        <v>1. FC RiedwaldMaibach 1822 eV</v>
      </c>
      <c r="AA80" s="831">
        <f ca="1">IF(AND(V80&lt;&gt;"",W80&lt;&gt;"",V80&lt;&gt;W80,Vorrunde!$R28&lt;&gt;"",Vorrunde!$T28&lt;&gt;""),1,0)</f>
        <v>1</v>
      </c>
      <c r="AB80" s="831" t="str">
        <f ca="1">IF(AA80&gt;0,AH80&amp;Sprache!$E$109&amp;AI80,"")</f>
        <v>50 : 39</v>
      </c>
      <c r="AC80" s="141" t="str">
        <f ca="1">IF(AA80&gt;0,AJ80&amp;Sprache!$E$109&amp;AK80,"")</f>
        <v>2 : 0</v>
      </c>
      <c r="AD80" s="145">
        <f ca="1">IF(AND($AA80=1,Vorrunde!$L28&lt;&gt;"",Vorrunde!$N28&lt;&gt;"",ABS(Vorrunde!$L28-Vorrunde!$N28)&gt;1),Vorrunde!$L28,"")</f>
        <v>25</v>
      </c>
      <c r="AE80" s="141">
        <f ca="1">IF(AND($AA80=1,Vorrunde!$L28&lt;&gt;"",Vorrunde!$N28&lt;&gt;"",ABS(Vorrunde!$L28-Vorrunde!$N28)&gt;1),Vorrunde!$N28,"")</f>
        <v>19</v>
      </c>
      <c r="AF80" s="145" t="str">
        <f ca="1">IF(AND($AA80=1,Vorrunde!$O28&lt;&gt;"",Vorrunde!$Q28&lt;&gt;"",ABS(Vorrunde!$O28-Vorrunde!$Q28)&gt;1),Vorrunde!$O28,"")</f>
        <v/>
      </c>
      <c r="AG80" s="141" t="str">
        <f ca="1">IF(AND($AA80=1,Vorrunde!$O28&lt;&gt;"",Vorrunde!$Q28&lt;&gt;"",ABS(Vorrunde!$O28-Vorrunde!$Q28)&gt;1),Vorrunde!$Q28,"")</f>
        <v/>
      </c>
      <c r="AH80" s="145">
        <f t="shared" ca="1" si="68"/>
        <v>50</v>
      </c>
      <c r="AI80" s="141">
        <f t="shared" ca="1" si="69"/>
        <v>39</v>
      </c>
      <c r="AJ80" s="145">
        <f ca="1">IF(Vorrunde!$R28="",0,Vorrunde!$R28)</f>
        <v>2</v>
      </c>
      <c r="AK80" s="141">
        <f ca="1">IF(Vorrunde!$T28="",0,Vorrunde!$T28)</f>
        <v>0</v>
      </c>
      <c r="AL80" s="145">
        <f ca="1">IF($AA80=0,"",IF($AJ80&gt;$AK80,Einstellungen!$C$4,IF($AJ80=$AK80,1,0)))</f>
        <v>2</v>
      </c>
      <c r="AM80" s="141">
        <f ca="1">IF($AA80=0,"",IF($AJ80&lt;$AK80,Einstellungen!$C$4,IF($AJ80=$AK80,1,0)))</f>
        <v>0</v>
      </c>
    </row>
    <row r="81" spans="2:39" s="2" customFormat="1" x14ac:dyDescent="0.2">
      <c r="B81" s="4"/>
      <c r="C81" s="4"/>
      <c r="D81" s="4"/>
      <c r="E81" s="4"/>
      <c r="F81" s="778"/>
      <c r="G81" s="778"/>
      <c r="H81" s="778"/>
      <c r="I81" s="778"/>
      <c r="J81" s="778"/>
      <c r="K81" s="778"/>
      <c r="L81" s="778"/>
      <c r="M81" s="778"/>
      <c r="U81" s="66" t="s">
        <v>32</v>
      </c>
      <c r="V81" s="40" t="str">
        <f ca="1">Planung!$L23</f>
        <v>Mainz 05</v>
      </c>
      <c r="W81" s="778" t="str">
        <f ca="1">Planung!$N23</f>
        <v>Manchester City</v>
      </c>
      <c r="X81" s="831">
        <f ca="1">IF(AND($AA81=1,Vorrunde!$I29&lt;&gt;"",Vorrunde!$K29&lt;&gt;"",ABS(Vorrunde!$I29-Vorrunde!$K29)&gt;1),Vorrunde!$I29,"")</f>
        <v>9</v>
      </c>
      <c r="Y81" s="35">
        <f ca="1">IF(AND($AA81=1,Vorrunde!$I29&lt;&gt;"",Vorrunde!$K29&lt;&gt;"",ABS(Vorrunde!$I29-Vorrunde!$K29)&gt;1),Vorrunde!$K29,"")</f>
        <v>25</v>
      </c>
      <c r="Z81" s="34" t="str">
        <f t="shared" ca="1" si="70"/>
        <v>Mainz 05Manchester City</v>
      </c>
      <c r="AA81" s="831">
        <f ca="1">IF(AND(V81&lt;&gt;"",W81&lt;&gt;"",V81&lt;&gt;W81,Vorrunde!$R29&lt;&gt;"",Vorrunde!$T29&lt;&gt;""),1,0)</f>
        <v>1</v>
      </c>
      <c r="AB81" s="831" t="str">
        <f ca="1">IF(AA81&gt;0,AH81&amp;Sprache!$E$109&amp;AI81,"")</f>
        <v>23 : 50</v>
      </c>
      <c r="AC81" s="141" t="str">
        <f ca="1">IF(AA81&gt;0,AJ81&amp;Sprache!$E$109&amp;AK81,"")</f>
        <v>0 : 2</v>
      </c>
      <c r="AD81" s="145">
        <f ca="1">IF(AND($AA81=1,Vorrunde!$L29&lt;&gt;"",Vorrunde!$N29&lt;&gt;"",ABS(Vorrunde!$L29-Vorrunde!$N29)&gt;1),Vorrunde!$L29,"")</f>
        <v>14</v>
      </c>
      <c r="AE81" s="141">
        <f ca="1">IF(AND($AA81=1,Vorrunde!$L29&lt;&gt;"",Vorrunde!$N29&lt;&gt;"",ABS(Vorrunde!$L29-Vorrunde!$N29)&gt;1),Vorrunde!$N29,"")</f>
        <v>25</v>
      </c>
      <c r="AF81" s="145" t="str">
        <f ca="1">IF(AND($AA81=1,Vorrunde!$O29&lt;&gt;"",Vorrunde!$Q29&lt;&gt;"",ABS(Vorrunde!$O29-Vorrunde!$Q29)&gt;1),Vorrunde!$O29,"")</f>
        <v/>
      </c>
      <c r="AG81" s="141" t="str">
        <f ca="1">IF(AND($AA81=1,Vorrunde!$O29&lt;&gt;"",Vorrunde!$Q29&lt;&gt;"",ABS(Vorrunde!$O29-Vorrunde!$Q29)&gt;1),Vorrunde!$Q29,"")</f>
        <v/>
      </c>
      <c r="AH81" s="145">
        <f t="shared" ca="1" si="68"/>
        <v>23</v>
      </c>
      <c r="AI81" s="141">
        <f t="shared" ca="1" si="69"/>
        <v>50</v>
      </c>
      <c r="AJ81" s="145">
        <f ca="1">IF(Vorrunde!$R29="",0,Vorrunde!$R29)</f>
        <v>0</v>
      </c>
      <c r="AK81" s="141">
        <f ca="1">IF(Vorrunde!$T29="",0,Vorrunde!$T29)</f>
        <v>2</v>
      </c>
      <c r="AL81" s="145">
        <f ca="1">IF($AA81=0,"",IF($AJ81&gt;$AK81,Einstellungen!$C$4,IF($AJ81=$AK81,1,0)))</f>
        <v>0</v>
      </c>
      <c r="AM81" s="141">
        <f ca="1">IF($AA81=0,"",IF($AJ81&lt;$AK81,Einstellungen!$C$4,IF($AJ81=$AK81,1,0)))</f>
        <v>2</v>
      </c>
    </row>
    <row r="82" spans="2:39" s="2" customFormat="1" x14ac:dyDescent="0.2">
      <c r="B82" s="4"/>
      <c r="C82" s="4"/>
      <c r="D82" s="4"/>
      <c r="E82" s="4"/>
      <c r="F82" s="778"/>
      <c r="G82" s="778"/>
      <c r="H82" s="778"/>
      <c r="I82" s="778"/>
      <c r="J82" s="778"/>
      <c r="K82" s="778"/>
      <c r="L82" s="778"/>
      <c r="M82" s="778"/>
      <c r="U82" s="66" t="s">
        <v>33</v>
      </c>
      <c r="V82" s="40" t="str">
        <f ca="1">Planung!$L24</f>
        <v>Kickers Rodendorf</v>
      </c>
      <c r="W82" s="778" t="str">
        <f ca="1">Planung!$N24</f>
        <v>FSV Rauen</v>
      </c>
      <c r="X82" s="831">
        <f ca="1">IF(AND($AA82=1,Vorrunde!$I30&lt;&gt;"",Vorrunde!$K30&lt;&gt;"",ABS(Vorrunde!$I30-Vorrunde!$K30)&gt;1),Vorrunde!$I30,"")</f>
        <v>25</v>
      </c>
      <c r="Y82" s="35">
        <f ca="1">IF(AND($AA82=1,Vorrunde!$I30&lt;&gt;"",Vorrunde!$K30&lt;&gt;"",ABS(Vorrunde!$I30-Vorrunde!$K30)&gt;1),Vorrunde!$K30,"")</f>
        <v>2</v>
      </c>
      <c r="Z82" s="34" t="str">
        <f t="shared" ca="1" si="70"/>
        <v>Kickers RodendorfFSV Rauen</v>
      </c>
      <c r="AA82" s="831">
        <f ca="1">IF(AND(V82&lt;&gt;"",W82&lt;&gt;"",V82&lt;&gt;W82,Vorrunde!$R30&lt;&gt;"",Vorrunde!$T30&lt;&gt;""),1,0)</f>
        <v>1</v>
      </c>
      <c r="AB82" s="831" t="str">
        <f ca="1">IF(AA82&gt;0,AH82&amp;Sprache!$E$109&amp;AI82,"")</f>
        <v>50 : 23</v>
      </c>
      <c r="AC82" s="141" t="str">
        <f ca="1">IF(AA82&gt;0,AJ82&amp;Sprache!$E$109&amp;AK82,"")</f>
        <v>2 : 0</v>
      </c>
      <c r="AD82" s="145">
        <f ca="1">IF(AND($AA82=1,Vorrunde!$L30&lt;&gt;"",Vorrunde!$N30&lt;&gt;"",ABS(Vorrunde!$L30-Vorrunde!$N30)&gt;1),Vorrunde!$L30,"")</f>
        <v>25</v>
      </c>
      <c r="AE82" s="141">
        <f ca="1">IF(AND($AA82=1,Vorrunde!$L30&lt;&gt;"",Vorrunde!$N30&lt;&gt;"",ABS(Vorrunde!$L30-Vorrunde!$N30)&gt;1),Vorrunde!$N30,"")</f>
        <v>21</v>
      </c>
      <c r="AF82" s="145" t="str">
        <f ca="1">IF(AND($AA82=1,Vorrunde!$O30&lt;&gt;"",Vorrunde!$Q30&lt;&gt;"",ABS(Vorrunde!$O30-Vorrunde!$Q30)&gt;1),Vorrunde!$O30,"")</f>
        <v/>
      </c>
      <c r="AG82" s="141" t="str">
        <f ca="1">IF(AND($AA82=1,Vorrunde!$O30&lt;&gt;"",Vorrunde!$Q30&lt;&gt;"",ABS(Vorrunde!$O30-Vorrunde!$Q30)&gt;1),Vorrunde!$Q30,"")</f>
        <v/>
      </c>
      <c r="AH82" s="145">
        <f t="shared" ca="1" si="68"/>
        <v>50</v>
      </c>
      <c r="AI82" s="141">
        <f t="shared" ca="1" si="69"/>
        <v>23</v>
      </c>
      <c r="AJ82" s="145">
        <f ca="1">IF(Vorrunde!$R30="",0,Vorrunde!$R30)</f>
        <v>2</v>
      </c>
      <c r="AK82" s="141">
        <f ca="1">IF(Vorrunde!$T30="",0,Vorrunde!$T30)</f>
        <v>0</v>
      </c>
      <c r="AL82" s="145">
        <f ca="1">IF($AA82=0,"",IF($AJ82&gt;$AK82,Einstellungen!$C$4,IF($AJ82=$AK82,1,0)))</f>
        <v>2</v>
      </c>
      <c r="AM82" s="141">
        <f ca="1">IF($AA82=0,"",IF($AJ82&lt;$AK82,Einstellungen!$C$4,IF($AJ82=$AK82,1,0)))</f>
        <v>0</v>
      </c>
    </row>
    <row r="83" spans="2:39" s="2" customFormat="1" x14ac:dyDescent="0.2">
      <c r="B83" s="4"/>
      <c r="C83" s="4"/>
      <c r="D83" s="4"/>
      <c r="E83" s="4"/>
      <c r="F83" s="778"/>
      <c r="G83" s="778"/>
      <c r="H83" s="778"/>
      <c r="I83" s="778"/>
      <c r="J83" s="778"/>
      <c r="K83" s="778"/>
      <c r="L83" s="778"/>
      <c r="M83" s="778"/>
      <c r="U83" s="66" t="s">
        <v>34</v>
      </c>
      <c r="V83" s="40" t="str">
        <f ca="1">Planung!$L25</f>
        <v>TSG Saalberg eV</v>
      </c>
      <c r="W83" s="778" t="str">
        <f ca="1">Planung!$N25</f>
        <v>RB Leipzig</v>
      </c>
      <c r="X83" s="831">
        <f ca="1">IF(AND($AA83=1,Vorrunde!$I31&lt;&gt;"",Vorrunde!$K31&lt;&gt;"",ABS(Vorrunde!$I31-Vorrunde!$K31)&gt;1),Vorrunde!$I31,"")</f>
        <v>25</v>
      </c>
      <c r="Y83" s="35">
        <f ca="1">IF(AND($AA83=1,Vorrunde!$I31&lt;&gt;"",Vorrunde!$K31&lt;&gt;"",ABS(Vorrunde!$I31-Vorrunde!$K31)&gt;1),Vorrunde!$K31,"")</f>
        <v>2</v>
      </c>
      <c r="Z83" s="34" t="str">
        <f t="shared" ca="1" si="70"/>
        <v>TSG Saalberg eVRB Leipzig</v>
      </c>
      <c r="AA83" s="831">
        <f ca="1">IF(AND(V83&lt;&gt;"",W83&lt;&gt;"",V83&lt;&gt;W83,Vorrunde!$R31&lt;&gt;"",Vorrunde!$T31&lt;&gt;""),1,0)</f>
        <v>1</v>
      </c>
      <c r="AB83" s="831" t="str">
        <f ca="1">IF(AA83&gt;0,AH83&amp;Sprache!$E$109&amp;AI83,"")</f>
        <v>50 : 24</v>
      </c>
      <c r="AC83" s="141" t="str">
        <f ca="1">IF(AA83&gt;0,AJ83&amp;Sprache!$E$109&amp;AK83,"")</f>
        <v>2 : 0</v>
      </c>
      <c r="AD83" s="145">
        <f ca="1">IF(AND($AA83=1,Vorrunde!$L31&lt;&gt;"",Vorrunde!$N31&lt;&gt;"",ABS(Vorrunde!$L31-Vorrunde!$N31)&gt;1),Vorrunde!$L31,"")</f>
        <v>25</v>
      </c>
      <c r="AE83" s="141">
        <f ca="1">IF(AND($AA83=1,Vorrunde!$L31&lt;&gt;"",Vorrunde!$N31&lt;&gt;"",ABS(Vorrunde!$L31-Vorrunde!$N31)&gt;1),Vorrunde!$N31,"")</f>
        <v>22</v>
      </c>
      <c r="AF83" s="145" t="str">
        <f ca="1">IF(AND($AA83=1,Vorrunde!$O31&lt;&gt;"",Vorrunde!$Q31&lt;&gt;"",ABS(Vorrunde!$O31-Vorrunde!$Q31)&gt;1),Vorrunde!$O31,"")</f>
        <v/>
      </c>
      <c r="AG83" s="141" t="str">
        <f ca="1">IF(AND($AA83=1,Vorrunde!$O31&lt;&gt;"",Vorrunde!$Q31&lt;&gt;"",ABS(Vorrunde!$O31-Vorrunde!$Q31)&gt;1),Vorrunde!$Q31,"")</f>
        <v/>
      </c>
      <c r="AH83" s="145">
        <f t="shared" ca="1" si="68"/>
        <v>50</v>
      </c>
      <c r="AI83" s="141">
        <f t="shared" ca="1" si="69"/>
        <v>24</v>
      </c>
      <c r="AJ83" s="145">
        <f ca="1">IF(Vorrunde!$R31="",0,Vorrunde!$R31)</f>
        <v>2</v>
      </c>
      <c r="AK83" s="141">
        <f ca="1">IF(Vorrunde!$T31="",0,Vorrunde!$T31)</f>
        <v>0</v>
      </c>
      <c r="AL83" s="145">
        <f ca="1">IF($AA83=0,"",IF($AJ83&gt;$AK83,Einstellungen!$C$4,IF($AJ83=$AK83,1,0)))</f>
        <v>2</v>
      </c>
      <c r="AM83" s="141">
        <f ca="1">IF($AA83=0,"",IF($AJ83&lt;$AK83,Einstellungen!$C$4,IF($AJ83=$AK83,1,0)))</f>
        <v>0</v>
      </c>
    </row>
    <row r="84" spans="2:39" s="2" customFormat="1" x14ac:dyDescent="0.2">
      <c r="B84" s="4"/>
      <c r="C84" s="4"/>
      <c r="D84" s="4"/>
      <c r="E84" s="4"/>
      <c r="F84" s="778"/>
      <c r="G84" s="778"/>
      <c r="H84" s="778"/>
      <c r="I84" s="778"/>
      <c r="J84" s="778"/>
      <c r="K84" s="778"/>
      <c r="L84" s="778"/>
      <c r="M84" s="778"/>
      <c r="U84" s="66" t="s">
        <v>35</v>
      </c>
      <c r="V84" s="40" t="str">
        <f ca="1">Planung!$L26</f>
        <v>Eintracht Frankfurt</v>
      </c>
      <c r="W84" s="778" t="str">
        <f ca="1">Planung!$N26</f>
        <v>VFB Essenheim</v>
      </c>
      <c r="X84" s="831">
        <f ca="1">IF(AND($AA84=1,Vorrunde!$I32&lt;&gt;"",Vorrunde!$K32&lt;&gt;"",ABS(Vorrunde!$I32-Vorrunde!$K32)&gt;1),Vorrunde!$I32,"")</f>
        <v>12</v>
      </c>
      <c r="Y84" s="35">
        <f ca="1">IF(AND($AA84=1,Vorrunde!$I32&lt;&gt;"",Vorrunde!$K32&lt;&gt;"",ABS(Vorrunde!$I32-Vorrunde!$K32)&gt;1),Vorrunde!$K32,"")</f>
        <v>25</v>
      </c>
      <c r="Z84" s="34" t="str">
        <f t="shared" ca="1" si="70"/>
        <v>Eintracht FrankfurtVFB Essenheim</v>
      </c>
      <c r="AA84" s="831">
        <f ca="1">IF(AND(V84&lt;&gt;"",W84&lt;&gt;"",V84&lt;&gt;W84,Vorrunde!$R32&lt;&gt;"",Vorrunde!$T32&lt;&gt;""),1,0)</f>
        <v>1</v>
      </c>
      <c r="AB84" s="831" t="str">
        <f ca="1">IF(AA84&gt;0,AH84&amp;Sprache!$E$109&amp;AI84,"")</f>
        <v>37 : 37</v>
      </c>
      <c r="AC84" s="141" t="str">
        <f ca="1">IF(AA84&gt;0,AJ84&amp;Sprache!$E$109&amp;AK84,"")</f>
        <v>1 : 1</v>
      </c>
      <c r="AD84" s="145">
        <f ca="1">IF(AND($AA84=1,Vorrunde!$L32&lt;&gt;"",Vorrunde!$N32&lt;&gt;"",ABS(Vorrunde!$L32-Vorrunde!$N32)&gt;1),Vorrunde!$L32,"")</f>
        <v>25</v>
      </c>
      <c r="AE84" s="141">
        <f ca="1">IF(AND($AA84=1,Vorrunde!$L32&lt;&gt;"",Vorrunde!$N32&lt;&gt;"",ABS(Vorrunde!$L32-Vorrunde!$N32)&gt;1),Vorrunde!$N32,"")</f>
        <v>12</v>
      </c>
      <c r="AF84" s="145" t="str">
        <f ca="1">IF(AND($AA84=1,Vorrunde!$O32&lt;&gt;"",Vorrunde!$Q32&lt;&gt;"",ABS(Vorrunde!$O32-Vorrunde!$Q32)&gt;1),Vorrunde!$O32,"")</f>
        <v/>
      </c>
      <c r="AG84" s="141" t="str">
        <f ca="1">IF(AND($AA84=1,Vorrunde!$O32&lt;&gt;"",Vorrunde!$Q32&lt;&gt;"",ABS(Vorrunde!$O32-Vorrunde!$Q32)&gt;1),Vorrunde!$Q32,"")</f>
        <v/>
      </c>
      <c r="AH84" s="145">
        <f t="shared" ca="1" si="68"/>
        <v>37</v>
      </c>
      <c r="AI84" s="141">
        <f t="shared" ca="1" si="69"/>
        <v>37</v>
      </c>
      <c r="AJ84" s="145">
        <f ca="1">IF(Vorrunde!$R32="",0,Vorrunde!$R32)</f>
        <v>1</v>
      </c>
      <c r="AK84" s="141">
        <f ca="1">IF(Vorrunde!$T32="",0,Vorrunde!$T32)</f>
        <v>1</v>
      </c>
      <c r="AL84" s="145">
        <f ca="1">IF($AA84=0,"",IF($AJ84&gt;$AK84,Einstellungen!$C$4,IF($AJ84=$AK84,1,0)))</f>
        <v>1</v>
      </c>
      <c r="AM84" s="141">
        <f ca="1">IF($AA84=0,"",IF($AJ84&lt;$AK84,Einstellungen!$C$4,IF($AJ84=$AK84,1,0)))</f>
        <v>1</v>
      </c>
    </row>
    <row r="85" spans="2:39" s="2" customFormat="1" x14ac:dyDescent="0.2">
      <c r="B85" s="4"/>
      <c r="C85" s="4"/>
      <c r="D85" s="4"/>
      <c r="E85" s="4"/>
      <c r="F85" s="778"/>
      <c r="G85" s="778"/>
      <c r="H85" s="778"/>
      <c r="I85" s="778"/>
      <c r="J85" s="778"/>
      <c r="K85" s="778"/>
      <c r="L85" s="778"/>
      <c r="M85" s="778"/>
      <c r="U85" s="66" t="s">
        <v>36</v>
      </c>
      <c r="V85" s="40" t="str">
        <f ca="1">Planung!$L27</f>
        <v>SSV Wildbach</v>
      </c>
      <c r="W85" s="778" t="str">
        <f ca="1">Planung!$N27</f>
        <v>FC Grönlingen</v>
      </c>
      <c r="X85" s="831">
        <f ca="1">IF(AND($AA85=1,Vorrunde!$I33&lt;&gt;"",Vorrunde!$K33&lt;&gt;"",ABS(Vorrunde!$I33-Vorrunde!$K33)&gt;1),Vorrunde!$I33,"")</f>
        <v>19</v>
      </c>
      <c r="Y85" s="35">
        <f ca="1">IF(AND($AA85=1,Vorrunde!$I33&lt;&gt;"",Vorrunde!$K33&lt;&gt;"",ABS(Vorrunde!$I33-Vorrunde!$K33)&gt;1),Vorrunde!$K33,"")</f>
        <v>25</v>
      </c>
      <c r="Z85" s="34" t="str">
        <f t="shared" ca="1" si="70"/>
        <v>SSV WildbachFC Grönlingen</v>
      </c>
      <c r="AA85" s="831">
        <f ca="1">IF(AND(V85&lt;&gt;"",W85&lt;&gt;"",V85&lt;&gt;W85,Vorrunde!$R33&lt;&gt;"",Vorrunde!$T33&lt;&gt;""),1,0)</f>
        <v>1</v>
      </c>
      <c r="AB85" s="831" t="str">
        <f ca="1">IF(AA85&gt;0,AH85&amp;Sprache!$E$109&amp;AI85,"")</f>
        <v>44 : 42</v>
      </c>
      <c r="AC85" s="141" t="str">
        <f ca="1">IF(AA85&gt;0,AJ85&amp;Sprache!$E$109&amp;AK85,"")</f>
        <v>1 : 1</v>
      </c>
      <c r="AD85" s="145">
        <f ca="1">IF(AND($AA85=1,Vorrunde!$L33&lt;&gt;"",Vorrunde!$N33&lt;&gt;"",ABS(Vorrunde!$L33-Vorrunde!$N33)&gt;1),Vorrunde!$L33,"")</f>
        <v>25</v>
      </c>
      <c r="AE85" s="141">
        <f ca="1">IF(AND($AA85=1,Vorrunde!$L33&lt;&gt;"",Vorrunde!$N33&lt;&gt;"",ABS(Vorrunde!$L33-Vorrunde!$N33)&gt;1),Vorrunde!$N33,"")</f>
        <v>17</v>
      </c>
      <c r="AF85" s="145" t="str">
        <f ca="1">IF(AND($AA85=1,Vorrunde!$O33&lt;&gt;"",Vorrunde!$Q33&lt;&gt;"",ABS(Vorrunde!$O33-Vorrunde!$Q33)&gt;1),Vorrunde!$O33,"")</f>
        <v/>
      </c>
      <c r="AG85" s="141" t="str">
        <f ca="1">IF(AND($AA85=1,Vorrunde!$O33&lt;&gt;"",Vorrunde!$Q33&lt;&gt;"",ABS(Vorrunde!$O33-Vorrunde!$Q33)&gt;1),Vorrunde!$Q33,"")</f>
        <v/>
      </c>
      <c r="AH85" s="145">
        <f t="shared" ca="1" si="68"/>
        <v>44</v>
      </c>
      <c r="AI85" s="141">
        <f t="shared" ca="1" si="69"/>
        <v>42</v>
      </c>
      <c r="AJ85" s="145">
        <f ca="1">IF(Vorrunde!$R33="",0,Vorrunde!$R33)</f>
        <v>1</v>
      </c>
      <c r="AK85" s="141">
        <f ca="1">IF(Vorrunde!$T33="",0,Vorrunde!$T33)</f>
        <v>1</v>
      </c>
      <c r="AL85" s="145">
        <f ca="1">IF($AA85=0,"",IF($AJ85&gt;$AK85,Einstellungen!$C$4,IF($AJ85=$AK85,1,0)))</f>
        <v>1</v>
      </c>
      <c r="AM85" s="141">
        <f ca="1">IF($AA85=0,"",IF($AJ85&lt;$AK85,Einstellungen!$C$4,IF($AJ85=$AK85,1,0)))</f>
        <v>1</v>
      </c>
    </row>
    <row r="86" spans="2:39" s="2" customFormat="1" x14ac:dyDescent="0.2">
      <c r="B86" s="4"/>
      <c r="C86" s="4"/>
      <c r="D86" s="4"/>
      <c r="E86" s="4"/>
      <c r="F86" s="778"/>
      <c r="G86" s="778"/>
      <c r="H86" s="778"/>
      <c r="I86" s="778"/>
      <c r="J86" s="778"/>
      <c r="K86" s="778"/>
      <c r="L86" s="778"/>
      <c r="M86" s="778"/>
      <c r="U86" s="66" t="s">
        <v>37</v>
      </c>
      <c r="V86" s="40" t="str">
        <f ca="1">Planung!$L28</f>
        <v>Borussia Dortmund</v>
      </c>
      <c r="W86" s="778" t="str">
        <f ca="1">Planung!$N28</f>
        <v>1. FC Nürnberg</v>
      </c>
      <c r="X86" s="831">
        <f ca="1">IF(AND($AA86=1,Vorrunde!$I34&lt;&gt;"",Vorrunde!$K34&lt;&gt;"",ABS(Vorrunde!$I34-Vorrunde!$K34)&gt;1),Vorrunde!$I34,"")</f>
        <v>17</v>
      </c>
      <c r="Y86" s="35">
        <f ca="1">IF(AND($AA86=1,Vorrunde!$I34&lt;&gt;"",Vorrunde!$K34&lt;&gt;"",ABS(Vorrunde!$I34-Vorrunde!$K34)&gt;1),Vorrunde!$K34,"")</f>
        <v>25</v>
      </c>
      <c r="Z86" s="34" t="str">
        <f t="shared" ca="1" si="70"/>
        <v>Borussia Dortmund1. FC Nürnberg</v>
      </c>
      <c r="AA86" s="831">
        <f ca="1">IF(AND(V86&lt;&gt;"",W86&lt;&gt;"",V86&lt;&gt;W86,Vorrunde!$R34&lt;&gt;"",Vorrunde!$T34&lt;&gt;""),1,0)</f>
        <v>1</v>
      </c>
      <c r="AB86" s="831" t="str">
        <f ca="1">IF(AA86&gt;0,AH86&amp;Sprache!$E$109&amp;AI86,"")</f>
        <v>42 : 41</v>
      </c>
      <c r="AC86" s="141" t="str">
        <f ca="1">IF(AA86&gt;0,AJ86&amp;Sprache!$E$109&amp;AK86,"")</f>
        <v>1 : 1</v>
      </c>
      <c r="AD86" s="145">
        <f ca="1">IF(AND($AA86=1,Vorrunde!$L34&lt;&gt;"",Vorrunde!$N34&lt;&gt;"",ABS(Vorrunde!$L34-Vorrunde!$N34)&gt;1),Vorrunde!$L34,"")</f>
        <v>25</v>
      </c>
      <c r="AE86" s="141">
        <f ca="1">IF(AND($AA86=1,Vorrunde!$L34&lt;&gt;"",Vorrunde!$N34&lt;&gt;"",ABS(Vorrunde!$L34-Vorrunde!$N34)&gt;1),Vorrunde!$N34,"")</f>
        <v>16</v>
      </c>
      <c r="AF86" s="145" t="str">
        <f ca="1">IF(AND($AA86=1,Vorrunde!$O34&lt;&gt;"",Vorrunde!$Q34&lt;&gt;"",ABS(Vorrunde!$O34-Vorrunde!$Q34)&gt;1),Vorrunde!$O34,"")</f>
        <v/>
      </c>
      <c r="AG86" s="141" t="str">
        <f ca="1">IF(AND($AA86=1,Vorrunde!$O34&lt;&gt;"",Vorrunde!$Q34&lt;&gt;"",ABS(Vorrunde!$O34-Vorrunde!$Q34)&gt;1),Vorrunde!$Q34,"")</f>
        <v/>
      </c>
      <c r="AH86" s="145">
        <f t="shared" ca="1" si="68"/>
        <v>42</v>
      </c>
      <c r="AI86" s="141">
        <f t="shared" ca="1" si="69"/>
        <v>41</v>
      </c>
      <c r="AJ86" s="145">
        <f ca="1">IF(Vorrunde!$R34="",0,Vorrunde!$R34)</f>
        <v>1</v>
      </c>
      <c r="AK86" s="141">
        <f ca="1">IF(Vorrunde!$T34="",0,Vorrunde!$T34)</f>
        <v>1</v>
      </c>
      <c r="AL86" s="145">
        <f ca="1">IF($AA86=0,"",IF($AJ86&gt;$AK86,Einstellungen!$C$4,IF($AJ86=$AK86,1,0)))</f>
        <v>1</v>
      </c>
      <c r="AM86" s="141">
        <f ca="1">IF($AA86=0,"",IF($AJ86&lt;$AK86,Einstellungen!$C$4,IF($AJ86=$AK86,1,0)))</f>
        <v>1</v>
      </c>
    </row>
    <row r="87" spans="2:39" s="2" customFormat="1" x14ac:dyDescent="0.2">
      <c r="B87" s="4"/>
      <c r="C87" s="4"/>
      <c r="D87" s="4"/>
      <c r="E87" s="4"/>
      <c r="F87" s="778"/>
      <c r="G87" s="778"/>
      <c r="H87" s="778"/>
      <c r="I87" s="778"/>
      <c r="J87" s="778"/>
      <c r="K87" s="778"/>
      <c r="L87" s="778"/>
      <c r="M87" s="778"/>
      <c r="U87" s="66" t="s">
        <v>38</v>
      </c>
      <c r="V87" s="40" t="str">
        <f ca="1">Planung!$L29</f>
        <v>HSV</v>
      </c>
      <c r="W87" s="778" t="str">
        <f ca="1">Planung!$N29</f>
        <v>SV Oberredenburg</v>
      </c>
      <c r="X87" s="831">
        <f ca="1">IF(AND($AA87=1,Vorrunde!$I35&lt;&gt;"",Vorrunde!$K35&lt;&gt;"",ABS(Vorrunde!$I35-Vorrunde!$K35)&gt;1),Vorrunde!$I35,"")</f>
        <v>14</v>
      </c>
      <c r="Y87" s="35">
        <f ca="1">IF(AND($AA87=1,Vorrunde!$I35&lt;&gt;"",Vorrunde!$K35&lt;&gt;"",ABS(Vorrunde!$I35-Vorrunde!$K35)&gt;1),Vorrunde!$K35,"")</f>
        <v>25</v>
      </c>
      <c r="Z87" s="34" t="str">
        <f t="shared" ca="1" si="70"/>
        <v>HSVSV Oberredenburg</v>
      </c>
      <c r="AA87" s="831">
        <f ca="1">IF(AND(V87&lt;&gt;"",W87&lt;&gt;"",V87&lt;&gt;W87,Vorrunde!$R35&lt;&gt;"",Vorrunde!$T35&lt;&gt;""),1,0)</f>
        <v>1</v>
      </c>
      <c r="AB87" s="831" t="str">
        <f ca="1">IF(AA87&gt;0,AH87&amp;Sprache!$E$109&amp;AI87,"")</f>
        <v>39 : 44</v>
      </c>
      <c r="AC87" s="141" t="str">
        <f ca="1">IF(AA87&gt;0,AJ87&amp;Sprache!$E$109&amp;AK87,"")</f>
        <v>1 : 1</v>
      </c>
      <c r="AD87" s="145">
        <f ca="1">IF(AND($AA87=1,Vorrunde!$L35&lt;&gt;"",Vorrunde!$N35&lt;&gt;"",ABS(Vorrunde!$L35-Vorrunde!$N35)&gt;1),Vorrunde!$L35,"")</f>
        <v>25</v>
      </c>
      <c r="AE87" s="141">
        <f ca="1">IF(AND($AA87=1,Vorrunde!$L35&lt;&gt;"",Vorrunde!$N35&lt;&gt;"",ABS(Vorrunde!$L35-Vorrunde!$N35)&gt;1),Vorrunde!$N35,"")</f>
        <v>19</v>
      </c>
      <c r="AF87" s="145" t="str">
        <f ca="1">IF(AND($AA87=1,Vorrunde!$O35&lt;&gt;"",Vorrunde!$Q35&lt;&gt;"",ABS(Vorrunde!$O35-Vorrunde!$Q35)&gt;1),Vorrunde!$O35,"")</f>
        <v/>
      </c>
      <c r="AG87" s="141" t="str">
        <f ca="1">IF(AND($AA87=1,Vorrunde!$O35&lt;&gt;"",Vorrunde!$Q35&lt;&gt;"",ABS(Vorrunde!$O35-Vorrunde!$Q35)&gt;1),Vorrunde!$Q35,"")</f>
        <v/>
      </c>
      <c r="AH87" s="145">
        <f t="shared" ca="1" si="68"/>
        <v>39</v>
      </c>
      <c r="AI87" s="141">
        <f t="shared" ca="1" si="69"/>
        <v>44</v>
      </c>
      <c r="AJ87" s="145">
        <f ca="1">IF(Vorrunde!$R35="",0,Vorrunde!$R35)</f>
        <v>1</v>
      </c>
      <c r="AK87" s="141">
        <f ca="1">IF(Vorrunde!$T35="",0,Vorrunde!$T35)</f>
        <v>1</v>
      </c>
      <c r="AL87" s="145">
        <f ca="1">IF($AA87=0,"",IF($AJ87&gt;$AK87,Einstellungen!$C$4,IF($AJ87=$AK87,1,0)))</f>
        <v>1</v>
      </c>
      <c r="AM87" s="141">
        <f ca="1">IF($AA87=0,"",IF($AJ87&lt;$AK87,Einstellungen!$C$4,IF($AJ87=$AK87,1,0)))</f>
        <v>1</v>
      </c>
    </row>
    <row r="88" spans="2:39" s="2" customFormat="1" x14ac:dyDescent="0.2">
      <c r="B88" s="4"/>
      <c r="C88" s="4"/>
      <c r="D88" s="4"/>
      <c r="E88" s="4"/>
      <c r="F88" s="778"/>
      <c r="G88" s="778"/>
      <c r="H88" s="778"/>
      <c r="I88" s="778"/>
      <c r="J88" s="778"/>
      <c r="K88" s="778"/>
      <c r="L88" s="778"/>
      <c r="M88" s="778"/>
      <c r="U88" s="66" t="s">
        <v>39</v>
      </c>
      <c r="V88" s="40" t="str">
        <f ca="1">Planung!$L30</f>
        <v>FC Barcelona</v>
      </c>
      <c r="W88" s="778" t="str">
        <f ca="1">Planung!$N30</f>
        <v>Maibach 1822 eV</v>
      </c>
      <c r="X88" s="831">
        <f ca="1">IF(AND($AA88=1,Vorrunde!$I36&lt;&gt;"",Vorrunde!$K36&lt;&gt;"",ABS(Vorrunde!$I36-Vorrunde!$K36)&gt;1),Vorrunde!$I36,"")</f>
        <v>20</v>
      </c>
      <c r="Y88" s="35">
        <f ca="1">IF(AND($AA88=1,Vorrunde!$I36&lt;&gt;"",Vorrunde!$K36&lt;&gt;"",ABS(Vorrunde!$I36-Vorrunde!$K36)&gt;1),Vorrunde!$K36,"")</f>
        <v>25</v>
      </c>
      <c r="Z88" s="34" t="str">
        <f t="shared" ca="1" si="70"/>
        <v>FC BarcelonaMaibach 1822 eV</v>
      </c>
      <c r="AA88" s="831">
        <f ca="1">IF(AND(V88&lt;&gt;"",W88&lt;&gt;"",V88&lt;&gt;W88,Vorrunde!$R36&lt;&gt;"",Vorrunde!$T36&lt;&gt;""),1,0)</f>
        <v>1</v>
      </c>
      <c r="AB88" s="831" t="str">
        <f ca="1">IF(AA88&gt;0,AH88&amp;Sprache!$E$109&amp;AI88,"")</f>
        <v>45 : 45</v>
      </c>
      <c r="AC88" s="141" t="str">
        <f ca="1">IF(AA88&gt;0,AJ88&amp;Sprache!$E$109&amp;AK88,"")</f>
        <v>1 : 1</v>
      </c>
      <c r="AD88" s="145">
        <f ca="1">IF(AND($AA88=1,Vorrunde!$L36&lt;&gt;"",Vorrunde!$N36&lt;&gt;"",ABS(Vorrunde!$L36-Vorrunde!$N36)&gt;1),Vorrunde!$L36,"")</f>
        <v>25</v>
      </c>
      <c r="AE88" s="141">
        <f ca="1">IF(AND($AA88=1,Vorrunde!$L36&lt;&gt;"",Vorrunde!$N36&lt;&gt;"",ABS(Vorrunde!$L36-Vorrunde!$N36)&gt;1),Vorrunde!$N36,"")</f>
        <v>20</v>
      </c>
      <c r="AF88" s="145" t="str">
        <f ca="1">IF(AND($AA88=1,Vorrunde!$O36&lt;&gt;"",Vorrunde!$Q36&lt;&gt;"",ABS(Vorrunde!$O36-Vorrunde!$Q36)&gt;1),Vorrunde!$O36,"")</f>
        <v/>
      </c>
      <c r="AG88" s="141" t="str">
        <f ca="1">IF(AND($AA88=1,Vorrunde!$O36&lt;&gt;"",Vorrunde!$Q36&lt;&gt;"",ABS(Vorrunde!$O36-Vorrunde!$Q36)&gt;1),Vorrunde!$Q36,"")</f>
        <v/>
      </c>
      <c r="AH88" s="145">
        <f t="shared" ca="1" si="68"/>
        <v>45</v>
      </c>
      <c r="AI88" s="141">
        <f t="shared" ca="1" si="69"/>
        <v>45</v>
      </c>
      <c r="AJ88" s="145">
        <f ca="1">IF(Vorrunde!$R36="",0,Vorrunde!$R36)</f>
        <v>1</v>
      </c>
      <c r="AK88" s="141">
        <f ca="1">IF(Vorrunde!$T36="",0,Vorrunde!$T36)</f>
        <v>1</v>
      </c>
      <c r="AL88" s="145">
        <f ca="1">IF($AA88=0,"",IF($AJ88&gt;$AK88,Einstellungen!$C$4,IF($AJ88=$AK88,1,0)))</f>
        <v>1</v>
      </c>
      <c r="AM88" s="141">
        <f ca="1">IF($AA88=0,"",IF($AJ88&lt;$AK88,Einstellungen!$C$4,IF($AJ88=$AK88,1,0)))</f>
        <v>1</v>
      </c>
    </row>
    <row r="89" spans="2:39" s="2" customFormat="1" x14ac:dyDescent="0.2">
      <c r="B89" s="4"/>
      <c r="C89" s="4"/>
      <c r="D89" s="4"/>
      <c r="E89" s="4"/>
      <c r="F89" s="778"/>
      <c r="G89" s="778"/>
      <c r="H89" s="778"/>
      <c r="I89" s="778"/>
      <c r="J89" s="778"/>
      <c r="K89" s="778"/>
      <c r="L89" s="778"/>
      <c r="M89" s="778"/>
      <c r="U89" s="66" t="s">
        <v>40</v>
      </c>
      <c r="V89" s="40" t="str">
        <f ca="1">Planung!$L31</f>
        <v>Inter Mailand</v>
      </c>
      <c r="W89" s="778" t="str">
        <f ca="1">Planung!$N31</f>
        <v>Manchester City</v>
      </c>
      <c r="X89" s="831">
        <f ca="1">IF(AND($AA89=1,Vorrunde!$I37&lt;&gt;"",Vorrunde!$K37&lt;&gt;"",ABS(Vorrunde!$I37-Vorrunde!$K37)&gt;1),Vorrunde!$I37,"")</f>
        <v>19</v>
      </c>
      <c r="Y89" s="35">
        <f ca="1">IF(AND($AA89=1,Vorrunde!$I37&lt;&gt;"",Vorrunde!$K37&lt;&gt;"",ABS(Vorrunde!$I37-Vorrunde!$K37)&gt;1),Vorrunde!$K37,"")</f>
        <v>25</v>
      </c>
      <c r="Z89" s="34" t="str">
        <f t="shared" ca="1" si="70"/>
        <v>Inter MailandManchester City</v>
      </c>
      <c r="AA89" s="831">
        <f ca="1">IF(AND(V89&lt;&gt;"",W89&lt;&gt;"",V89&lt;&gt;W89,Vorrunde!$R37&lt;&gt;"",Vorrunde!$T37&lt;&gt;""),1,0)</f>
        <v>1</v>
      </c>
      <c r="AB89" s="831" t="str">
        <f ca="1">IF(AA89&gt;0,AH89&amp;Sprache!$E$109&amp;AI89,"")</f>
        <v>44 : 46</v>
      </c>
      <c r="AC89" s="141" t="str">
        <f ca="1">IF(AA89&gt;0,AJ89&amp;Sprache!$E$109&amp;AK89,"")</f>
        <v>1 : 1</v>
      </c>
      <c r="AD89" s="145">
        <f ca="1">IF(AND($AA89=1,Vorrunde!$L37&lt;&gt;"",Vorrunde!$N37&lt;&gt;"",ABS(Vorrunde!$L37-Vorrunde!$N37)&gt;1),Vorrunde!$L37,"")</f>
        <v>25</v>
      </c>
      <c r="AE89" s="141">
        <f ca="1">IF(AND($AA89=1,Vorrunde!$L37&lt;&gt;"",Vorrunde!$N37&lt;&gt;"",ABS(Vorrunde!$L37-Vorrunde!$N37)&gt;1),Vorrunde!$N37,"")</f>
        <v>21</v>
      </c>
      <c r="AF89" s="145" t="str">
        <f ca="1">IF(AND($AA89=1,Vorrunde!$O37&lt;&gt;"",Vorrunde!$Q37&lt;&gt;"",ABS(Vorrunde!$O37-Vorrunde!$Q37)&gt;1),Vorrunde!$O37,"")</f>
        <v/>
      </c>
      <c r="AG89" s="141" t="str">
        <f ca="1">IF(AND($AA89=1,Vorrunde!$O37&lt;&gt;"",Vorrunde!$Q37&lt;&gt;"",ABS(Vorrunde!$O37-Vorrunde!$Q37)&gt;1),Vorrunde!$Q37,"")</f>
        <v/>
      </c>
      <c r="AH89" s="145">
        <f t="shared" ca="1" si="68"/>
        <v>44</v>
      </c>
      <c r="AI89" s="141">
        <f t="shared" ca="1" si="69"/>
        <v>46</v>
      </c>
      <c r="AJ89" s="145">
        <f ca="1">IF(Vorrunde!$R37="",0,Vorrunde!$R37)</f>
        <v>1</v>
      </c>
      <c r="AK89" s="141">
        <f ca="1">IF(Vorrunde!$T37="",0,Vorrunde!$T37)</f>
        <v>1</v>
      </c>
      <c r="AL89" s="145">
        <f ca="1">IF($AA89=0,"",IF($AJ89&gt;$AK89,Einstellungen!$C$4,IF($AJ89=$AK89,1,0)))</f>
        <v>1</v>
      </c>
      <c r="AM89" s="141">
        <f ca="1">IF($AA89=0,"",IF($AJ89&lt;$AK89,Einstellungen!$C$4,IF($AJ89=$AK89,1,0)))</f>
        <v>1</v>
      </c>
    </row>
    <row r="90" spans="2:39" s="2" customFormat="1" x14ac:dyDescent="0.2">
      <c r="B90" s="4"/>
      <c r="C90" s="4"/>
      <c r="D90" s="4"/>
      <c r="E90" s="4"/>
      <c r="F90" s="778"/>
      <c r="G90" s="778"/>
      <c r="H90" s="778"/>
      <c r="I90" s="778"/>
      <c r="J90" s="778"/>
      <c r="K90" s="778"/>
      <c r="L90" s="778"/>
      <c r="M90" s="778"/>
      <c r="U90" s="66" t="s">
        <v>41</v>
      </c>
      <c r="V90" s="40" t="str">
        <f ca="1">Planung!$L32</f>
        <v>Real Madrid</v>
      </c>
      <c r="W90" s="778" t="str">
        <f ca="1">Planung!$N32</f>
        <v>FSV Rauen</v>
      </c>
      <c r="X90" s="831">
        <f ca="1">IF(AND($AA90=1,Vorrunde!$I38&lt;&gt;"",Vorrunde!$K38&lt;&gt;"",ABS(Vorrunde!$I38-Vorrunde!$K38)&gt;1),Vorrunde!$I38,"")</f>
        <v>17</v>
      </c>
      <c r="Y90" s="35">
        <f ca="1">IF(AND($AA90=1,Vorrunde!$I38&lt;&gt;"",Vorrunde!$K38&lt;&gt;"",ABS(Vorrunde!$I38-Vorrunde!$K38)&gt;1),Vorrunde!$K38,"")</f>
        <v>25</v>
      </c>
      <c r="Z90" s="34" t="str">
        <f t="shared" ca="1" si="70"/>
        <v>Real MadridFSV Rauen</v>
      </c>
      <c r="AA90" s="831">
        <f ca="1">IF(AND(V90&lt;&gt;"",W90&lt;&gt;"",V90&lt;&gt;W90,Vorrunde!$R38&lt;&gt;"",Vorrunde!$T38&lt;&gt;""),1,0)</f>
        <v>1</v>
      </c>
      <c r="AB90" s="831" t="str">
        <f ca="1">IF(AA90&gt;0,AH90&amp;Sprache!$E$109&amp;AI90,"")</f>
        <v>42 : 47</v>
      </c>
      <c r="AC90" s="141" t="str">
        <f ca="1">IF(AA90&gt;0,AJ90&amp;Sprache!$E$109&amp;AK90,"")</f>
        <v>1 : 1</v>
      </c>
      <c r="AD90" s="145">
        <f ca="1">IF(AND($AA90=1,Vorrunde!$L38&lt;&gt;"",Vorrunde!$N38&lt;&gt;"",ABS(Vorrunde!$L38-Vorrunde!$N38)&gt;1),Vorrunde!$L38,"")</f>
        <v>25</v>
      </c>
      <c r="AE90" s="141">
        <f ca="1">IF(AND($AA90=1,Vorrunde!$L38&lt;&gt;"",Vorrunde!$N38&lt;&gt;"",ABS(Vorrunde!$L38-Vorrunde!$N38)&gt;1),Vorrunde!$N38,"")</f>
        <v>22</v>
      </c>
      <c r="AF90" s="145" t="str">
        <f ca="1">IF(AND($AA90=1,Vorrunde!$O38&lt;&gt;"",Vorrunde!$Q38&lt;&gt;"",ABS(Vorrunde!$O38-Vorrunde!$Q38)&gt;1),Vorrunde!$O38,"")</f>
        <v/>
      </c>
      <c r="AG90" s="141" t="str">
        <f ca="1">IF(AND($AA90=1,Vorrunde!$O38&lt;&gt;"",Vorrunde!$Q38&lt;&gt;"",ABS(Vorrunde!$O38-Vorrunde!$Q38)&gt;1),Vorrunde!$Q38,"")</f>
        <v/>
      </c>
      <c r="AH90" s="145">
        <f t="shared" ca="1" si="68"/>
        <v>42</v>
      </c>
      <c r="AI90" s="141">
        <f t="shared" ca="1" si="69"/>
        <v>47</v>
      </c>
      <c r="AJ90" s="145">
        <f ca="1">IF(Vorrunde!$R38="",0,Vorrunde!$R38)</f>
        <v>1</v>
      </c>
      <c r="AK90" s="141">
        <f ca="1">IF(Vorrunde!$T38="",0,Vorrunde!$T38)</f>
        <v>1</v>
      </c>
      <c r="AL90" s="145">
        <f ca="1">IF($AA90=0,"",IF($AJ90&gt;$AK90,Einstellungen!$C$4,IF($AJ90=$AK90,1,0)))</f>
        <v>1</v>
      </c>
      <c r="AM90" s="141">
        <f ca="1">IF($AA90=0,"",IF($AJ90&lt;$AK90,Einstellungen!$C$4,IF($AJ90=$AK90,1,0)))</f>
        <v>1</v>
      </c>
    </row>
    <row r="91" spans="2:39" s="2" customFormat="1" x14ac:dyDescent="0.2">
      <c r="B91" s="4"/>
      <c r="C91" s="4"/>
      <c r="D91" s="4"/>
      <c r="E91" s="4"/>
      <c r="F91" s="778"/>
      <c r="G91" s="778"/>
      <c r="H91" s="778"/>
      <c r="I91" s="778"/>
      <c r="J91" s="778"/>
      <c r="K91" s="778"/>
      <c r="L91" s="778"/>
      <c r="M91" s="778"/>
      <c r="U91" s="66" t="s">
        <v>42</v>
      </c>
      <c r="V91" s="40" t="str">
        <f ca="1">Planung!$L33</f>
        <v>Paris St. Germain</v>
      </c>
      <c r="W91" s="778" t="str">
        <f ca="1">Planung!$N33</f>
        <v>RB Leipzig</v>
      </c>
      <c r="X91" s="831">
        <f ca="1">IF(AND($AA91=1,Vorrunde!$I39&lt;&gt;"",Vorrunde!$K39&lt;&gt;"",ABS(Vorrunde!$I39-Vorrunde!$K39)&gt;1),Vorrunde!$I39,"")</f>
        <v>19</v>
      </c>
      <c r="Y91" s="35">
        <f ca="1">IF(AND($AA91=1,Vorrunde!$I39&lt;&gt;"",Vorrunde!$K39&lt;&gt;"",ABS(Vorrunde!$I39-Vorrunde!$K39)&gt;1),Vorrunde!$K39,"")</f>
        <v>25</v>
      </c>
      <c r="Z91" s="34" t="str">
        <f t="shared" ca="1" si="70"/>
        <v>Paris St. GermainRB Leipzig</v>
      </c>
      <c r="AA91" s="831">
        <f ca="1">IF(AND(V91&lt;&gt;"",W91&lt;&gt;"",V91&lt;&gt;W91,Vorrunde!$R39&lt;&gt;"",Vorrunde!$T39&lt;&gt;""),1,0)</f>
        <v>1</v>
      </c>
      <c r="AB91" s="831" t="str">
        <f ca="1">IF(AA91&gt;0,AH91&amp;Sprache!$E$109&amp;AI91,"")</f>
        <v>44 : 48</v>
      </c>
      <c r="AC91" s="141" t="str">
        <f ca="1">IF(AA91&gt;0,AJ91&amp;Sprache!$E$109&amp;AK91,"")</f>
        <v>1 : 1</v>
      </c>
      <c r="AD91" s="145">
        <f ca="1">IF(AND($AA91=1,Vorrunde!$L39&lt;&gt;"",Vorrunde!$N39&lt;&gt;"",ABS(Vorrunde!$L39-Vorrunde!$N39)&gt;1),Vorrunde!$L39,"")</f>
        <v>25</v>
      </c>
      <c r="AE91" s="141">
        <f ca="1">IF(AND($AA91=1,Vorrunde!$L39&lt;&gt;"",Vorrunde!$N39&lt;&gt;"",ABS(Vorrunde!$L39-Vorrunde!$N39)&gt;1),Vorrunde!$N39,"")</f>
        <v>23</v>
      </c>
      <c r="AF91" s="145" t="str">
        <f ca="1">IF(AND($AA91=1,Vorrunde!$O39&lt;&gt;"",Vorrunde!$Q39&lt;&gt;"",ABS(Vorrunde!$O39-Vorrunde!$Q39)&gt;1),Vorrunde!$O39,"")</f>
        <v/>
      </c>
      <c r="AG91" s="141" t="str">
        <f ca="1">IF(AND($AA91=1,Vorrunde!$O39&lt;&gt;"",Vorrunde!$Q39&lt;&gt;"",ABS(Vorrunde!$O39-Vorrunde!$Q39)&gt;1),Vorrunde!$Q39,"")</f>
        <v/>
      </c>
      <c r="AH91" s="145">
        <f t="shared" ca="1" si="68"/>
        <v>44</v>
      </c>
      <c r="AI91" s="141">
        <f t="shared" ca="1" si="69"/>
        <v>48</v>
      </c>
      <c r="AJ91" s="145">
        <f ca="1">IF(Vorrunde!$R39="",0,Vorrunde!$R39)</f>
        <v>1</v>
      </c>
      <c r="AK91" s="141">
        <f ca="1">IF(Vorrunde!$T39="",0,Vorrunde!$T39)</f>
        <v>1</v>
      </c>
      <c r="AL91" s="145">
        <f ca="1">IF($AA91=0,"",IF($AJ91&gt;$AK91,Einstellungen!$C$4,IF($AJ91=$AK91,1,0)))</f>
        <v>1</v>
      </c>
      <c r="AM91" s="141">
        <f ca="1">IF($AA91=0,"",IF($AJ91&lt;$AK91,Einstellungen!$C$4,IF($AJ91=$AK91,1,0)))</f>
        <v>1</v>
      </c>
    </row>
    <row r="92" spans="2:39" s="2" customFormat="1" x14ac:dyDescent="0.2">
      <c r="B92" s="4"/>
      <c r="C92" s="4"/>
      <c r="D92" s="4"/>
      <c r="E92" s="4"/>
      <c r="F92" s="778"/>
      <c r="G92" s="778"/>
      <c r="H92" s="778"/>
      <c r="I92" s="778"/>
      <c r="J92" s="778"/>
      <c r="K92" s="778"/>
      <c r="L92" s="778"/>
      <c r="M92" s="778"/>
      <c r="U92" s="66" t="s">
        <v>43</v>
      </c>
      <c r="V92" s="40" t="str">
        <f ca="1">Planung!$L34</f>
        <v>Eintracht Frankfurt</v>
      </c>
      <c r="W92" s="778" t="str">
        <f ca="1">Planung!$N34</f>
        <v>1. FC Riedwald</v>
      </c>
      <c r="X92" s="831">
        <f ca="1">IF(AND($AA92=1,Vorrunde!$I40&lt;&gt;"",Vorrunde!$K40&lt;&gt;"",ABS(Vorrunde!$I40-Vorrunde!$K40)&gt;1),Vorrunde!$I40,"")</f>
        <v>25</v>
      </c>
      <c r="Y92" s="35">
        <f ca="1">IF(AND($AA92=1,Vorrunde!$I40&lt;&gt;"",Vorrunde!$K40&lt;&gt;"",ABS(Vorrunde!$I40-Vorrunde!$K40)&gt;1),Vorrunde!$K40,"")</f>
        <v>17</v>
      </c>
      <c r="Z92" s="34" t="str">
        <f t="shared" ca="1" si="70"/>
        <v>Eintracht Frankfurt1. FC Riedwald</v>
      </c>
      <c r="AA92" s="831">
        <f ca="1">IF(AND(V92&lt;&gt;"",W92&lt;&gt;"",V92&lt;&gt;W92,Vorrunde!$R40&lt;&gt;"",Vorrunde!$T40&lt;&gt;""),1,0)</f>
        <v>1</v>
      </c>
      <c r="AB92" s="831" t="str">
        <f ca="1">IF(AA92&gt;0,AH92&amp;Sprache!$E$109&amp;AI92,"")</f>
        <v>50 : 34</v>
      </c>
      <c r="AC92" s="141" t="str">
        <f ca="1">IF(AA92&gt;0,AJ92&amp;Sprache!$E$109&amp;AK92,"")</f>
        <v>2 : 0</v>
      </c>
      <c r="AD92" s="145">
        <f ca="1">IF(AND($AA92=1,Vorrunde!$L40&lt;&gt;"",Vorrunde!$N40&lt;&gt;"",ABS(Vorrunde!$L40-Vorrunde!$N40)&gt;1),Vorrunde!$L40,"")</f>
        <v>25</v>
      </c>
      <c r="AE92" s="141">
        <f ca="1">IF(AND($AA92=1,Vorrunde!$L40&lt;&gt;"",Vorrunde!$N40&lt;&gt;"",ABS(Vorrunde!$L40-Vorrunde!$N40)&gt;1),Vorrunde!$N40,"")</f>
        <v>17</v>
      </c>
      <c r="AF92" s="145" t="str">
        <f ca="1">IF(AND($AA92=1,Vorrunde!$O40&lt;&gt;"",Vorrunde!$Q40&lt;&gt;"",ABS(Vorrunde!$O40-Vorrunde!$Q40)&gt;1),Vorrunde!$O40,"")</f>
        <v/>
      </c>
      <c r="AG92" s="141" t="str">
        <f ca="1">IF(AND($AA92=1,Vorrunde!$O40&lt;&gt;"",Vorrunde!$Q40&lt;&gt;"",ABS(Vorrunde!$O40-Vorrunde!$Q40)&gt;1),Vorrunde!$Q40,"")</f>
        <v/>
      </c>
      <c r="AH92" s="145">
        <f t="shared" ca="1" si="68"/>
        <v>50</v>
      </c>
      <c r="AI92" s="141">
        <f t="shared" ca="1" si="69"/>
        <v>34</v>
      </c>
      <c r="AJ92" s="145">
        <f ca="1">IF(Vorrunde!$R40="",0,Vorrunde!$R40)</f>
        <v>2</v>
      </c>
      <c r="AK92" s="141">
        <f ca="1">IF(Vorrunde!$T40="",0,Vorrunde!$T40)</f>
        <v>0</v>
      </c>
      <c r="AL92" s="145">
        <f ca="1">IF($AA92=0,"",IF($AJ92&gt;$AK92,Einstellungen!$C$4,IF($AJ92=$AK92,1,0)))</f>
        <v>2</v>
      </c>
      <c r="AM92" s="141">
        <f ca="1">IF($AA92=0,"",IF($AJ92&lt;$AK92,Einstellungen!$C$4,IF($AJ92=$AK92,1,0)))</f>
        <v>0</v>
      </c>
    </row>
    <row r="93" spans="2:39" s="2" customFormat="1" x14ac:dyDescent="0.2">
      <c r="B93" s="4"/>
      <c r="C93" s="4"/>
      <c r="D93" s="4"/>
      <c r="E93" s="4"/>
      <c r="F93" s="778"/>
      <c r="G93" s="778"/>
      <c r="H93" s="778"/>
      <c r="I93" s="778"/>
      <c r="J93" s="778"/>
      <c r="K93" s="778"/>
      <c r="L93" s="778"/>
      <c r="M93" s="778"/>
      <c r="U93" s="66" t="s">
        <v>44</v>
      </c>
      <c r="V93" s="40" t="str">
        <f ca="1">Planung!$L35</f>
        <v>SSV Wildbach</v>
      </c>
      <c r="W93" s="778" t="str">
        <f ca="1">Planung!$N35</f>
        <v>Mainz 05</v>
      </c>
      <c r="X93" s="831">
        <f ca="1">IF(AND($AA93=1,Vorrunde!$I41&lt;&gt;"",Vorrunde!$K41&lt;&gt;"",ABS(Vorrunde!$I41-Vorrunde!$K41)&gt;1),Vorrunde!$I41,"")</f>
        <v>14</v>
      </c>
      <c r="Y93" s="35">
        <f ca="1">IF(AND($AA93=1,Vorrunde!$I41&lt;&gt;"",Vorrunde!$K41&lt;&gt;"",ABS(Vorrunde!$I41-Vorrunde!$K41)&gt;1),Vorrunde!$K41,"")</f>
        <v>25</v>
      </c>
      <c r="Z93" s="34" t="str">
        <f t="shared" ca="1" si="70"/>
        <v>SSV WildbachMainz 05</v>
      </c>
      <c r="AA93" s="831">
        <f ca="1">IF(AND(V93&lt;&gt;"",W93&lt;&gt;"",V93&lt;&gt;W93,Vorrunde!$R41&lt;&gt;"",Vorrunde!$T41&lt;&gt;""),1,0)</f>
        <v>1</v>
      </c>
      <c r="AB93" s="831" t="str">
        <f ca="1">IF(AA93&gt;0,AH93&amp;Sprache!$E$109&amp;AI93,"")</f>
        <v>39 : 43</v>
      </c>
      <c r="AC93" s="141" t="str">
        <f ca="1">IF(AA93&gt;0,AJ93&amp;Sprache!$E$109&amp;AK93,"")</f>
        <v>1 : 1</v>
      </c>
      <c r="AD93" s="145">
        <f ca="1">IF(AND($AA93=1,Vorrunde!$L41&lt;&gt;"",Vorrunde!$N41&lt;&gt;"",ABS(Vorrunde!$L41-Vorrunde!$N41)&gt;1),Vorrunde!$L41,"")</f>
        <v>25</v>
      </c>
      <c r="AE93" s="141">
        <f ca="1">IF(AND($AA93=1,Vorrunde!$L41&lt;&gt;"",Vorrunde!$N41&lt;&gt;"",ABS(Vorrunde!$L41-Vorrunde!$N41)&gt;1),Vorrunde!$N41,"")</f>
        <v>18</v>
      </c>
      <c r="AF93" s="145" t="str">
        <f ca="1">IF(AND($AA93=1,Vorrunde!$O41&lt;&gt;"",Vorrunde!$Q41&lt;&gt;"",ABS(Vorrunde!$O41-Vorrunde!$Q41)&gt;1),Vorrunde!$O41,"")</f>
        <v/>
      </c>
      <c r="AG93" s="141" t="str">
        <f ca="1">IF(AND($AA93=1,Vorrunde!$O41&lt;&gt;"",Vorrunde!$Q41&lt;&gt;"",ABS(Vorrunde!$O41-Vorrunde!$Q41)&gt;1),Vorrunde!$Q41,"")</f>
        <v/>
      </c>
      <c r="AH93" s="145">
        <f t="shared" ca="1" si="68"/>
        <v>39</v>
      </c>
      <c r="AI93" s="141">
        <f t="shared" ca="1" si="69"/>
        <v>43</v>
      </c>
      <c r="AJ93" s="145">
        <f ca="1">IF(Vorrunde!$R41="",0,Vorrunde!$R41)</f>
        <v>1</v>
      </c>
      <c r="AK93" s="141">
        <f ca="1">IF(Vorrunde!$T41="",0,Vorrunde!$T41)</f>
        <v>1</v>
      </c>
      <c r="AL93" s="145">
        <f ca="1">IF($AA93=0,"",IF($AJ93&gt;$AK93,Einstellungen!$C$4,IF($AJ93=$AK93,1,0)))</f>
        <v>1</v>
      </c>
      <c r="AM93" s="141">
        <f ca="1">IF($AA93=0,"",IF($AJ93&lt;$AK93,Einstellungen!$C$4,IF($AJ93=$AK93,1,0)))</f>
        <v>1</v>
      </c>
    </row>
    <row r="94" spans="2:39" s="2" customFormat="1" x14ac:dyDescent="0.2">
      <c r="B94" s="4"/>
      <c r="C94" s="4"/>
      <c r="D94" s="4"/>
      <c r="E94" s="4"/>
      <c r="F94" s="778"/>
      <c r="G94" s="778"/>
      <c r="H94" s="778"/>
      <c r="I94" s="778"/>
      <c r="J94" s="778"/>
      <c r="K94" s="778"/>
      <c r="L94" s="778"/>
      <c r="M94" s="778"/>
      <c r="U94" s="66" t="s">
        <v>45</v>
      </c>
      <c r="V94" s="40" t="str">
        <f ca="1">Planung!$L36</f>
        <v>Borussia Dortmund</v>
      </c>
      <c r="W94" s="778" t="str">
        <f ca="1">Planung!$N36</f>
        <v>Kickers Rodendorf</v>
      </c>
      <c r="X94" s="831">
        <f ca="1">IF(AND($AA94=1,Vorrunde!$I42&lt;&gt;"",Vorrunde!$K42&lt;&gt;"",ABS(Vorrunde!$I42-Vorrunde!$K42)&gt;1),Vorrunde!$I42,"")</f>
        <v>20</v>
      </c>
      <c r="Y94" s="35">
        <f ca="1">IF(AND($AA94=1,Vorrunde!$I42&lt;&gt;"",Vorrunde!$K42&lt;&gt;"",ABS(Vorrunde!$I42-Vorrunde!$K42)&gt;1),Vorrunde!$K42,"")</f>
        <v>25</v>
      </c>
      <c r="Z94" s="34" t="str">
        <f t="shared" ca="1" si="70"/>
        <v>Borussia DortmundKickers Rodendorf</v>
      </c>
      <c r="AA94" s="831">
        <f ca="1">IF(AND(V94&lt;&gt;"",W94&lt;&gt;"",V94&lt;&gt;W94,Vorrunde!$R42&lt;&gt;"",Vorrunde!$T42&lt;&gt;""),1,0)</f>
        <v>1</v>
      </c>
      <c r="AB94" s="831" t="str">
        <f ca="1">IF(AA94&gt;0,AH94&amp;Sprache!$E$109&amp;AI94,"")</f>
        <v>45 : 44</v>
      </c>
      <c r="AC94" s="141" t="str">
        <f ca="1">IF(AA94&gt;0,AJ94&amp;Sprache!$E$109&amp;AK94,"")</f>
        <v>1 : 1</v>
      </c>
      <c r="AD94" s="145">
        <f ca="1">IF(AND($AA94=1,Vorrunde!$L42&lt;&gt;"",Vorrunde!$N42&lt;&gt;"",ABS(Vorrunde!$L42-Vorrunde!$N42)&gt;1),Vorrunde!$L42,"")</f>
        <v>25</v>
      </c>
      <c r="AE94" s="141">
        <f ca="1">IF(AND($AA94=1,Vorrunde!$L42&lt;&gt;"",Vorrunde!$N42&lt;&gt;"",ABS(Vorrunde!$L42-Vorrunde!$N42)&gt;1),Vorrunde!$N42,"")</f>
        <v>19</v>
      </c>
      <c r="AF94" s="145" t="str">
        <f ca="1">IF(AND($AA94=1,Vorrunde!$O42&lt;&gt;"",Vorrunde!$Q42&lt;&gt;"",ABS(Vorrunde!$O42-Vorrunde!$Q42)&gt;1),Vorrunde!$O42,"")</f>
        <v/>
      </c>
      <c r="AG94" s="141" t="str">
        <f ca="1">IF(AND($AA94=1,Vorrunde!$O42&lt;&gt;"",Vorrunde!$Q42&lt;&gt;"",ABS(Vorrunde!$O42-Vorrunde!$Q42)&gt;1),Vorrunde!$Q42,"")</f>
        <v/>
      </c>
      <c r="AH94" s="145">
        <f t="shared" ca="1" si="68"/>
        <v>45</v>
      </c>
      <c r="AI94" s="141">
        <f t="shared" ca="1" si="69"/>
        <v>44</v>
      </c>
      <c r="AJ94" s="145">
        <f ca="1">IF(Vorrunde!$R42="",0,Vorrunde!$R42)</f>
        <v>1</v>
      </c>
      <c r="AK94" s="141">
        <f ca="1">IF(Vorrunde!$T42="",0,Vorrunde!$T42)</f>
        <v>1</v>
      </c>
      <c r="AL94" s="145">
        <f ca="1">IF($AA94=0,"",IF($AJ94&gt;$AK94,Einstellungen!$C$4,IF($AJ94=$AK94,1,0)))</f>
        <v>1</v>
      </c>
      <c r="AM94" s="141">
        <f ca="1">IF($AA94=0,"",IF($AJ94&lt;$AK94,Einstellungen!$C$4,IF($AJ94=$AK94,1,0)))</f>
        <v>1</v>
      </c>
    </row>
    <row r="95" spans="2:39" s="2" customFormat="1" x14ac:dyDescent="0.2">
      <c r="B95" s="4"/>
      <c r="C95" s="4"/>
      <c r="D95" s="4"/>
      <c r="E95" s="4"/>
      <c r="F95" s="778"/>
      <c r="G95" s="778"/>
      <c r="H95" s="778"/>
      <c r="I95" s="778"/>
      <c r="J95" s="778"/>
      <c r="K95" s="778"/>
      <c r="L95" s="778"/>
      <c r="M95" s="778"/>
      <c r="U95" s="66" t="s">
        <v>46</v>
      </c>
      <c r="V95" s="40" t="str">
        <f ca="1">Planung!$L37</f>
        <v>HSV</v>
      </c>
      <c r="W95" s="778" t="str">
        <f ca="1">Planung!$N37</f>
        <v>TSG Saalberg eV</v>
      </c>
      <c r="X95" s="831">
        <f ca="1">IF(AND($AA95=1,Vorrunde!$I43&lt;&gt;"",Vorrunde!$K43&lt;&gt;"",ABS(Vorrunde!$I43-Vorrunde!$K43)&gt;1),Vorrunde!$I43,"")</f>
        <v>19</v>
      </c>
      <c r="Y95" s="35">
        <f ca="1">IF(AND($AA95=1,Vorrunde!$I43&lt;&gt;"",Vorrunde!$K43&lt;&gt;"",ABS(Vorrunde!$I43-Vorrunde!$K43)&gt;1),Vorrunde!$K43,"")</f>
        <v>25</v>
      </c>
      <c r="Z95" s="34" t="str">
        <f t="shared" ca="1" si="70"/>
        <v>HSVTSG Saalberg eV</v>
      </c>
      <c r="AA95" s="831">
        <f ca="1">IF(AND(V95&lt;&gt;"",W95&lt;&gt;"",V95&lt;&gt;W95,Vorrunde!$R43&lt;&gt;"",Vorrunde!$T43&lt;&gt;""),1,0)</f>
        <v>1</v>
      </c>
      <c r="AB95" s="831" t="str">
        <f ca="1">IF(AA95&gt;0,AH95&amp;Sprache!$E$109&amp;AI95,"")</f>
        <v>44 : 45</v>
      </c>
      <c r="AC95" s="141" t="str">
        <f ca="1">IF(AA95&gt;0,AJ95&amp;Sprache!$E$109&amp;AK95,"")</f>
        <v>1 : 1</v>
      </c>
      <c r="AD95" s="145">
        <f ca="1">IF(AND($AA95=1,Vorrunde!$L43&lt;&gt;"",Vorrunde!$N43&lt;&gt;"",ABS(Vorrunde!$L43-Vorrunde!$N43)&gt;1),Vorrunde!$L43,"")</f>
        <v>25</v>
      </c>
      <c r="AE95" s="141">
        <f ca="1">IF(AND($AA95=1,Vorrunde!$L43&lt;&gt;"",Vorrunde!$N43&lt;&gt;"",ABS(Vorrunde!$L43-Vorrunde!$N43)&gt;1),Vorrunde!$N43,"")</f>
        <v>20</v>
      </c>
      <c r="AF95" s="145" t="str">
        <f ca="1">IF(AND($AA95=1,Vorrunde!$O43&lt;&gt;"",Vorrunde!$Q43&lt;&gt;"",ABS(Vorrunde!$O43-Vorrunde!$Q43)&gt;1),Vorrunde!$O43,"")</f>
        <v/>
      </c>
      <c r="AG95" s="141" t="str">
        <f ca="1">IF(AND($AA95=1,Vorrunde!$O43&lt;&gt;"",Vorrunde!$Q43&lt;&gt;"",ABS(Vorrunde!$O43-Vorrunde!$Q43)&gt;1),Vorrunde!$Q43,"")</f>
        <v/>
      </c>
      <c r="AH95" s="145">
        <f t="shared" ca="1" si="68"/>
        <v>44</v>
      </c>
      <c r="AI95" s="141">
        <f t="shared" ca="1" si="69"/>
        <v>45</v>
      </c>
      <c r="AJ95" s="145">
        <f ca="1">IF(Vorrunde!$R43="",0,Vorrunde!$R43)</f>
        <v>1</v>
      </c>
      <c r="AK95" s="141">
        <f ca="1">IF(Vorrunde!$T43="",0,Vorrunde!$T43)</f>
        <v>1</v>
      </c>
      <c r="AL95" s="145">
        <f ca="1">IF($AA95=0,"",IF($AJ95&gt;$AK95,Einstellungen!$C$4,IF($AJ95=$AK95,1,0)))</f>
        <v>1</v>
      </c>
      <c r="AM95" s="141">
        <f ca="1">IF($AA95=0,"",IF($AJ95&lt;$AK95,Einstellungen!$C$4,IF($AJ95=$AK95,1,0)))</f>
        <v>1</v>
      </c>
    </row>
    <row r="96" spans="2:39" s="2" customFormat="1" x14ac:dyDescent="0.2">
      <c r="B96" s="4"/>
      <c r="C96" s="4"/>
      <c r="D96" s="4"/>
      <c r="E96" s="4"/>
      <c r="F96" s="778"/>
      <c r="G96" s="778"/>
      <c r="H96" s="778"/>
      <c r="I96" s="778"/>
      <c r="J96" s="778"/>
      <c r="K96" s="778"/>
      <c r="L96" s="778"/>
      <c r="M96" s="778"/>
      <c r="U96" s="66" t="s">
        <v>47</v>
      </c>
      <c r="V96" s="40" t="str">
        <f ca="1">Planung!$L38</f>
        <v>Maibach 1822 eV</v>
      </c>
      <c r="W96" s="778" t="str">
        <f ca="1">Planung!$N38</f>
        <v>VFB Essenheim</v>
      </c>
      <c r="X96" s="831">
        <f ca="1">IF(AND($AA96=1,Vorrunde!$I44&lt;&gt;"",Vorrunde!$K44&lt;&gt;"",ABS(Vorrunde!$I44-Vorrunde!$K44)&gt;1),Vorrunde!$I44,"")</f>
        <v>17</v>
      </c>
      <c r="Y96" s="35">
        <f ca="1">IF(AND($AA96=1,Vorrunde!$I44&lt;&gt;"",Vorrunde!$K44&lt;&gt;"",ABS(Vorrunde!$I44-Vorrunde!$K44)&gt;1),Vorrunde!$K44,"")</f>
        <v>25</v>
      </c>
      <c r="Z96" s="34" t="str">
        <f t="shared" ca="1" si="70"/>
        <v>Maibach 1822 eVVFB Essenheim</v>
      </c>
      <c r="AA96" s="831">
        <f ca="1">IF(AND(V96&lt;&gt;"",W96&lt;&gt;"",V96&lt;&gt;W96,Vorrunde!$R44&lt;&gt;"",Vorrunde!$T44&lt;&gt;""),1,0)</f>
        <v>1</v>
      </c>
      <c r="AB96" s="831" t="str">
        <f ca="1">IF(AA96&gt;0,AH96&amp;Sprache!$E$109&amp;AI96,"")</f>
        <v>42 : 46</v>
      </c>
      <c r="AC96" s="141" t="str">
        <f ca="1">IF(AA96&gt;0,AJ96&amp;Sprache!$E$109&amp;AK96,"")</f>
        <v>1 : 1</v>
      </c>
      <c r="AD96" s="145">
        <f ca="1">IF(AND($AA96=1,Vorrunde!$L44&lt;&gt;"",Vorrunde!$N44&lt;&gt;"",ABS(Vorrunde!$L44-Vorrunde!$N44)&gt;1),Vorrunde!$L44,"")</f>
        <v>25</v>
      </c>
      <c r="AE96" s="141">
        <f ca="1">IF(AND($AA96=1,Vorrunde!$L44&lt;&gt;"",Vorrunde!$N44&lt;&gt;"",ABS(Vorrunde!$L44-Vorrunde!$N44)&gt;1),Vorrunde!$N44,"")</f>
        <v>21</v>
      </c>
      <c r="AF96" s="145" t="str">
        <f ca="1">IF(AND($AA96=1,Vorrunde!$O44&lt;&gt;"",Vorrunde!$Q44&lt;&gt;"",ABS(Vorrunde!$O44-Vorrunde!$Q44)&gt;1),Vorrunde!$O44,"")</f>
        <v/>
      </c>
      <c r="AG96" s="141" t="str">
        <f ca="1">IF(AND($AA96=1,Vorrunde!$O44&lt;&gt;"",Vorrunde!$Q44&lt;&gt;"",ABS(Vorrunde!$O44-Vorrunde!$Q44)&gt;1),Vorrunde!$Q44,"")</f>
        <v/>
      </c>
      <c r="AH96" s="145">
        <f t="shared" ca="1" si="68"/>
        <v>42</v>
      </c>
      <c r="AI96" s="141">
        <f t="shared" ca="1" si="69"/>
        <v>46</v>
      </c>
      <c r="AJ96" s="145">
        <f ca="1">IF(Vorrunde!$R44="",0,Vorrunde!$R44)</f>
        <v>1</v>
      </c>
      <c r="AK96" s="141">
        <f ca="1">IF(Vorrunde!$T44="",0,Vorrunde!$T44)</f>
        <v>1</v>
      </c>
      <c r="AL96" s="145">
        <f ca="1">IF($AA96=0,"",IF($AJ96&gt;$AK96,Einstellungen!$C$4,IF($AJ96=$AK96,1,0)))</f>
        <v>1</v>
      </c>
      <c r="AM96" s="141">
        <f ca="1">IF($AA96=0,"",IF($AJ96&lt;$AK96,Einstellungen!$C$4,IF($AJ96=$AK96,1,0)))</f>
        <v>1</v>
      </c>
    </row>
    <row r="97" spans="2:39" s="2" customFormat="1" x14ac:dyDescent="0.2">
      <c r="B97" s="4"/>
      <c r="C97" s="4"/>
      <c r="D97" s="4"/>
      <c r="E97" s="4"/>
      <c r="F97" s="778"/>
      <c r="G97" s="778"/>
      <c r="H97" s="778"/>
      <c r="I97" s="778"/>
      <c r="J97" s="778"/>
      <c r="K97" s="778"/>
      <c r="L97" s="778"/>
      <c r="M97" s="778"/>
      <c r="U97" s="66" t="s">
        <v>48</v>
      </c>
      <c r="V97" s="40" t="str">
        <f ca="1">Planung!$L39</f>
        <v>Manchester City</v>
      </c>
      <c r="W97" s="778" t="str">
        <f ca="1">Planung!$N39</f>
        <v>FC Grönlingen</v>
      </c>
      <c r="X97" s="831">
        <f ca="1">IF(AND($AA97=1,Vorrunde!$I45&lt;&gt;"",Vorrunde!$K45&lt;&gt;"",ABS(Vorrunde!$I45-Vorrunde!$K45)&gt;1),Vorrunde!$I45,"")</f>
        <v>14</v>
      </c>
      <c r="Y97" s="35">
        <f ca="1">IF(AND($AA97=1,Vorrunde!$I45&lt;&gt;"",Vorrunde!$K45&lt;&gt;"",ABS(Vorrunde!$I45-Vorrunde!$K45)&gt;1),Vorrunde!$K45,"")</f>
        <v>25</v>
      </c>
      <c r="Z97" s="34" t="str">
        <f t="shared" ca="1" si="70"/>
        <v>Manchester CityFC Grönlingen</v>
      </c>
      <c r="AA97" s="831">
        <f ca="1">IF(AND(V97&lt;&gt;"",W97&lt;&gt;"",V97&lt;&gt;W97,Vorrunde!$R45&lt;&gt;"",Vorrunde!$T45&lt;&gt;""),1,0)</f>
        <v>1</v>
      </c>
      <c r="AB97" s="831" t="str">
        <f ca="1">IF(AA97&gt;0,AH97&amp;Sprache!$E$109&amp;AI97,"")</f>
        <v>39 : 47</v>
      </c>
      <c r="AC97" s="141" t="str">
        <f ca="1">IF(AA97&gt;0,AJ97&amp;Sprache!$E$109&amp;AK97,"")</f>
        <v>1 : 1</v>
      </c>
      <c r="AD97" s="145">
        <f ca="1">IF(AND($AA97=1,Vorrunde!$L45&lt;&gt;"",Vorrunde!$N45&lt;&gt;"",ABS(Vorrunde!$L45-Vorrunde!$N45)&gt;1),Vorrunde!$L45,"")</f>
        <v>25</v>
      </c>
      <c r="AE97" s="141">
        <f ca="1">IF(AND($AA97=1,Vorrunde!$L45&lt;&gt;"",Vorrunde!$N45&lt;&gt;"",ABS(Vorrunde!$L45-Vorrunde!$N45)&gt;1),Vorrunde!$N45,"")</f>
        <v>22</v>
      </c>
      <c r="AF97" s="145" t="str">
        <f ca="1">IF(AND($AA97=1,Vorrunde!$O45&lt;&gt;"",Vorrunde!$Q45&lt;&gt;"",ABS(Vorrunde!$O45-Vorrunde!$Q45)&gt;1),Vorrunde!$O45,"")</f>
        <v/>
      </c>
      <c r="AG97" s="141" t="str">
        <f ca="1">IF(AND($AA97=1,Vorrunde!$O45&lt;&gt;"",Vorrunde!$Q45&lt;&gt;"",ABS(Vorrunde!$O45-Vorrunde!$Q45)&gt;1),Vorrunde!$Q45,"")</f>
        <v/>
      </c>
      <c r="AH97" s="145">
        <f t="shared" ca="1" si="68"/>
        <v>39</v>
      </c>
      <c r="AI97" s="141">
        <f t="shared" ca="1" si="69"/>
        <v>47</v>
      </c>
      <c r="AJ97" s="145">
        <f ca="1">IF(Vorrunde!$R45="",0,Vorrunde!$R45)</f>
        <v>1</v>
      </c>
      <c r="AK97" s="141">
        <f ca="1">IF(Vorrunde!$T45="",0,Vorrunde!$T45)</f>
        <v>1</v>
      </c>
      <c r="AL97" s="145">
        <f ca="1">IF($AA97=0,"",IF($AJ97&gt;$AK97,Einstellungen!$C$4,IF($AJ97=$AK97,1,0)))</f>
        <v>1</v>
      </c>
      <c r="AM97" s="141">
        <f ca="1">IF($AA97=0,"",IF($AJ97&lt;$AK97,Einstellungen!$C$4,IF($AJ97=$AK97,1,0)))</f>
        <v>1</v>
      </c>
    </row>
    <row r="98" spans="2:39" s="2" customFormat="1" x14ac:dyDescent="0.2">
      <c r="B98" s="4"/>
      <c r="C98" s="4"/>
      <c r="D98" s="4"/>
      <c r="E98" s="4"/>
      <c r="F98" s="778"/>
      <c r="G98" s="778"/>
      <c r="H98" s="778"/>
      <c r="I98" s="778"/>
      <c r="J98" s="778"/>
      <c r="K98" s="778"/>
      <c r="L98" s="778"/>
      <c r="M98" s="778"/>
      <c r="U98" s="66" t="s">
        <v>49</v>
      </c>
      <c r="V98" s="40" t="str">
        <f ca="1">Planung!$L40</f>
        <v>FSV Rauen</v>
      </c>
      <c r="W98" s="778" t="str">
        <f ca="1">Planung!$N40</f>
        <v>1. FC Nürnberg</v>
      </c>
      <c r="X98" s="831">
        <f ca="1">IF(AND($AA98=1,Vorrunde!$I46&lt;&gt;"",Vorrunde!$K46&lt;&gt;"",ABS(Vorrunde!$I46-Vorrunde!$K46)&gt;1),Vorrunde!$I46,"")</f>
        <v>25</v>
      </c>
      <c r="Y98" s="35">
        <f ca="1">IF(AND($AA98=1,Vorrunde!$I46&lt;&gt;"",Vorrunde!$K46&lt;&gt;"",ABS(Vorrunde!$I46-Vorrunde!$K46)&gt;1),Vorrunde!$K46,"")</f>
        <v>21</v>
      </c>
      <c r="Z98" s="34" t="str">
        <f t="shared" ca="1" si="70"/>
        <v>FSV Rauen1. FC Nürnberg</v>
      </c>
      <c r="AA98" s="831">
        <f ca="1">IF(AND(V98&lt;&gt;"",W98&lt;&gt;"",V98&lt;&gt;W98,Vorrunde!$R46&lt;&gt;"",Vorrunde!$T46&lt;&gt;""),1,0)</f>
        <v>1</v>
      </c>
      <c r="AB98" s="831" t="str">
        <f ca="1">IF(AA98&gt;0,AH98&amp;Sprache!$E$109&amp;AI98,"")</f>
        <v>50 : 34</v>
      </c>
      <c r="AC98" s="141" t="str">
        <f ca="1">IF(AA98&gt;0,AJ98&amp;Sprache!$E$109&amp;AK98,"")</f>
        <v>2 : 0</v>
      </c>
      <c r="AD98" s="145">
        <f ca="1">IF(AND($AA98=1,Vorrunde!$L46&lt;&gt;"",Vorrunde!$N46&lt;&gt;"",ABS(Vorrunde!$L46-Vorrunde!$N46)&gt;1),Vorrunde!$L46,"")</f>
        <v>25</v>
      </c>
      <c r="AE98" s="141">
        <f ca="1">IF(AND($AA98=1,Vorrunde!$L46&lt;&gt;"",Vorrunde!$N46&lt;&gt;"",ABS(Vorrunde!$L46-Vorrunde!$N46)&gt;1),Vorrunde!$N46,"")</f>
        <v>13</v>
      </c>
      <c r="AF98" s="145" t="str">
        <f ca="1">IF(AND($AA98=1,Vorrunde!$O46&lt;&gt;"",Vorrunde!$Q46&lt;&gt;"",ABS(Vorrunde!$O46-Vorrunde!$Q46)&gt;1),Vorrunde!$O46,"")</f>
        <v/>
      </c>
      <c r="AG98" s="141" t="str">
        <f ca="1">IF(AND($AA98=1,Vorrunde!$O46&lt;&gt;"",Vorrunde!$Q46&lt;&gt;"",ABS(Vorrunde!$O46-Vorrunde!$Q46)&gt;1),Vorrunde!$Q46,"")</f>
        <v/>
      </c>
      <c r="AH98" s="145">
        <f t="shared" ca="1" si="68"/>
        <v>50</v>
      </c>
      <c r="AI98" s="141">
        <f t="shared" ca="1" si="69"/>
        <v>34</v>
      </c>
      <c r="AJ98" s="145">
        <f ca="1">IF(Vorrunde!$R46="",0,Vorrunde!$R46)</f>
        <v>2</v>
      </c>
      <c r="AK98" s="141">
        <f ca="1">IF(Vorrunde!$T46="",0,Vorrunde!$T46)</f>
        <v>0</v>
      </c>
      <c r="AL98" s="145">
        <f ca="1">IF($AA98=0,"",IF($AJ98&gt;$AK98,Einstellungen!$C$4,IF($AJ98=$AK98,1,0)))</f>
        <v>2</v>
      </c>
      <c r="AM98" s="141">
        <f ca="1">IF($AA98=0,"",IF($AJ98&lt;$AK98,Einstellungen!$C$4,IF($AJ98=$AK98,1,0)))</f>
        <v>0</v>
      </c>
    </row>
    <row r="99" spans="2:39" s="2" customFormat="1" x14ac:dyDescent="0.2">
      <c r="B99" s="4"/>
      <c r="C99" s="4"/>
      <c r="D99" s="4"/>
      <c r="E99" s="4"/>
      <c r="F99" s="778"/>
      <c r="G99" s="778"/>
      <c r="H99" s="778"/>
      <c r="I99" s="778"/>
      <c r="J99" s="778"/>
      <c r="K99" s="778"/>
      <c r="L99" s="778"/>
      <c r="M99" s="778"/>
      <c r="U99" s="66" t="s">
        <v>50</v>
      </c>
      <c r="V99" s="40" t="str">
        <f ca="1">Planung!$L41</f>
        <v>RB Leipzig</v>
      </c>
      <c r="W99" s="778" t="str">
        <f ca="1">Planung!$N41</f>
        <v>SV Oberredenburg</v>
      </c>
      <c r="X99" s="831">
        <f ca="1">IF(AND($AA99=1,Vorrunde!$I47&lt;&gt;"",Vorrunde!$K47&lt;&gt;"",ABS(Vorrunde!$I47-Vorrunde!$K47)&gt;1),Vorrunde!$I47,"")</f>
        <v>25</v>
      </c>
      <c r="Y99" s="35">
        <f ca="1">IF(AND($AA99=1,Vorrunde!$I47&lt;&gt;"",Vorrunde!$K47&lt;&gt;"",ABS(Vorrunde!$I47-Vorrunde!$K47)&gt;1),Vorrunde!$K47,"")</f>
        <v>19</v>
      </c>
      <c r="Z99" s="34" t="str">
        <f t="shared" ca="1" si="70"/>
        <v>RB LeipzigSV Oberredenburg</v>
      </c>
      <c r="AA99" s="831">
        <f ca="1">IF(AND(V99&lt;&gt;"",W99&lt;&gt;"",V99&lt;&gt;W99,Vorrunde!$R47&lt;&gt;"",Vorrunde!$T47&lt;&gt;""),1,0)</f>
        <v>1</v>
      </c>
      <c r="AB99" s="831" t="str">
        <f ca="1">IF(AA99&gt;0,AH99&amp;Sprache!$E$109&amp;AI99,"")</f>
        <v>50 : 36</v>
      </c>
      <c r="AC99" s="141" t="str">
        <f ca="1">IF(AA99&gt;0,AJ99&amp;Sprache!$E$109&amp;AK99,"")</f>
        <v>2 : 0</v>
      </c>
      <c r="AD99" s="145">
        <f ca="1">IF(AND($AA99=1,Vorrunde!$L47&lt;&gt;"",Vorrunde!$N47&lt;&gt;"",ABS(Vorrunde!$L47-Vorrunde!$N47)&gt;1),Vorrunde!$L47,"")</f>
        <v>25</v>
      </c>
      <c r="AE99" s="141">
        <f ca="1">IF(AND($AA99=1,Vorrunde!$L47&lt;&gt;"",Vorrunde!$N47&lt;&gt;"",ABS(Vorrunde!$L47-Vorrunde!$N47)&gt;1),Vorrunde!$N47,"")</f>
        <v>17</v>
      </c>
      <c r="AF99" s="145" t="str">
        <f ca="1">IF(AND($AA99=1,Vorrunde!$O47&lt;&gt;"",Vorrunde!$Q47&lt;&gt;"",ABS(Vorrunde!$O47-Vorrunde!$Q47)&gt;1),Vorrunde!$O47,"")</f>
        <v/>
      </c>
      <c r="AG99" s="141" t="str">
        <f ca="1">IF(AND($AA99=1,Vorrunde!$O47&lt;&gt;"",Vorrunde!$Q47&lt;&gt;"",ABS(Vorrunde!$O47-Vorrunde!$Q47)&gt;1),Vorrunde!$Q47,"")</f>
        <v/>
      </c>
      <c r="AH99" s="145">
        <f t="shared" ca="1" si="68"/>
        <v>50</v>
      </c>
      <c r="AI99" s="141">
        <f t="shared" ca="1" si="69"/>
        <v>36</v>
      </c>
      <c r="AJ99" s="145">
        <f ca="1">IF(Vorrunde!$R47="",0,Vorrunde!$R47)</f>
        <v>2</v>
      </c>
      <c r="AK99" s="141">
        <f ca="1">IF(Vorrunde!$T47="",0,Vorrunde!$T47)</f>
        <v>0</v>
      </c>
      <c r="AL99" s="145">
        <f ca="1">IF($AA99=0,"",IF($AJ99&gt;$AK99,Einstellungen!$C$4,IF($AJ99=$AK99,1,0)))</f>
        <v>2</v>
      </c>
      <c r="AM99" s="141">
        <f ca="1">IF($AA99=0,"",IF($AJ99&lt;$AK99,Einstellungen!$C$4,IF($AJ99=$AK99,1,0)))</f>
        <v>0</v>
      </c>
    </row>
    <row r="100" spans="2:39" s="2" customFormat="1" x14ac:dyDescent="0.2">
      <c r="B100" s="4"/>
      <c r="C100" s="4"/>
      <c r="D100" s="4"/>
      <c r="E100" s="4"/>
      <c r="F100" s="778"/>
      <c r="G100" s="778"/>
      <c r="H100" s="778"/>
      <c r="I100" s="778"/>
      <c r="J100" s="778"/>
      <c r="K100" s="778"/>
      <c r="L100" s="778"/>
      <c r="M100" s="778"/>
      <c r="U100" s="66" t="s">
        <v>58</v>
      </c>
      <c r="V100" s="40" t="str">
        <f ca="1">Planung!$L42</f>
        <v>1. FC Riedwald</v>
      </c>
      <c r="W100" s="778" t="str">
        <f ca="1">Planung!$N42</f>
        <v>FC Barcelona</v>
      </c>
      <c r="X100" s="831">
        <f ca="1">IF(AND($AA100=1,Vorrunde!$I48&lt;&gt;"",Vorrunde!$K48&lt;&gt;"",ABS(Vorrunde!$I48-Vorrunde!$K48)&gt;1),Vorrunde!$I48,"")</f>
        <v>17</v>
      </c>
      <c r="Y100" s="35">
        <f ca="1">IF(AND($AA100=1,Vorrunde!$I48&lt;&gt;"",Vorrunde!$K48&lt;&gt;"",ABS(Vorrunde!$I48-Vorrunde!$K48)&gt;1),Vorrunde!$K48,"")</f>
        <v>25</v>
      </c>
      <c r="Z100" s="34" t="str">
        <f t="shared" ca="1" si="70"/>
        <v>1. FC RiedwaldFC Barcelona</v>
      </c>
      <c r="AA100" s="831">
        <f ca="1">IF(AND(V100&lt;&gt;"",W100&lt;&gt;"",V100&lt;&gt;W100,Vorrunde!$R48&lt;&gt;"",Vorrunde!$T48&lt;&gt;""),1,0)</f>
        <v>1</v>
      </c>
      <c r="AB100" s="831" t="str">
        <f ca="1">IF(AA100&gt;0,AH100&amp;Sprache!$E$109&amp;AI100,"")</f>
        <v>35 : 50</v>
      </c>
      <c r="AC100" s="141" t="str">
        <f ca="1">IF(AA100&gt;0,AJ100&amp;Sprache!$E$109&amp;AK100,"")</f>
        <v>0 : 2</v>
      </c>
      <c r="AD100" s="145">
        <f ca="1">IF(AND($AA100=1,Vorrunde!$L48&lt;&gt;"",Vorrunde!$N48&lt;&gt;"",ABS(Vorrunde!$L48-Vorrunde!$N48)&gt;1),Vorrunde!$L48,"")</f>
        <v>18</v>
      </c>
      <c r="AE100" s="141">
        <f ca="1">IF(AND($AA100=1,Vorrunde!$L48&lt;&gt;"",Vorrunde!$N48&lt;&gt;"",ABS(Vorrunde!$L48-Vorrunde!$N48)&gt;1),Vorrunde!$N48,"")</f>
        <v>25</v>
      </c>
      <c r="AF100" s="145" t="str">
        <f ca="1">IF(AND($AA100=1,Vorrunde!$O48&lt;&gt;"",Vorrunde!$Q48&lt;&gt;"",ABS(Vorrunde!$O48-Vorrunde!$Q48)&gt;1),Vorrunde!$O48,"")</f>
        <v/>
      </c>
      <c r="AG100" s="141" t="str">
        <f ca="1">IF(AND($AA100=1,Vorrunde!$O48&lt;&gt;"",Vorrunde!$Q48&lt;&gt;"",ABS(Vorrunde!$O48-Vorrunde!$Q48)&gt;1),Vorrunde!$Q48,"")</f>
        <v/>
      </c>
      <c r="AH100" s="145">
        <f t="shared" ca="1" si="68"/>
        <v>35</v>
      </c>
      <c r="AI100" s="141">
        <f t="shared" ca="1" si="69"/>
        <v>50</v>
      </c>
      <c r="AJ100" s="145">
        <f ca="1">IF(Vorrunde!$R48="",0,Vorrunde!$R48)</f>
        <v>0</v>
      </c>
      <c r="AK100" s="141">
        <f ca="1">IF(Vorrunde!$T48="",0,Vorrunde!$T48)</f>
        <v>2</v>
      </c>
      <c r="AL100" s="145">
        <f ca="1">IF($AA100=0,"",IF($AJ100&gt;$AK100,Einstellungen!$C$4,IF($AJ100=$AK100,1,0)))</f>
        <v>0</v>
      </c>
      <c r="AM100" s="141">
        <f ca="1">IF($AA100=0,"",IF($AJ100&lt;$AK100,Einstellungen!$C$4,IF($AJ100=$AK100,1,0)))</f>
        <v>2</v>
      </c>
    </row>
    <row r="101" spans="2:39" s="2" customFormat="1" x14ac:dyDescent="0.2">
      <c r="B101" s="4"/>
      <c r="C101" s="4"/>
      <c r="D101" s="4"/>
      <c r="E101" s="4"/>
      <c r="F101" s="778"/>
      <c r="G101" s="778"/>
      <c r="H101" s="778"/>
      <c r="I101" s="778"/>
      <c r="J101" s="778"/>
      <c r="K101" s="778"/>
      <c r="L101" s="778"/>
      <c r="M101" s="778"/>
      <c r="U101" s="66" t="s">
        <v>59</v>
      </c>
      <c r="V101" s="40" t="str">
        <f ca="1">Planung!$L43</f>
        <v>Mainz 05</v>
      </c>
      <c r="W101" s="778" t="str">
        <f ca="1">Planung!$N43</f>
        <v>Inter Mailand</v>
      </c>
      <c r="X101" s="831">
        <f ca="1">IF(AND($AA101=1,Vorrunde!$I49&lt;&gt;"",Vorrunde!$K49&lt;&gt;"",ABS(Vorrunde!$I49-Vorrunde!$K49)&gt;1),Vorrunde!$I49,"")</f>
        <v>14</v>
      </c>
      <c r="Y101" s="35">
        <f ca="1">IF(AND($AA101=1,Vorrunde!$I49&lt;&gt;"",Vorrunde!$K49&lt;&gt;"",ABS(Vorrunde!$I49-Vorrunde!$K49)&gt;1),Vorrunde!$K49,"")</f>
        <v>25</v>
      </c>
      <c r="Z101" s="34" t="str">
        <f t="shared" ca="1" si="70"/>
        <v>Mainz 05Inter Mailand</v>
      </c>
      <c r="AA101" s="831">
        <f ca="1">IF(AND(V101&lt;&gt;"",W101&lt;&gt;"",V101&lt;&gt;W101,Vorrunde!$R49&lt;&gt;"",Vorrunde!$T49&lt;&gt;""),1,0)</f>
        <v>1</v>
      </c>
      <c r="AB101" s="831" t="str">
        <f ca="1">IF(AA101&gt;0,AH101&amp;Sprache!$E$109&amp;AI101,"")</f>
        <v>33 : 50</v>
      </c>
      <c r="AC101" s="141" t="str">
        <f ca="1">IF(AA101&gt;0,AJ101&amp;Sprache!$E$109&amp;AK101,"")</f>
        <v>0 : 2</v>
      </c>
      <c r="AD101" s="145">
        <f ca="1">IF(AND($AA101=1,Vorrunde!$L49&lt;&gt;"",Vorrunde!$N49&lt;&gt;"",ABS(Vorrunde!$L49-Vorrunde!$N49)&gt;1),Vorrunde!$L49,"")</f>
        <v>19</v>
      </c>
      <c r="AE101" s="141">
        <f ca="1">IF(AND($AA101=1,Vorrunde!$L49&lt;&gt;"",Vorrunde!$N49&lt;&gt;"",ABS(Vorrunde!$L49-Vorrunde!$N49)&gt;1),Vorrunde!$N49,"")</f>
        <v>25</v>
      </c>
      <c r="AF101" s="145" t="str">
        <f ca="1">IF(AND($AA101=1,Vorrunde!$O49&lt;&gt;"",Vorrunde!$Q49&lt;&gt;"",ABS(Vorrunde!$O49-Vorrunde!$Q49)&gt;1),Vorrunde!$O49,"")</f>
        <v/>
      </c>
      <c r="AG101" s="141" t="str">
        <f ca="1">IF(AND($AA101=1,Vorrunde!$O49&lt;&gt;"",Vorrunde!$Q49&lt;&gt;"",ABS(Vorrunde!$O49-Vorrunde!$Q49)&gt;1),Vorrunde!$Q49,"")</f>
        <v/>
      </c>
      <c r="AH101" s="145">
        <f t="shared" ca="1" si="68"/>
        <v>33</v>
      </c>
      <c r="AI101" s="141">
        <f t="shared" ca="1" si="69"/>
        <v>50</v>
      </c>
      <c r="AJ101" s="145">
        <f ca="1">IF(Vorrunde!$R49="",0,Vorrunde!$R49)</f>
        <v>0</v>
      </c>
      <c r="AK101" s="141">
        <f ca="1">IF(Vorrunde!$T49="",0,Vorrunde!$T49)</f>
        <v>2</v>
      </c>
      <c r="AL101" s="145">
        <f ca="1">IF($AA101=0,"",IF($AJ101&gt;$AK101,Einstellungen!$C$4,IF($AJ101=$AK101,1,0)))</f>
        <v>0</v>
      </c>
      <c r="AM101" s="141">
        <f ca="1">IF($AA101=0,"",IF($AJ101&lt;$AK101,Einstellungen!$C$4,IF($AJ101=$AK101,1,0)))</f>
        <v>2</v>
      </c>
    </row>
    <row r="102" spans="2:39" s="2" customFormat="1" x14ac:dyDescent="0.2">
      <c r="B102" s="4"/>
      <c r="C102" s="4"/>
      <c r="D102" s="4"/>
      <c r="E102" s="4"/>
      <c r="F102" s="778"/>
      <c r="G102" s="778"/>
      <c r="H102" s="778"/>
      <c r="I102" s="778"/>
      <c r="J102" s="778"/>
      <c r="K102" s="778"/>
      <c r="L102" s="778"/>
      <c r="M102" s="778"/>
      <c r="U102" s="66" t="s">
        <v>60</v>
      </c>
      <c r="V102" s="40" t="str">
        <f ca="1">Planung!$L44</f>
        <v>Kickers Rodendorf</v>
      </c>
      <c r="W102" s="778" t="str">
        <f ca="1">Planung!$N44</f>
        <v>Real Madrid</v>
      </c>
      <c r="X102" s="831">
        <f ca="1">IF(AND($AA102=1,Vorrunde!$I50&lt;&gt;"",Vorrunde!$K50&lt;&gt;"",ABS(Vorrunde!$I50-Vorrunde!$K50)&gt;1),Vorrunde!$I50,"")</f>
        <v>13</v>
      </c>
      <c r="Y102" s="35">
        <f ca="1">IF(AND($AA102=1,Vorrunde!$I50&lt;&gt;"",Vorrunde!$K50&lt;&gt;"",ABS(Vorrunde!$I50-Vorrunde!$K50)&gt;1),Vorrunde!$K50,"")</f>
        <v>25</v>
      </c>
      <c r="Z102" s="34" t="str">
        <f t="shared" ca="1" si="70"/>
        <v>Kickers RodendorfReal Madrid</v>
      </c>
      <c r="AA102" s="831">
        <f ca="1">IF(AND(V102&lt;&gt;"",W102&lt;&gt;"",V102&lt;&gt;W102,Vorrunde!$R50&lt;&gt;"",Vorrunde!$T50&lt;&gt;""),1,0)</f>
        <v>1</v>
      </c>
      <c r="AB102" s="831" t="str">
        <f ca="1">IF(AA102&gt;0,AH102&amp;Sprache!$E$109&amp;AI102,"")</f>
        <v>38 : 45</v>
      </c>
      <c r="AC102" s="141" t="str">
        <f ca="1">IF(AA102&gt;0,AJ102&amp;Sprache!$E$109&amp;AK102,"")</f>
        <v>1 : 1</v>
      </c>
      <c r="AD102" s="145">
        <f ca="1">IF(AND($AA102=1,Vorrunde!$L50&lt;&gt;"",Vorrunde!$N50&lt;&gt;"",ABS(Vorrunde!$L50-Vorrunde!$N50)&gt;1),Vorrunde!$L50,"")</f>
        <v>25</v>
      </c>
      <c r="AE102" s="141">
        <f ca="1">IF(AND($AA102=1,Vorrunde!$L50&lt;&gt;"",Vorrunde!$N50&lt;&gt;"",ABS(Vorrunde!$L50-Vorrunde!$N50)&gt;1),Vorrunde!$N50,"")</f>
        <v>20</v>
      </c>
      <c r="AF102" s="145" t="str">
        <f ca="1">IF(AND($AA102=1,Vorrunde!$O50&lt;&gt;"",Vorrunde!$Q50&lt;&gt;"",ABS(Vorrunde!$O50-Vorrunde!$Q50)&gt;1),Vorrunde!$O50,"")</f>
        <v/>
      </c>
      <c r="AG102" s="141" t="str">
        <f ca="1">IF(AND($AA102=1,Vorrunde!$O50&lt;&gt;"",Vorrunde!$Q50&lt;&gt;"",ABS(Vorrunde!$O50-Vorrunde!$Q50)&gt;1),Vorrunde!$Q50,"")</f>
        <v/>
      </c>
      <c r="AH102" s="145">
        <f t="shared" ca="1" si="68"/>
        <v>38</v>
      </c>
      <c r="AI102" s="141">
        <f t="shared" ca="1" si="69"/>
        <v>45</v>
      </c>
      <c r="AJ102" s="145">
        <f ca="1">IF(Vorrunde!$R50="",0,Vorrunde!$R50)</f>
        <v>1</v>
      </c>
      <c r="AK102" s="141">
        <f ca="1">IF(Vorrunde!$T50="",0,Vorrunde!$T50)</f>
        <v>1</v>
      </c>
      <c r="AL102" s="145">
        <f ca="1">IF($AA102=0,"",IF($AJ102&gt;$AK102,Einstellungen!$C$4,IF($AJ102=$AK102,1,0)))</f>
        <v>1</v>
      </c>
      <c r="AM102" s="141">
        <f ca="1">IF($AA102=0,"",IF($AJ102&lt;$AK102,Einstellungen!$C$4,IF($AJ102=$AK102,1,0)))</f>
        <v>1</v>
      </c>
    </row>
    <row r="103" spans="2:39" s="2" customFormat="1" x14ac:dyDescent="0.2">
      <c r="B103" s="4"/>
      <c r="C103" s="4"/>
      <c r="D103" s="4"/>
      <c r="E103" s="4"/>
      <c r="F103" s="778"/>
      <c r="G103" s="778"/>
      <c r="H103" s="778"/>
      <c r="I103" s="778"/>
      <c r="J103" s="778"/>
      <c r="K103" s="778"/>
      <c r="L103" s="778"/>
      <c r="M103" s="778"/>
      <c r="U103" s="66" t="s">
        <v>61</v>
      </c>
      <c r="V103" s="40" t="str">
        <f ca="1">Planung!$L45</f>
        <v>TSG Saalberg eV</v>
      </c>
      <c r="W103" s="778" t="str">
        <f ca="1">Planung!$N45</f>
        <v>Paris St. Germain</v>
      </c>
      <c r="X103" s="831">
        <f ca="1">IF(AND($AA103=1,Vorrunde!$I51&lt;&gt;"",Vorrunde!$K51&lt;&gt;"",ABS(Vorrunde!$I51-Vorrunde!$K51)&gt;1),Vorrunde!$I51,"")</f>
        <v>18</v>
      </c>
      <c r="Y103" s="35">
        <f ca="1">IF(AND($AA103=1,Vorrunde!$I51&lt;&gt;"",Vorrunde!$K51&lt;&gt;"",ABS(Vorrunde!$I51-Vorrunde!$K51)&gt;1),Vorrunde!$K51,"")</f>
        <v>25</v>
      </c>
      <c r="Z103" s="34" t="str">
        <f t="shared" ca="1" si="70"/>
        <v>TSG Saalberg eVParis St. Germain</v>
      </c>
      <c r="AA103" s="831">
        <f ca="1">IF(AND(V103&lt;&gt;"",W103&lt;&gt;"",V103&lt;&gt;W103,Vorrunde!$R51&lt;&gt;"",Vorrunde!$T51&lt;&gt;""),1,0)</f>
        <v>1</v>
      </c>
      <c r="AB103" s="831" t="str">
        <f ca="1">IF(AA103&gt;0,AH103&amp;Sprache!$E$109&amp;AI103,"")</f>
        <v>43 : 46</v>
      </c>
      <c r="AC103" s="141" t="str">
        <f ca="1">IF(AA103&gt;0,AJ103&amp;Sprache!$E$109&amp;AK103,"")</f>
        <v>1 : 1</v>
      </c>
      <c r="AD103" s="145">
        <f ca="1">IF(AND($AA103=1,Vorrunde!$L51&lt;&gt;"",Vorrunde!$N51&lt;&gt;"",ABS(Vorrunde!$L51-Vorrunde!$N51)&gt;1),Vorrunde!$L51,"")</f>
        <v>25</v>
      </c>
      <c r="AE103" s="141">
        <f ca="1">IF(AND($AA103=1,Vorrunde!$L51&lt;&gt;"",Vorrunde!$N51&lt;&gt;"",ABS(Vorrunde!$L51-Vorrunde!$N51)&gt;1),Vorrunde!$N51,"")</f>
        <v>21</v>
      </c>
      <c r="AF103" s="145" t="str">
        <f ca="1">IF(AND($AA103=1,Vorrunde!$O51&lt;&gt;"",Vorrunde!$Q51&lt;&gt;"",ABS(Vorrunde!$O51-Vorrunde!$Q51)&gt;1),Vorrunde!$O51,"")</f>
        <v/>
      </c>
      <c r="AG103" s="141" t="str">
        <f ca="1">IF(AND($AA103=1,Vorrunde!$O51&lt;&gt;"",Vorrunde!$Q51&lt;&gt;"",ABS(Vorrunde!$O51-Vorrunde!$Q51)&gt;1),Vorrunde!$Q51,"")</f>
        <v/>
      </c>
      <c r="AH103" s="145">
        <f t="shared" ca="1" si="68"/>
        <v>43</v>
      </c>
      <c r="AI103" s="141">
        <f t="shared" ca="1" si="69"/>
        <v>46</v>
      </c>
      <c r="AJ103" s="145">
        <f ca="1">IF(Vorrunde!$R51="",0,Vorrunde!$R51)</f>
        <v>1</v>
      </c>
      <c r="AK103" s="141">
        <f ca="1">IF(Vorrunde!$T51="",0,Vorrunde!$T51)</f>
        <v>1</v>
      </c>
      <c r="AL103" s="145">
        <f ca="1">IF($AA103=0,"",IF($AJ103&gt;$AK103,Einstellungen!$C$4,IF($AJ103=$AK103,1,0)))</f>
        <v>1</v>
      </c>
      <c r="AM103" s="141">
        <f ca="1">IF($AA103=0,"",IF($AJ103&lt;$AK103,Einstellungen!$C$4,IF($AJ103=$AK103,1,0)))</f>
        <v>1</v>
      </c>
    </row>
    <row r="104" spans="2:39" s="2" customFormat="1" x14ac:dyDescent="0.2">
      <c r="B104" s="4"/>
      <c r="C104" s="4"/>
      <c r="D104" s="4"/>
      <c r="E104" s="4"/>
      <c r="F104" s="778"/>
      <c r="G104" s="778"/>
      <c r="H104" s="778"/>
      <c r="I104" s="778"/>
      <c r="J104" s="778"/>
      <c r="K104" s="778"/>
      <c r="L104" s="778"/>
      <c r="M104" s="778"/>
      <c r="U104" s="66" t="s">
        <v>62</v>
      </c>
      <c r="V104" s="40" t="str">
        <f ca="1">Planung!$L46</f>
        <v/>
      </c>
      <c r="W104" s="778" t="str">
        <f ca="1">Planung!$N46</f>
        <v/>
      </c>
      <c r="X104" s="831" t="str">
        <f ca="1">IF(AND($AA104=1,Vorrunde!$I52&lt;&gt;"",Vorrunde!$K52&lt;&gt;"",ABS(Vorrunde!$I52-Vorrunde!$K52)&gt;1),Vorrunde!$I52,"")</f>
        <v/>
      </c>
      <c r="Y104" s="35" t="str">
        <f ca="1">IF(AND($AA104=1,Vorrunde!$I52&lt;&gt;"",Vorrunde!$K52&lt;&gt;"",ABS(Vorrunde!$I52-Vorrunde!$K52)&gt;1),Vorrunde!$K52,"")</f>
        <v/>
      </c>
      <c r="Z104" s="34" t="str">
        <f t="shared" ca="1" si="70"/>
        <v/>
      </c>
      <c r="AA104" s="831">
        <f ca="1">IF(AND(V104&lt;&gt;"",W104&lt;&gt;"",V104&lt;&gt;W104,Vorrunde!$R52&lt;&gt;"",Vorrunde!$T52&lt;&gt;""),1,0)</f>
        <v>0</v>
      </c>
      <c r="AB104" s="831" t="str">
        <f ca="1">IF(AA104&gt;0,AH104&amp;Sprache!$E$109&amp;AI104,"")</f>
        <v/>
      </c>
      <c r="AC104" s="141" t="str">
        <f ca="1">IF(AA104&gt;0,AJ104&amp;Sprache!$E$109&amp;AK104,"")</f>
        <v/>
      </c>
      <c r="AD104" s="145" t="str">
        <f ca="1">IF(AND($AA104=1,Vorrunde!$L52&lt;&gt;"",Vorrunde!$N52&lt;&gt;"",ABS(Vorrunde!$L52-Vorrunde!$N52)&gt;1),Vorrunde!$L52,"")</f>
        <v/>
      </c>
      <c r="AE104" s="141" t="str">
        <f ca="1">IF(AND($AA104=1,Vorrunde!$L52&lt;&gt;"",Vorrunde!$N52&lt;&gt;"",ABS(Vorrunde!$L52-Vorrunde!$N52)&gt;1),Vorrunde!$N52,"")</f>
        <v/>
      </c>
      <c r="AF104" s="145" t="str">
        <f ca="1">IF(AND($AA104=1,Vorrunde!$O52&lt;&gt;"",Vorrunde!$Q52&lt;&gt;"",ABS(Vorrunde!$O52-Vorrunde!$Q52)&gt;1),Vorrunde!$O52,"")</f>
        <v/>
      </c>
      <c r="AG104" s="141" t="str">
        <f ca="1">IF(AND($AA104=1,Vorrunde!$O52&lt;&gt;"",Vorrunde!$Q52&lt;&gt;"",ABS(Vorrunde!$O52-Vorrunde!$Q52)&gt;1),Vorrunde!$Q52,"")</f>
        <v/>
      </c>
      <c r="AH104" s="145" t="str">
        <f t="shared" ca="1" si="68"/>
        <v/>
      </c>
      <c r="AI104" s="141" t="str">
        <f t="shared" ca="1" si="69"/>
        <v/>
      </c>
      <c r="AJ104" s="145">
        <f ca="1">IF(Vorrunde!$R52="",0,Vorrunde!$R52)</f>
        <v>0</v>
      </c>
      <c r="AK104" s="141">
        <f ca="1">IF(Vorrunde!$T52="",0,Vorrunde!$T52)</f>
        <v>0</v>
      </c>
      <c r="AL104" s="145" t="str">
        <f ca="1">IF($AA104=0,"",IF($AJ104&gt;$AK104,Einstellungen!$C$4,IF($AJ104=$AK104,1,0)))</f>
        <v/>
      </c>
      <c r="AM104" s="141" t="str">
        <f ca="1">IF($AA104=0,"",IF($AJ104&lt;$AK104,Einstellungen!$C$4,IF($AJ104=$AK104,1,0)))</f>
        <v/>
      </c>
    </row>
    <row r="105" spans="2:39" s="2" customFormat="1" x14ac:dyDescent="0.2">
      <c r="B105" s="4"/>
      <c r="C105" s="4"/>
      <c r="D105" s="4"/>
      <c r="E105" s="4"/>
      <c r="F105" s="778"/>
      <c r="G105" s="778"/>
      <c r="H105" s="778"/>
      <c r="I105" s="778"/>
      <c r="J105" s="778"/>
      <c r="K105" s="778"/>
      <c r="L105" s="778"/>
      <c r="M105" s="778"/>
      <c r="U105" s="66" t="s">
        <v>63</v>
      </c>
      <c r="V105" s="40" t="str">
        <f ca="1">Planung!$L47</f>
        <v/>
      </c>
      <c r="W105" s="778" t="str">
        <f ca="1">Planung!$N47</f>
        <v/>
      </c>
      <c r="X105" s="831" t="str">
        <f ca="1">IF(AND($AA105=1,Vorrunde!$I53&lt;&gt;"",Vorrunde!$K53&lt;&gt;"",ABS(Vorrunde!$I53-Vorrunde!$K53)&gt;1),Vorrunde!$I53,"")</f>
        <v/>
      </c>
      <c r="Y105" s="35" t="str">
        <f ca="1">IF(AND($AA105=1,Vorrunde!$I53&lt;&gt;"",Vorrunde!$K53&lt;&gt;"",ABS(Vorrunde!$I53-Vorrunde!$K53)&gt;1),Vorrunde!$K53,"")</f>
        <v/>
      </c>
      <c r="Z105" s="34" t="str">
        <f t="shared" ca="1" si="70"/>
        <v/>
      </c>
      <c r="AA105" s="831">
        <f ca="1">IF(AND(V105&lt;&gt;"",W105&lt;&gt;"",V105&lt;&gt;W105,Vorrunde!$R53&lt;&gt;"",Vorrunde!$T53&lt;&gt;""),1,0)</f>
        <v>0</v>
      </c>
      <c r="AB105" s="831" t="str">
        <f ca="1">IF(AA105&gt;0,AH105&amp;Sprache!$E$109&amp;AI105,"")</f>
        <v/>
      </c>
      <c r="AC105" s="141" t="str">
        <f ca="1">IF(AA105&gt;0,AJ105&amp;Sprache!$E$109&amp;AK105,"")</f>
        <v/>
      </c>
      <c r="AD105" s="145" t="str">
        <f ca="1">IF(AND($AA105=1,Vorrunde!$L53&lt;&gt;"",Vorrunde!$N53&lt;&gt;"",ABS(Vorrunde!$L53-Vorrunde!$N53)&gt;1),Vorrunde!$L53,"")</f>
        <v/>
      </c>
      <c r="AE105" s="141" t="str">
        <f ca="1">IF(AND($AA105=1,Vorrunde!$L53&lt;&gt;"",Vorrunde!$N53&lt;&gt;"",ABS(Vorrunde!$L53-Vorrunde!$N53)&gt;1),Vorrunde!$N53,"")</f>
        <v/>
      </c>
      <c r="AF105" s="145" t="str">
        <f ca="1">IF(AND($AA105=1,Vorrunde!$O53&lt;&gt;"",Vorrunde!$Q53&lt;&gt;"",ABS(Vorrunde!$O53-Vorrunde!$Q53)&gt;1),Vorrunde!$O53,"")</f>
        <v/>
      </c>
      <c r="AG105" s="141" t="str">
        <f ca="1">IF(AND($AA105=1,Vorrunde!$O53&lt;&gt;"",Vorrunde!$Q53&lt;&gt;"",ABS(Vorrunde!$O53-Vorrunde!$Q53)&gt;1),Vorrunde!$Q53,"")</f>
        <v/>
      </c>
      <c r="AH105" s="145" t="str">
        <f t="shared" ca="1" si="68"/>
        <v/>
      </c>
      <c r="AI105" s="141" t="str">
        <f t="shared" ca="1" si="69"/>
        <v/>
      </c>
      <c r="AJ105" s="145">
        <f ca="1">IF(Vorrunde!$R53="",0,Vorrunde!$R53)</f>
        <v>0</v>
      </c>
      <c r="AK105" s="141">
        <f ca="1">IF(Vorrunde!$T53="",0,Vorrunde!$T53)</f>
        <v>0</v>
      </c>
      <c r="AL105" s="145" t="str">
        <f ca="1">IF($AA105=0,"",IF($AJ105&gt;$AK105,Einstellungen!$C$4,IF($AJ105=$AK105,1,0)))</f>
        <v/>
      </c>
      <c r="AM105" s="141" t="str">
        <f ca="1">IF($AA105=0,"",IF($AJ105&lt;$AK105,Einstellungen!$C$4,IF($AJ105=$AK105,1,0)))</f>
        <v/>
      </c>
    </row>
    <row r="106" spans="2:39" s="2" customFormat="1" x14ac:dyDescent="0.2">
      <c r="B106" s="4"/>
      <c r="C106" s="4"/>
      <c r="D106" s="4"/>
      <c r="E106" s="4"/>
      <c r="F106" s="778"/>
      <c r="G106" s="778"/>
      <c r="H106" s="778"/>
      <c r="I106" s="778"/>
      <c r="J106" s="778"/>
      <c r="K106" s="778"/>
      <c r="L106" s="778"/>
      <c r="M106" s="778"/>
      <c r="U106" s="66" t="s">
        <v>64</v>
      </c>
      <c r="V106" s="40" t="str">
        <f ca="1">Planung!$L48</f>
        <v/>
      </c>
      <c r="W106" s="778" t="str">
        <f ca="1">Planung!$N48</f>
        <v/>
      </c>
      <c r="X106" s="831" t="str">
        <f ca="1">IF(AND($AA106=1,Vorrunde!$I54&lt;&gt;"",Vorrunde!$K54&lt;&gt;"",ABS(Vorrunde!$I54-Vorrunde!$K54)&gt;1),Vorrunde!$I54,"")</f>
        <v/>
      </c>
      <c r="Y106" s="35" t="str">
        <f ca="1">IF(AND($AA106=1,Vorrunde!$I54&lt;&gt;"",Vorrunde!$K54&lt;&gt;"",ABS(Vorrunde!$I54-Vorrunde!$K54)&gt;1),Vorrunde!$K54,"")</f>
        <v/>
      </c>
      <c r="Z106" s="34" t="str">
        <f t="shared" ca="1" si="70"/>
        <v/>
      </c>
      <c r="AA106" s="831">
        <f ca="1">IF(AND(V106&lt;&gt;"",W106&lt;&gt;"",V106&lt;&gt;W106,Vorrunde!$R54&lt;&gt;"",Vorrunde!$T54&lt;&gt;""),1,0)</f>
        <v>0</v>
      </c>
      <c r="AB106" s="831" t="str">
        <f ca="1">IF(AA106&gt;0,AH106&amp;Sprache!$E$109&amp;AI106,"")</f>
        <v/>
      </c>
      <c r="AC106" s="141" t="str">
        <f ca="1">IF(AA106&gt;0,AJ106&amp;Sprache!$E$109&amp;AK106,"")</f>
        <v/>
      </c>
      <c r="AD106" s="145" t="str">
        <f ca="1">IF(AND($AA106=1,Vorrunde!$L54&lt;&gt;"",Vorrunde!$N54&lt;&gt;"",ABS(Vorrunde!$L54-Vorrunde!$N54)&gt;1),Vorrunde!$L54,"")</f>
        <v/>
      </c>
      <c r="AE106" s="141" t="str">
        <f ca="1">IF(AND($AA106=1,Vorrunde!$L54&lt;&gt;"",Vorrunde!$N54&lt;&gt;"",ABS(Vorrunde!$L54-Vorrunde!$N54)&gt;1),Vorrunde!$N54,"")</f>
        <v/>
      </c>
      <c r="AF106" s="145" t="str">
        <f ca="1">IF(AND($AA106=1,Vorrunde!$O54&lt;&gt;"",Vorrunde!$Q54&lt;&gt;"",ABS(Vorrunde!$O54-Vorrunde!$Q54)&gt;1),Vorrunde!$O54,"")</f>
        <v/>
      </c>
      <c r="AG106" s="141" t="str">
        <f ca="1">IF(AND($AA106=1,Vorrunde!$O54&lt;&gt;"",Vorrunde!$Q54&lt;&gt;"",ABS(Vorrunde!$O54-Vorrunde!$Q54)&gt;1),Vorrunde!$Q54,"")</f>
        <v/>
      </c>
      <c r="AH106" s="145" t="str">
        <f t="shared" ca="1" si="68"/>
        <v/>
      </c>
      <c r="AI106" s="141" t="str">
        <f t="shared" ca="1" si="69"/>
        <v/>
      </c>
      <c r="AJ106" s="145">
        <f ca="1">IF(Vorrunde!$R54="",0,Vorrunde!$R54)</f>
        <v>0</v>
      </c>
      <c r="AK106" s="141">
        <f ca="1">IF(Vorrunde!$T54="",0,Vorrunde!$T54)</f>
        <v>0</v>
      </c>
      <c r="AL106" s="145" t="str">
        <f ca="1">IF($AA106=0,"",IF($AJ106&gt;$AK106,Einstellungen!$C$4,IF($AJ106=$AK106,1,0)))</f>
        <v/>
      </c>
      <c r="AM106" s="141" t="str">
        <f ca="1">IF($AA106=0,"",IF($AJ106&lt;$AK106,Einstellungen!$C$4,IF($AJ106=$AK106,1,0)))</f>
        <v/>
      </c>
    </row>
    <row r="107" spans="2:39" s="2" customFormat="1" x14ac:dyDescent="0.2">
      <c r="B107" s="4"/>
      <c r="C107" s="4"/>
      <c r="D107" s="4"/>
      <c r="E107" s="4"/>
      <c r="F107" s="778"/>
      <c r="G107" s="778"/>
      <c r="H107" s="778"/>
      <c r="I107" s="778"/>
      <c r="J107" s="778"/>
      <c r="K107" s="778"/>
      <c r="L107" s="778"/>
      <c r="M107" s="778"/>
      <c r="U107" s="66" t="s">
        <v>65</v>
      </c>
      <c r="V107" s="40" t="str">
        <f ca="1">Planung!$L49</f>
        <v/>
      </c>
      <c r="W107" s="778" t="str">
        <f ca="1">Planung!$N49</f>
        <v/>
      </c>
      <c r="X107" s="831" t="str">
        <f ca="1">IF(AND($AA107=1,Vorrunde!$I55&lt;&gt;"",Vorrunde!$K55&lt;&gt;"",ABS(Vorrunde!$I55-Vorrunde!$K55)&gt;1),Vorrunde!$I55,"")</f>
        <v/>
      </c>
      <c r="Y107" s="35" t="str">
        <f ca="1">IF(AND($AA107=1,Vorrunde!$I55&lt;&gt;"",Vorrunde!$K55&lt;&gt;"",ABS(Vorrunde!$I55-Vorrunde!$K55)&gt;1),Vorrunde!$K55,"")</f>
        <v/>
      </c>
      <c r="Z107" s="34" t="str">
        <f t="shared" ca="1" si="70"/>
        <v/>
      </c>
      <c r="AA107" s="831">
        <f ca="1">IF(AND(V107&lt;&gt;"",W107&lt;&gt;"",V107&lt;&gt;W107,Vorrunde!$R55&lt;&gt;"",Vorrunde!$T55&lt;&gt;""),1,0)</f>
        <v>0</v>
      </c>
      <c r="AB107" s="831" t="str">
        <f ca="1">IF(AA107&gt;0,AH107&amp;Sprache!$E$109&amp;AI107,"")</f>
        <v/>
      </c>
      <c r="AC107" s="141" t="str">
        <f ca="1">IF(AA107&gt;0,AJ107&amp;Sprache!$E$109&amp;AK107,"")</f>
        <v/>
      </c>
      <c r="AD107" s="145" t="str">
        <f ca="1">IF(AND($AA107=1,Vorrunde!$L55&lt;&gt;"",Vorrunde!$N55&lt;&gt;"",ABS(Vorrunde!$L55-Vorrunde!$N55)&gt;1),Vorrunde!$L55,"")</f>
        <v/>
      </c>
      <c r="AE107" s="141" t="str">
        <f ca="1">IF(AND($AA107=1,Vorrunde!$L55&lt;&gt;"",Vorrunde!$N55&lt;&gt;"",ABS(Vorrunde!$L55-Vorrunde!$N55)&gt;1),Vorrunde!$N55,"")</f>
        <v/>
      </c>
      <c r="AF107" s="145" t="str">
        <f ca="1">IF(AND($AA107=1,Vorrunde!$O55&lt;&gt;"",Vorrunde!$Q55&lt;&gt;"",ABS(Vorrunde!$O55-Vorrunde!$Q55)&gt;1),Vorrunde!$O55,"")</f>
        <v/>
      </c>
      <c r="AG107" s="141" t="str">
        <f ca="1">IF(AND($AA107=1,Vorrunde!$O55&lt;&gt;"",Vorrunde!$Q55&lt;&gt;"",ABS(Vorrunde!$O55-Vorrunde!$Q55)&gt;1),Vorrunde!$Q55,"")</f>
        <v/>
      </c>
      <c r="AH107" s="145" t="str">
        <f t="shared" ca="1" si="68"/>
        <v/>
      </c>
      <c r="AI107" s="141" t="str">
        <f t="shared" ca="1" si="69"/>
        <v/>
      </c>
      <c r="AJ107" s="145">
        <f ca="1">IF(Vorrunde!$R55="",0,Vorrunde!$R55)</f>
        <v>0</v>
      </c>
      <c r="AK107" s="141">
        <f ca="1">IF(Vorrunde!$T55="",0,Vorrunde!$T55)</f>
        <v>0</v>
      </c>
      <c r="AL107" s="145" t="str">
        <f ca="1">IF($AA107=0,"",IF($AJ107&gt;$AK107,Einstellungen!$C$4,IF($AJ107=$AK107,1,0)))</f>
        <v/>
      </c>
      <c r="AM107" s="141" t="str">
        <f ca="1">IF($AA107=0,"",IF($AJ107&lt;$AK107,Einstellungen!$C$4,IF($AJ107=$AK107,1,0)))</f>
        <v/>
      </c>
    </row>
    <row r="108" spans="2:39" s="2" customFormat="1" x14ac:dyDescent="0.2">
      <c r="B108" s="4"/>
      <c r="C108" s="4"/>
      <c r="D108" s="4"/>
      <c r="E108" s="4"/>
      <c r="F108" s="778"/>
      <c r="G108" s="778"/>
      <c r="H108" s="778"/>
      <c r="I108" s="778"/>
      <c r="J108" s="778"/>
      <c r="K108" s="778"/>
      <c r="L108" s="778"/>
      <c r="M108" s="778"/>
      <c r="U108" s="66" t="s">
        <v>66</v>
      </c>
      <c r="V108" s="40" t="str">
        <f ca="1">Planung!$L50</f>
        <v/>
      </c>
      <c r="W108" s="778" t="str">
        <f ca="1">Planung!$N50</f>
        <v/>
      </c>
      <c r="X108" s="831" t="str">
        <f ca="1">IF(AND($AA108=1,Vorrunde!$I56&lt;&gt;"",Vorrunde!$K56&lt;&gt;"",ABS(Vorrunde!$I56-Vorrunde!$K56)&gt;1),Vorrunde!$I56,"")</f>
        <v/>
      </c>
      <c r="Y108" s="35" t="str">
        <f ca="1">IF(AND($AA108=1,Vorrunde!$I56&lt;&gt;"",Vorrunde!$K56&lt;&gt;"",ABS(Vorrunde!$I56-Vorrunde!$K56)&gt;1),Vorrunde!$K56,"")</f>
        <v/>
      </c>
      <c r="Z108" s="34" t="str">
        <f t="shared" ca="1" si="70"/>
        <v/>
      </c>
      <c r="AA108" s="831">
        <f ca="1">IF(AND(V108&lt;&gt;"",W108&lt;&gt;"",V108&lt;&gt;W108,Vorrunde!$R56&lt;&gt;"",Vorrunde!$T56&lt;&gt;""),1,0)</f>
        <v>0</v>
      </c>
      <c r="AB108" s="831" t="str">
        <f ca="1">IF(AA108&gt;0,AH108&amp;Sprache!$E$109&amp;AI108,"")</f>
        <v/>
      </c>
      <c r="AC108" s="141" t="str">
        <f ca="1">IF(AA108&gt;0,AJ108&amp;Sprache!$E$109&amp;AK108,"")</f>
        <v/>
      </c>
      <c r="AD108" s="145" t="str">
        <f ca="1">IF(AND($AA108=1,Vorrunde!$L56&lt;&gt;"",Vorrunde!$N56&lt;&gt;"",ABS(Vorrunde!$L56-Vorrunde!$N56)&gt;1),Vorrunde!$L56,"")</f>
        <v/>
      </c>
      <c r="AE108" s="141" t="str">
        <f ca="1">IF(AND($AA108=1,Vorrunde!$L56&lt;&gt;"",Vorrunde!$N56&lt;&gt;"",ABS(Vorrunde!$L56-Vorrunde!$N56)&gt;1),Vorrunde!$N56,"")</f>
        <v/>
      </c>
      <c r="AF108" s="145" t="str">
        <f ca="1">IF(AND($AA108=1,Vorrunde!$O56&lt;&gt;"",Vorrunde!$Q56&lt;&gt;"",ABS(Vorrunde!$O56-Vorrunde!$Q56)&gt;1),Vorrunde!$O56,"")</f>
        <v/>
      </c>
      <c r="AG108" s="141" t="str">
        <f ca="1">IF(AND($AA108=1,Vorrunde!$O56&lt;&gt;"",Vorrunde!$Q56&lt;&gt;"",ABS(Vorrunde!$O56-Vorrunde!$Q56)&gt;1),Vorrunde!$Q56,"")</f>
        <v/>
      </c>
      <c r="AH108" s="145" t="str">
        <f t="shared" ca="1" si="68"/>
        <v/>
      </c>
      <c r="AI108" s="141" t="str">
        <f t="shared" ca="1" si="69"/>
        <v/>
      </c>
      <c r="AJ108" s="145">
        <f ca="1">IF(Vorrunde!$R56="",0,Vorrunde!$R56)</f>
        <v>0</v>
      </c>
      <c r="AK108" s="141">
        <f ca="1">IF(Vorrunde!$T56="",0,Vorrunde!$T56)</f>
        <v>0</v>
      </c>
      <c r="AL108" s="145" t="str">
        <f ca="1">IF($AA108=0,"",IF($AJ108&gt;$AK108,Einstellungen!$C$4,IF($AJ108=$AK108,1,0)))</f>
        <v/>
      </c>
      <c r="AM108" s="141" t="str">
        <f ca="1">IF($AA108=0,"",IF($AJ108&lt;$AK108,Einstellungen!$C$4,IF($AJ108=$AK108,1,0)))</f>
        <v/>
      </c>
    </row>
    <row r="109" spans="2:39" s="2" customFormat="1" x14ac:dyDescent="0.2">
      <c r="B109" s="4"/>
      <c r="C109" s="4"/>
      <c r="D109" s="4"/>
      <c r="E109" s="4"/>
      <c r="F109" s="778"/>
      <c r="G109" s="778"/>
      <c r="H109" s="778"/>
      <c r="I109" s="778"/>
      <c r="J109" s="778"/>
      <c r="K109" s="778"/>
      <c r="L109" s="778"/>
      <c r="M109" s="778"/>
      <c r="U109" s="66" t="s">
        <v>67</v>
      </c>
      <c r="V109" s="40" t="str">
        <f ca="1">Planung!$L51</f>
        <v/>
      </c>
      <c r="W109" s="778" t="str">
        <f ca="1">Planung!$N51</f>
        <v/>
      </c>
      <c r="X109" s="831" t="str">
        <f ca="1">IF(AND($AA109=1,Vorrunde!$I57&lt;&gt;"",Vorrunde!$K57&lt;&gt;"",ABS(Vorrunde!$I57-Vorrunde!$K57)&gt;1),Vorrunde!$I57,"")</f>
        <v/>
      </c>
      <c r="Y109" s="35" t="str">
        <f ca="1">IF(AND($AA109=1,Vorrunde!$I57&lt;&gt;"",Vorrunde!$K57&lt;&gt;"",ABS(Vorrunde!$I57-Vorrunde!$K57)&gt;1),Vorrunde!$K57,"")</f>
        <v/>
      </c>
      <c r="Z109" s="34" t="str">
        <f t="shared" ca="1" si="70"/>
        <v/>
      </c>
      <c r="AA109" s="831">
        <f ca="1">IF(AND(V109&lt;&gt;"",W109&lt;&gt;"",V109&lt;&gt;W109,Vorrunde!$R57&lt;&gt;"",Vorrunde!$T57&lt;&gt;""),1,0)</f>
        <v>0</v>
      </c>
      <c r="AB109" s="831" t="str">
        <f ca="1">IF(AA109&gt;0,AH109&amp;Sprache!$E$109&amp;AI109,"")</f>
        <v/>
      </c>
      <c r="AC109" s="141" t="str">
        <f ca="1">IF(AA109&gt;0,AJ109&amp;Sprache!$E$109&amp;AK109,"")</f>
        <v/>
      </c>
      <c r="AD109" s="145" t="str">
        <f ca="1">IF(AND($AA109=1,Vorrunde!$L57&lt;&gt;"",Vorrunde!$N57&lt;&gt;"",ABS(Vorrunde!$L57-Vorrunde!$N57)&gt;1),Vorrunde!$L57,"")</f>
        <v/>
      </c>
      <c r="AE109" s="141" t="str">
        <f ca="1">IF(AND($AA109=1,Vorrunde!$L57&lt;&gt;"",Vorrunde!$N57&lt;&gt;"",ABS(Vorrunde!$L57-Vorrunde!$N57)&gt;1),Vorrunde!$N57,"")</f>
        <v/>
      </c>
      <c r="AF109" s="145" t="str">
        <f ca="1">IF(AND($AA109=1,Vorrunde!$O57&lt;&gt;"",Vorrunde!$Q57&lt;&gt;"",ABS(Vorrunde!$O57-Vorrunde!$Q57)&gt;1),Vorrunde!$O57,"")</f>
        <v/>
      </c>
      <c r="AG109" s="141" t="str">
        <f ca="1">IF(AND($AA109=1,Vorrunde!$O57&lt;&gt;"",Vorrunde!$Q57&lt;&gt;"",ABS(Vorrunde!$O57-Vorrunde!$Q57)&gt;1),Vorrunde!$Q57,"")</f>
        <v/>
      </c>
      <c r="AH109" s="145" t="str">
        <f t="shared" ca="1" si="68"/>
        <v/>
      </c>
      <c r="AI109" s="141" t="str">
        <f t="shared" ca="1" si="69"/>
        <v/>
      </c>
      <c r="AJ109" s="145">
        <f ca="1">IF(Vorrunde!$R57="",0,Vorrunde!$R57)</f>
        <v>0</v>
      </c>
      <c r="AK109" s="141">
        <f ca="1">IF(Vorrunde!$T57="",0,Vorrunde!$T57)</f>
        <v>0</v>
      </c>
      <c r="AL109" s="145" t="str">
        <f ca="1">IF($AA109=0,"",IF($AJ109&gt;$AK109,Einstellungen!$C$4,IF($AJ109=$AK109,1,0)))</f>
        <v/>
      </c>
      <c r="AM109" s="141" t="str">
        <f ca="1">IF($AA109=0,"",IF($AJ109&lt;$AK109,Einstellungen!$C$4,IF($AJ109=$AK109,1,0)))</f>
        <v/>
      </c>
    </row>
    <row r="110" spans="2:39" s="2" customFormat="1" x14ac:dyDescent="0.2">
      <c r="B110" s="4"/>
      <c r="C110" s="4"/>
      <c r="D110" s="4"/>
      <c r="E110" s="4"/>
      <c r="F110" s="778"/>
      <c r="G110" s="778"/>
      <c r="H110" s="778"/>
      <c r="I110" s="778"/>
      <c r="J110" s="778"/>
      <c r="K110" s="778"/>
      <c r="L110" s="778"/>
      <c r="M110" s="778"/>
      <c r="U110" s="66" t="s">
        <v>68</v>
      </c>
      <c r="V110" s="40" t="str">
        <f ca="1">Planung!$L52</f>
        <v/>
      </c>
      <c r="W110" s="778" t="str">
        <f ca="1">Planung!$N52</f>
        <v/>
      </c>
      <c r="X110" s="831" t="str">
        <f ca="1">IF(AND($AA110=1,Vorrunde!$I58&lt;&gt;"",Vorrunde!$K58&lt;&gt;"",ABS(Vorrunde!$I58-Vorrunde!$K58)&gt;1),Vorrunde!$I58,"")</f>
        <v/>
      </c>
      <c r="Y110" s="35" t="str">
        <f ca="1">IF(AND($AA110=1,Vorrunde!$I58&lt;&gt;"",Vorrunde!$K58&lt;&gt;"",ABS(Vorrunde!$I58-Vorrunde!$K58)&gt;1),Vorrunde!$K58,"")</f>
        <v/>
      </c>
      <c r="Z110" s="34" t="str">
        <f t="shared" ca="1" si="70"/>
        <v/>
      </c>
      <c r="AA110" s="831">
        <f ca="1">IF(AND(V110&lt;&gt;"",W110&lt;&gt;"",V110&lt;&gt;W110,Vorrunde!$R58&lt;&gt;"",Vorrunde!$T58&lt;&gt;""),1,0)</f>
        <v>0</v>
      </c>
      <c r="AB110" s="831" t="str">
        <f ca="1">IF(AA110&gt;0,AH110&amp;Sprache!$E$109&amp;AI110,"")</f>
        <v/>
      </c>
      <c r="AC110" s="141" t="str">
        <f ca="1">IF(AA110&gt;0,AJ110&amp;Sprache!$E$109&amp;AK110,"")</f>
        <v/>
      </c>
      <c r="AD110" s="145" t="str">
        <f ca="1">IF(AND($AA110=1,Vorrunde!$L58&lt;&gt;"",Vorrunde!$N58&lt;&gt;"",ABS(Vorrunde!$L58-Vorrunde!$N58)&gt;1),Vorrunde!$L58,"")</f>
        <v/>
      </c>
      <c r="AE110" s="141" t="str">
        <f ca="1">IF(AND($AA110=1,Vorrunde!$L58&lt;&gt;"",Vorrunde!$N58&lt;&gt;"",ABS(Vorrunde!$L58-Vorrunde!$N58)&gt;1),Vorrunde!$N58,"")</f>
        <v/>
      </c>
      <c r="AF110" s="145" t="str">
        <f ca="1">IF(AND($AA110=1,Vorrunde!$O58&lt;&gt;"",Vorrunde!$Q58&lt;&gt;"",ABS(Vorrunde!$O58-Vorrunde!$Q58)&gt;1),Vorrunde!$O58,"")</f>
        <v/>
      </c>
      <c r="AG110" s="141" t="str">
        <f ca="1">IF(AND($AA110=1,Vorrunde!$O58&lt;&gt;"",Vorrunde!$Q58&lt;&gt;"",ABS(Vorrunde!$O58-Vorrunde!$Q58)&gt;1),Vorrunde!$Q58,"")</f>
        <v/>
      </c>
      <c r="AH110" s="145" t="str">
        <f t="shared" ca="1" si="68"/>
        <v/>
      </c>
      <c r="AI110" s="141" t="str">
        <f t="shared" ca="1" si="69"/>
        <v/>
      </c>
      <c r="AJ110" s="145">
        <f ca="1">IF(Vorrunde!$R58="",0,Vorrunde!$R58)</f>
        <v>0</v>
      </c>
      <c r="AK110" s="141">
        <f ca="1">IF(Vorrunde!$T58="",0,Vorrunde!$T58)</f>
        <v>0</v>
      </c>
      <c r="AL110" s="145" t="str">
        <f ca="1">IF($AA110=0,"",IF($AJ110&gt;$AK110,Einstellungen!$C$4,IF($AJ110=$AK110,1,0)))</f>
        <v/>
      </c>
      <c r="AM110" s="141" t="str">
        <f ca="1">IF($AA110=0,"",IF($AJ110&lt;$AK110,Einstellungen!$C$4,IF($AJ110=$AK110,1,0)))</f>
        <v/>
      </c>
    </row>
    <row r="111" spans="2:39" s="2" customFormat="1" x14ac:dyDescent="0.2">
      <c r="B111" s="4"/>
      <c r="C111" s="4"/>
      <c r="D111" s="4"/>
      <c r="E111" s="4"/>
      <c r="F111" s="778"/>
      <c r="G111" s="778"/>
      <c r="H111" s="778"/>
      <c r="I111" s="778"/>
      <c r="J111" s="778"/>
      <c r="K111" s="778"/>
      <c r="L111" s="778"/>
      <c r="M111" s="778"/>
      <c r="U111" s="66" t="s">
        <v>69</v>
      </c>
      <c r="V111" s="40" t="str">
        <f ca="1">Planung!$L53</f>
        <v/>
      </c>
      <c r="W111" s="778" t="str">
        <f ca="1">Planung!$N53</f>
        <v/>
      </c>
      <c r="X111" s="831" t="str">
        <f ca="1">IF(AND($AA111=1,Vorrunde!$I59&lt;&gt;"",Vorrunde!$K59&lt;&gt;"",ABS(Vorrunde!$I59-Vorrunde!$K59)&gt;1),Vorrunde!$I59,"")</f>
        <v/>
      </c>
      <c r="Y111" s="35" t="str">
        <f ca="1">IF(AND($AA111=1,Vorrunde!$I59&lt;&gt;"",Vorrunde!$K59&lt;&gt;"",ABS(Vorrunde!$I59-Vorrunde!$K59)&gt;1),Vorrunde!$K59,"")</f>
        <v/>
      </c>
      <c r="Z111" s="34" t="str">
        <f t="shared" ca="1" si="70"/>
        <v/>
      </c>
      <c r="AA111" s="831">
        <f ca="1">IF(AND(V111&lt;&gt;"",W111&lt;&gt;"",V111&lt;&gt;W111,Vorrunde!$R59&lt;&gt;"",Vorrunde!$T59&lt;&gt;""),1,0)</f>
        <v>0</v>
      </c>
      <c r="AB111" s="831" t="str">
        <f ca="1">IF(AA111&gt;0,AH111&amp;Sprache!$E$109&amp;AI111,"")</f>
        <v/>
      </c>
      <c r="AC111" s="141" t="str">
        <f ca="1">IF(AA111&gt;0,AJ111&amp;Sprache!$E$109&amp;AK111,"")</f>
        <v/>
      </c>
      <c r="AD111" s="145" t="str">
        <f ca="1">IF(AND($AA111=1,Vorrunde!$L59&lt;&gt;"",Vorrunde!$N59&lt;&gt;"",ABS(Vorrunde!$L59-Vorrunde!$N59)&gt;1),Vorrunde!$L59,"")</f>
        <v/>
      </c>
      <c r="AE111" s="141" t="str">
        <f ca="1">IF(AND($AA111=1,Vorrunde!$L59&lt;&gt;"",Vorrunde!$N59&lt;&gt;"",ABS(Vorrunde!$L59-Vorrunde!$N59)&gt;1),Vorrunde!$N59,"")</f>
        <v/>
      </c>
      <c r="AF111" s="145" t="str">
        <f ca="1">IF(AND($AA111=1,Vorrunde!$O59&lt;&gt;"",Vorrunde!$Q59&lt;&gt;"",ABS(Vorrunde!$O59-Vorrunde!$Q59)&gt;1),Vorrunde!$O59,"")</f>
        <v/>
      </c>
      <c r="AG111" s="141" t="str">
        <f ca="1">IF(AND($AA111=1,Vorrunde!$O59&lt;&gt;"",Vorrunde!$Q59&lt;&gt;"",ABS(Vorrunde!$O59-Vorrunde!$Q59)&gt;1),Vorrunde!$Q59,"")</f>
        <v/>
      </c>
      <c r="AH111" s="145" t="str">
        <f t="shared" ca="1" si="68"/>
        <v/>
      </c>
      <c r="AI111" s="141" t="str">
        <f t="shared" ca="1" si="69"/>
        <v/>
      </c>
      <c r="AJ111" s="145">
        <f ca="1">IF(Vorrunde!$R59="",0,Vorrunde!$R59)</f>
        <v>0</v>
      </c>
      <c r="AK111" s="141">
        <f ca="1">IF(Vorrunde!$T59="",0,Vorrunde!$T59)</f>
        <v>0</v>
      </c>
      <c r="AL111" s="145" t="str">
        <f ca="1">IF($AA111=0,"",IF($AJ111&gt;$AK111,Einstellungen!$C$4,IF($AJ111=$AK111,1,0)))</f>
        <v/>
      </c>
      <c r="AM111" s="141" t="str">
        <f ca="1">IF($AA111=0,"",IF($AJ111&lt;$AK111,Einstellungen!$C$4,IF($AJ111=$AK111,1,0)))</f>
        <v/>
      </c>
    </row>
    <row r="112" spans="2:39" s="2" customFormat="1" x14ac:dyDescent="0.2">
      <c r="B112" s="4"/>
      <c r="C112" s="4"/>
      <c r="D112" s="4"/>
      <c r="E112" s="4"/>
      <c r="F112" s="778"/>
      <c r="G112" s="778"/>
      <c r="H112" s="778"/>
      <c r="I112" s="778"/>
      <c r="J112" s="778"/>
      <c r="K112" s="778"/>
      <c r="L112" s="778"/>
      <c r="M112" s="778"/>
      <c r="U112" s="66" t="s">
        <v>70</v>
      </c>
      <c r="V112" s="40" t="str">
        <f ca="1">Planung!$L54</f>
        <v/>
      </c>
      <c r="W112" s="778" t="str">
        <f ca="1">Planung!$N54</f>
        <v/>
      </c>
      <c r="X112" s="831" t="str">
        <f ca="1">IF(AND($AA112=1,Vorrunde!$I60&lt;&gt;"",Vorrunde!$K60&lt;&gt;"",ABS(Vorrunde!$I60-Vorrunde!$K60)&gt;1),Vorrunde!$I60,"")</f>
        <v/>
      </c>
      <c r="Y112" s="35" t="str">
        <f ca="1">IF(AND($AA112=1,Vorrunde!$I60&lt;&gt;"",Vorrunde!$K60&lt;&gt;"",ABS(Vorrunde!$I60-Vorrunde!$K60)&gt;1),Vorrunde!$K60,"")</f>
        <v/>
      </c>
      <c r="Z112" s="34" t="str">
        <f t="shared" ca="1" si="70"/>
        <v/>
      </c>
      <c r="AA112" s="831">
        <f ca="1">IF(AND(V112&lt;&gt;"",W112&lt;&gt;"",V112&lt;&gt;W112,Vorrunde!$R60&lt;&gt;"",Vorrunde!$T60&lt;&gt;""),1,0)</f>
        <v>0</v>
      </c>
      <c r="AB112" s="831" t="str">
        <f ca="1">IF(AA112&gt;0,AH112&amp;Sprache!$E$109&amp;AI112,"")</f>
        <v/>
      </c>
      <c r="AC112" s="141" t="str">
        <f ca="1">IF(AA112&gt;0,AJ112&amp;Sprache!$E$109&amp;AK112,"")</f>
        <v/>
      </c>
      <c r="AD112" s="145" t="str">
        <f ca="1">IF(AND($AA112=1,Vorrunde!$L60&lt;&gt;"",Vorrunde!$N60&lt;&gt;"",ABS(Vorrunde!$L60-Vorrunde!$N60)&gt;1),Vorrunde!$L60,"")</f>
        <v/>
      </c>
      <c r="AE112" s="141" t="str">
        <f ca="1">IF(AND($AA112=1,Vorrunde!$L60&lt;&gt;"",Vorrunde!$N60&lt;&gt;"",ABS(Vorrunde!$L60-Vorrunde!$N60)&gt;1),Vorrunde!$N60,"")</f>
        <v/>
      </c>
      <c r="AF112" s="145" t="str">
        <f ca="1">IF(AND($AA112=1,Vorrunde!$O60&lt;&gt;"",Vorrunde!$Q60&lt;&gt;"",ABS(Vorrunde!$O60-Vorrunde!$Q60)&gt;1),Vorrunde!$O60,"")</f>
        <v/>
      </c>
      <c r="AG112" s="141" t="str">
        <f ca="1">IF(AND($AA112=1,Vorrunde!$O60&lt;&gt;"",Vorrunde!$Q60&lt;&gt;"",ABS(Vorrunde!$O60-Vorrunde!$Q60)&gt;1),Vorrunde!$Q60,"")</f>
        <v/>
      </c>
      <c r="AH112" s="145" t="str">
        <f t="shared" ca="1" si="68"/>
        <v/>
      </c>
      <c r="AI112" s="141" t="str">
        <f t="shared" ca="1" si="69"/>
        <v/>
      </c>
      <c r="AJ112" s="145">
        <f ca="1">IF(Vorrunde!$R60="",0,Vorrunde!$R60)</f>
        <v>0</v>
      </c>
      <c r="AK112" s="141">
        <f ca="1">IF(Vorrunde!$T60="",0,Vorrunde!$T60)</f>
        <v>0</v>
      </c>
      <c r="AL112" s="145" t="str">
        <f ca="1">IF($AA112=0,"",IF($AJ112&gt;$AK112,Einstellungen!$C$4,IF($AJ112=$AK112,1,0)))</f>
        <v/>
      </c>
      <c r="AM112" s="141" t="str">
        <f ca="1">IF($AA112=0,"",IF($AJ112&lt;$AK112,Einstellungen!$C$4,IF($AJ112=$AK112,1,0)))</f>
        <v/>
      </c>
    </row>
    <row r="113" spans="2:39" s="2" customFormat="1" x14ac:dyDescent="0.2">
      <c r="B113" s="4"/>
      <c r="C113" s="4"/>
      <c r="D113" s="4"/>
      <c r="E113" s="4"/>
      <c r="F113" s="778"/>
      <c r="G113" s="778"/>
      <c r="H113" s="778"/>
      <c r="I113" s="778"/>
      <c r="J113" s="778"/>
      <c r="K113" s="778"/>
      <c r="L113" s="778"/>
      <c r="M113" s="778"/>
      <c r="U113" s="66" t="s">
        <v>71</v>
      </c>
      <c r="V113" s="40" t="str">
        <f ca="1">Planung!$L55</f>
        <v/>
      </c>
      <c r="W113" s="778" t="str">
        <f ca="1">Planung!$N55</f>
        <v/>
      </c>
      <c r="X113" s="831" t="str">
        <f ca="1">IF(AND($AA113=1,Vorrunde!$I61&lt;&gt;"",Vorrunde!$K61&lt;&gt;"",ABS(Vorrunde!$I61-Vorrunde!$K61)&gt;1),Vorrunde!$I61,"")</f>
        <v/>
      </c>
      <c r="Y113" s="35" t="str">
        <f ca="1">IF(AND($AA113=1,Vorrunde!$I61&lt;&gt;"",Vorrunde!$K61&lt;&gt;"",ABS(Vorrunde!$I61-Vorrunde!$K61)&gt;1),Vorrunde!$K61,"")</f>
        <v/>
      </c>
      <c r="Z113" s="34" t="str">
        <f t="shared" ca="1" si="70"/>
        <v/>
      </c>
      <c r="AA113" s="831">
        <f ca="1">IF(AND(V113&lt;&gt;"",W113&lt;&gt;"",V113&lt;&gt;W113,Vorrunde!$R61&lt;&gt;"",Vorrunde!$T61&lt;&gt;""),1,0)</f>
        <v>0</v>
      </c>
      <c r="AB113" s="831" t="str">
        <f ca="1">IF(AA113&gt;0,AH113&amp;Sprache!$E$109&amp;AI113,"")</f>
        <v/>
      </c>
      <c r="AC113" s="141" t="str">
        <f ca="1">IF(AA113&gt;0,AJ113&amp;Sprache!$E$109&amp;AK113,"")</f>
        <v/>
      </c>
      <c r="AD113" s="145" t="str">
        <f ca="1">IF(AND($AA113=1,Vorrunde!$L61&lt;&gt;"",Vorrunde!$N61&lt;&gt;"",ABS(Vorrunde!$L61-Vorrunde!$N61)&gt;1),Vorrunde!$L61,"")</f>
        <v/>
      </c>
      <c r="AE113" s="141" t="str">
        <f ca="1">IF(AND($AA113=1,Vorrunde!$L61&lt;&gt;"",Vorrunde!$N61&lt;&gt;"",ABS(Vorrunde!$L61-Vorrunde!$N61)&gt;1),Vorrunde!$N61,"")</f>
        <v/>
      </c>
      <c r="AF113" s="145" t="str">
        <f ca="1">IF(AND($AA113=1,Vorrunde!$O61&lt;&gt;"",Vorrunde!$Q61&lt;&gt;"",ABS(Vorrunde!$O61-Vorrunde!$Q61)&gt;1),Vorrunde!$O61,"")</f>
        <v/>
      </c>
      <c r="AG113" s="141" t="str">
        <f ca="1">IF(AND($AA113=1,Vorrunde!$O61&lt;&gt;"",Vorrunde!$Q61&lt;&gt;"",ABS(Vorrunde!$O61-Vorrunde!$Q61)&gt;1),Vorrunde!$Q61,"")</f>
        <v/>
      </c>
      <c r="AH113" s="145" t="str">
        <f t="shared" ca="1" si="68"/>
        <v/>
      </c>
      <c r="AI113" s="141" t="str">
        <f t="shared" ca="1" si="69"/>
        <v/>
      </c>
      <c r="AJ113" s="145">
        <f ca="1">IF(Vorrunde!$R61="",0,Vorrunde!$R61)</f>
        <v>0</v>
      </c>
      <c r="AK113" s="141">
        <f ca="1">IF(Vorrunde!$T61="",0,Vorrunde!$T61)</f>
        <v>0</v>
      </c>
      <c r="AL113" s="145" t="str">
        <f ca="1">IF($AA113=0,"",IF($AJ113&gt;$AK113,Einstellungen!$C$4,IF($AJ113=$AK113,1,0)))</f>
        <v/>
      </c>
      <c r="AM113" s="141" t="str">
        <f ca="1">IF($AA113=0,"",IF($AJ113&lt;$AK113,Einstellungen!$C$4,IF($AJ113=$AK113,1,0)))</f>
        <v/>
      </c>
    </row>
    <row r="114" spans="2:39" s="2" customFormat="1" x14ac:dyDescent="0.2">
      <c r="B114" s="4"/>
      <c r="C114" s="4"/>
      <c r="D114" s="4"/>
      <c r="E114" s="4"/>
      <c r="F114" s="778"/>
      <c r="G114" s="778"/>
      <c r="H114" s="778"/>
      <c r="I114" s="778"/>
      <c r="J114" s="778"/>
      <c r="K114" s="778"/>
      <c r="L114" s="778"/>
      <c r="M114" s="778"/>
      <c r="U114" s="66" t="s">
        <v>72</v>
      </c>
      <c r="V114" s="40" t="str">
        <f ca="1">Planung!$L56</f>
        <v/>
      </c>
      <c r="W114" s="778" t="str">
        <f ca="1">Planung!$N56</f>
        <v/>
      </c>
      <c r="X114" s="831" t="str">
        <f ca="1">IF(AND($AA114=1,Vorrunde!$I62&lt;&gt;"",Vorrunde!$K62&lt;&gt;"",ABS(Vorrunde!$I62-Vorrunde!$K62)&gt;1),Vorrunde!$I62,"")</f>
        <v/>
      </c>
      <c r="Y114" s="35" t="str">
        <f ca="1">IF(AND($AA114=1,Vorrunde!$I62&lt;&gt;"",Vorrunde!$K62&lt;&gt;"",ABS(Vorrunde!$I62-Vorrunde!$K62)&gt;1),Vorrunde!$K62,"")</f>
        <v/>
      </c>
      <c r="Z114" s="34" t="str">
        <f t="shared" ca="1" si="70"/>
        <v/>
      </c>
      <c r="AA114" s="831">
        <f ca="1">IF(AND(V114&lt;&gt;"",W114&lt;&gt;"",V114&lt;&gt;W114,Vorrunde!$R62&lt;&gt;"",Vorrunde!$T62&lt;&gt;""),1,0)</f>
        <v>0</v>
      </c>
      <c r="AB114" s="831" t="str">
        <f ca="1">IF(AA114&gt;0,AH114&amp;Sprache!$E$109&amp;AI114,"")</f>
        <v/>
      </c>
      <c r="AC114" s="141" t="str">
        <f ca="1">IF(AA114&gt;0,AJ114&amp;Sprache!$E$109&amp;AK114,"")</f>
        <v/>
      </c>
      <c r="AD114" s="145" t="str">
        <f ca="1">IF(AND($AA114=1,Vorrunde!$L62&lt;&gt;"",Vorrunde!$N62&lt;&gt;"",ABS(Vorrunde!$L62-Vorrunde!$N62)&gt;1),Vorrunde!$L62,"")</f>
        <v/>
      </c>
      <c r="AE114" s="141" t="str">
        <f ca="1">IF(AND($AA114=1,Vorrunde!$L62&lt;&gt;"",Vorrunde!$N62&lt;&gt;"",ABS(Vorrunde!$L62-Vorrunde!$N62)&gt;1),Vorrunde!$N62,"")</f>
        <v/>
      </c>
      <c r="AF114" s="145" t="str">
        <f ca="1">IF(AND($AA114=1,Vorrunde!$O62&lt;&gt;"",Vorrunde!$Q62&lt;&gt;"",ABS(Vorrunde!$O62-Vorrunde!$Q62)&gt;1),Vorrunde!$O62,"")</f>
        <v/>
      </c>
      <c r="AG114" s="141" t="str">
        <f ca="1">IF(AND($AA114=1,Vorrunde!$O62&lt;&gt;"",Vorrunde!$Q62&lt;&gt;"",ABS(Vorrunde!$O62-Vorrunde!$Q62)&gt;1),Vorrunde!$Q62,"")</f>
        <v/>
      </c>
      <c r="AH114" s="145" t="str">
        <f t="shared" ca="1" si="68"/>
        <v/>
      </c>
      <c r="AI114" s="141" t="str">
        <f t="shared" ca="1" si="69"/>
        <v/>
      </c>
      <c r="AJ114" s="145">
        <f ca="1">IF(Vorrunde!$R62="",0,Vorrunde!$R62)</f>
        <v>0</v>
      </c>
      <c r="AK114" s="141">
        <f ca="1">IF(Vorrunde!$T62="",0,Vorrunde!$T62)</f>
        <v>0</v>
      </c>
      <c r="AL114" s="145" t="str">
        <f ca="1">IF($AA114=0,"",IF($AJ114&gt;$AK114,Einstellungen!$C$4,IF($AJ114=$AK114,1,0)))</f>
        <v/>
      </c>
      <c r="AM114" s="141" t="str">
        <f ca="1">IF($AA114=0,"",IF($AJ114&lt;$AK114,Einstellungen!$C$4,IF($AJ114=$AK114,1,0)))</f>
        <v/>
      </c>
    </row>
    <row r="115" spans="2:39" s="2" customFormat="1" x14ac:dyDescent="0.2">
      <c r="B115" s="4"/>
      <c r="C115" s="4"/>
      <c r="D115" s="4"/>
      <c r="E115" s="4"/>
      <c r="F115" s="778"/>
      <c r="G115" s="778"/>
      <c r="H115" s="778"/>
      <c r="I115" s="778"/>
      <c r="J115" s="778"/>
      <c r="K115" s="778"/>
      <c r="L115" s="778"/>
      <c r="M115" s="778"/>
      <c r="U115" s="66" t="s">
        <v>73</v>
      </c>
      <c r="V115" s="40" t="str">
        <f ca="1">Planung!$L57</f>
        <v/>
      </c>
      <c r="W115" s="778" t="str">
        <f ca="1">Planung!$N57</f>
        <v/>
      </c>
      <c r="X115" s="831" t="str">
        <f ca="1">IF(AND($AA115=1,Vorrunde!$I63&lt;&gt;"",Vorrunde!$K63&lt;&gt;"",ABS(Vorrunde!$I63-Vorrunde!$K63)&gt;1),Vorrunde!$I63,"")</f>
        <v/>
      </c>
      <c r="Y115" s="35" t="str">
        <f ca="1">IF(AND($AA115=1,Vorrunde!$I63&lt;&gt;"",Vorrunde!$K63&lt;&gt;"",ABS(Vorrunde!$I63-Vorrunde!$K63)&gt;1),Vorrunde!$K63,"")</f>
        <v/>
      </c>
      <c r="Z115" s="34" t="str">
        <f t="shared" ca="1" si="70"/>
        <v/>
      </c>
      <c r="AA115" s="831">
        <f ca="1">IF(AND(V115&lt;&gt;"",W115&lt;&gt;"",V115&lt;&gt;W115,Vorrunde!$R63&lt;&gt;"",Vorrunde!$T63&lt;&gt;""),1,0)</f>
        <v>0</v>
      </c>
      <c r="AB115" s="831" t="str">
        <f ca="1">IF(AA115&gt;0,AH115&amp;Sprache!$E$109&amp;AI115,"")</f>
        <v/>
      </c>
      <c r="AC115" s="141" t="str">
        <f ca="1">IF(AA115&gt;0,AJ115&amp;Sprache!$E$109&amp;AK115,"")</f>
        <v/>
      </c>
      <c r="AD115" s="145" t="str">
        <f ca="1">IF(AND($AA115=1,Vorrunde!$L63&lt;&gt;"",Vorrunde!$N63&lt;&gt;"",ABS(Vorrunde!$L63-Vorrunde!$N63)&gt;1),Vorrunde!$L63,"")</f>
        <v/>
      </c>
      <c r="AE115" s="141" t="str">
        <f ca="1">IF(AND($AA115=1,Vorrunde!$L63&lt;&gt;"",Vorrunde!$N63&lt;&gt;"",ABS(Vorrunde!$L63-Vorrunde!$N63)&gt;1),Vorrunde!$N63,"")</f>
        <v/>
      </c>
      <c r="AF115" s="145" t="str">
        <f ca="1">IF(AND($AA115=1,Vorrunde!$O63&lt;&gt;"",Vorrunde!$Q63&lt;&gt;"",ABS(Vorrunde!$O63-Vorrunde!$Q63)&gt;1),Vorrunde!$O63,"")</f>
        <v/>
      </c>
      <c r="AG115" s="141" t="str">
        <f ca="1">IF(AND($AA115=1,Vorrunde!$O63&lt;&gt;"",Vorrunde!$Q63&lt;&gt;"",ABS(Vorrunde!$O63-Vorrunde!$Q63)&gt;1),Vorrunde!$Q63,"")</f>
        <v/>
      </c>
      <c r="AH115" s="145" t="str">
        <f t="shared" ca="1" si="68"/>
        <v/>
      </c>
      <c r="AI115" s="141" t="str">
        <f t="shared" ca="1" si="69"/>
        <v/>
      </c>
      <c r="AJ115" s="145">
        <f ca="1">IF(Vorrunde!$R63="",0,Vorrunde!$R63)</f>
        <v>0</v>
      </c>
      <c r="AK115" s="141">
        <f ca="1">IF(Vorrunde!$T63="",0,Vorrunde!$T63)</f>
        <v>0</v>
      </c>
      <c r="AL115" s="145" t="str">
        <f ca="1">IF($AA115=0,"",IF($AJ115&gt;$AK115,Einstellungen!$C$4,IF($AJ115=$AK115,1,0)))</f>
        <v/>
      </c>
      <c r="AM115" s="141" t="str">
        <f ca="1">IF($AA115=0,"",IF($AJ115&lt;$AK115,Einstellungen!$C$4,IF($AJ115=$AK115,1,0)))</f>
        <v/>
      </c>
    </row>
    <row r="116" spans="2:39" s="2" customFormat="1" x14ac:dyDescent="0.2">
      <c r="B116" s="4"/>
      <c r="C116" s="4"/>
      <c r="D116" s="4"/>
      <c r="E116" s="4"/>
      <c r="F116" s="778"/>
      <c r="G116" s="778"/>
      <c r="H116" s="778"/>
      <c r="I116" s="778"/>
      <c r="J116" s="778"/>
      <c r="K116" s="778"/>
      <c r="L116" s="778"/>
      <c r="M116" s="778"/>
      <c r="U116" s="66" t="s">
        <v>74</v>
      </c>
      <c r="V116" s="40" t="str">
        <f ca="1">Planung!$L58</f>
        <v/>
      </c>
      <c r="W116" s="778" t="str">
        <f ca="1">Planung!$N58</f>
        <v/>
      </c>
      <c r="X116" s="831" t="str">
        <f ca="1">IF(AND($AA116=1,Vorrunde!$I64&lt;&gt;"",Vorrunde!$K64&lt;&gt;"",ABS(Vorrunde!$I64-Vorrunde!$K64)&gt;1),Vorrunde!$I64,"")</f>
        <v/>
      </c>
      <c r="Y116" s="35" t="str">
        <f ca="1">IF(AND($AA116=1,Vorrunde!$I64&lt;&gt;"",Vorrunde!$K64&lt;&gt;"",ABS(Vorrunde!$I64-Vorrunde!$K64)&gt;1),Vorrunde!$K64,"")</f>
        <v/>
      </c>
      <c r="Z116" s="34" t="str">
        <f t="shared" ca="1" si="70"/>
        <v/>
      </c>
      <c r="AA116" s="831">
        <f ca="1">IF(AND(V116&lt;&gt;"",W116&lt;&gt;"",V116&lt;&gt;W116,Vorrunde!$R64&lt;&gt;"",Vorrunde!$T64&lt;&gt;""),1,0)</f>
        <v>0</v>
      </c>
      <c r="AB116" s="831" t="str">
        <f ca="1">IF(AA116&gt;0,AH116&amp;Sprache!$E$109&amp;AI116,"")</f>
        <v/>
      </c>
      <c r="AC116" s="141" t="str">
        <f ca="1">IF(AA116&gt;0,AJ116&amp;Sprache!$E$109&amp;AK116,"")</f>
        <v/>
      </c>
      <c r="AD116" s="145" t="str">
        <f ca="1">IF(AND($AA116=1,Vorrunde!$L64&lt;&gt;"",Vorrunde!$N64&lt;&gt;"",ABS(Vorrunde!$L64-Vorrunde!$N64)&gt;1),Vorrunde!$L64,"")</f>
        <v/>
      </c>
      <c r="AE116" s="141" t="str">
        <f ca="1">IF(AND($AA116=1,Vorrunde!$L64&lt;&gt;"",Vorrunde!$N64&lt;&gt;"",ABS(Vorrunde!$L64-Vorrunde!$N64)&gt;1),Vorrunde!$N64,"")</f>
        <v/>
      </c>
      <c r="AF116" s="145" t="str">
        <f ca="1">IF(AND($AA116=1,Vorrunde!$O64&lt;&gt;"",Vorrunde!$Q64&lt;&gt;"",ABS(Vorrunde!$O64-Vorrunde!$Q64)&gt;1),Vorrunde!$O64,"")</f>
        <v/>
      </c>
      <c r="AG116" s="141" t="str">
        <f ca="1">IF(AND($AA116=1,Vorrunde!$O64&lt;&gt;"",Vorrunde!$Q64&lt;&gt;"",ABS(Vorrunde!$O64-Vorrunde!$Q64)&gt;1),Vorrunde!$Q64,"")</f>
        <v/>
      </c>
      <c r="AH116" s="145" t="str">
        <f t="shared" ca="1" si="68"/>
        <v/>
      </c>
      <c r="AI116" s="141" t="str">
        <f t="shared" ca="1" si="69"/>
        <v/>
      </c>
      <c r="AJ116" s="145">
        <f ca="1">IF(Vorrunde!$R64="",0,Vorrunde!$R64)</f>
        <v>0</v>
      </c>
      <c r="AK116" s="141">
        <f ca="1">IF(Vorrunde!$T64="",0,Vorrunde!$T64)</f>
        <v>0</v>
      </c>
      <c r="AL116" s="145" t="str">
        <f ca="1">IF($AA116=0,"",IF($AJ116&gt;$AK116,Einstellungen!$C$4,IF($AJ116=$AK116,1,0)))</f>
        <v/>
      </c>
      <c r="AM116" s="141" t="str">
        <f ca="1">IF($AA116=0,"",IF($AJ116&lt;$AK116,Einstellungen!$C$4,IF($AJ116=$AK116,1,0)))</f>
        <v/>
      </c>
    </row>
    <row r="117" spans="2:39" s="2" customFormat="1" x14ac:dyDescent="0.2">
      <c r="B117" s="4"/>
      <c r="C117" s="4"/>
      <c r="D117" s="4"/>
      <c r="E117" s="4"/>
      <c r="F117" s="778"/>
      <c r="G117" s="778"/>
      <c r="H117" s="778"/>
      <c r="I117" s="778"/>
      <c r="J117" s="778"/>
      <c r="K117" s="778"/>
      <c r="L117" s="778"/>
      <c r="M117" s="778"/>
      <c r="U117" s="66" t="s">
        <v>75</v>
      </c>
      <c r="V117" s="40" t="str">
        <f ca="1">Planung!$L59</f>
        <v/>
      </c>
      <c r="W117" s="778" t="str">
        <f ca="1">Planung!$N59</f>
        <v/>
      </c>
      <c r="X117" s="831" t="str">
        <f ca="1">IF(AND($AA117=1,Vorrunde!$I65&lt;&gt;"",Vorrunde!$K65&lt;&gt;"",ABS(Vorrunde!$I65-Vorrunde!$K65)&gt;1),Vorrunde!$I65,"")</f>
        <v/>
      </c>
      <c r="Y117" s="35" t="str">
        <f ca="1">IF(AND($AA117=1,Vorrunde!$I65&lt;&gt;"",Vorrunde!$K65&lt;&gt;"",ABS(Vorrunde!$I65-Vorrunde!$K65)&gt;1),Vorrunde!$K65,"")</f>
        <v/>
      </c>
      <c r="Z117" s="34" t="str">
        <f t="shared" ca="1" si="70"/>
        <v/>
      </c>
      <c r="AA117" s="831">
        <f ca="1">IF(AND(V117&lt;&gt;"",W117&lt;&gt;"",V117&lt;&gt;W117,Vorrunde!$R65&lt;&gt;"",Vorrunde!$T65&lt;&gt;""),1,0)</f>
        <v>0</v>
      </c>
      <c r="AB117" s="831" t="str">
        <f ca="1">IF(AA117&gt;0,AH117&amp;Sprache!$E$109&amp;AI117,"")</f>
        <v/>
      </c>
      <c r="AC117" s="141" t="str">
        <f ca="1">IF(AA117&gt;0,AJ117&amp;Sprache!$E$109&amp;AK117,"")</f>
        <v/>
      </c>
      <c r="AD117" s="145" t="str">
        <f ca="1">IF(AND($AA117=1,Vorrunde!$L65&lt;&gt;"",Vorrunde!$N65&lt;&gt;"",ABS(Vorrunde!$L65-Vorrunde!$N65)&gt;1),Vorrunde!$L65,"")</f>
        <v/>
      </c>
      <c r="AE117" s="141" t="str">
        <f ca="1">IF(AND($AA117=1,Vorrunde!$L65&lt;&gt;"",Vorrunde!$N65&lt;&gt;"",ABS(Vorrunde!$L65-Vorrunde!$N65)&gt;1),Vorrunde!$N65,"")</f>
        <v/>
      </c>
      <c r="AF117" s="145" t="str">
        <f ca="1">IF(AND($AA117=1,Vorrunde!$O65&lt;&gt;"",Vorrunde!$Q65&lt;&gt;"",ABS(Vorrunde!$O65-Vorrunde!$Q65)&gt;1),Vorrunde!$O65,"")</f>
        <v/>
      </c>
      <c r="AG117" s="141" t="str">
        <f ca="1">IF(AND($AA117=1,Vorrunde!$O65&lt;&gt;"",Vorrunde!$Q65&lt;&gt;"",ABS(Vorrunde!$O65-Vorrunde!$Q65)&gt;1),Vorrunde!$Q65,"")</f>
        <v/>
      </c>
      <c r="AH117" s="145" t="str">
        <f t="shared" ca="1" si="68"/>
        <v/>
      </c>
      <c r="AI117" s="141" t="str">
        <f t="shared" ca="1" si="69"/>
        <v/>
      </c>
      <c r="AJ117" s="145">
        <f ca="1">IF(Vorrunde!$R65="",0,Vorrunde!$R65)</f>
        <v>0</v>
      </c>
      <c r="AK117" s="141">
        <f ca="1">IF(Vorrunde!$T65="",0,Vorrunde!$T65)</f>
        <v>0</v>
      </c>
      <c r="AL117" s="145" t="str">
        <f ca="1">IF($AA117=0,"",IF($AJ117&gt;$AK117,Einstellungen!$C$4,IF($AJ117=$AK117,1,0)))</f>
        <v/>
      </c>
      <c r="AM117" s="141" t="str">
        <f ca="1">IF($AA117=0,"",IF($AJ117&lt;$AK117,Einstellungen!$C$4,IF($AJ117=$AK117,1,0)))</f>
        <v/>
      </c>
    </row>
    <row r="118" spans="2:39" s="2" customFormat="1" x14ac:dyDescent="0.2">
      <c r="B118" s="4"/>
      <c r="C118" s="4"/>
      <c r="D118" s="4"/>
      <c r="E118" s="4"/>
      <c r="F118" s="778"/>
      <c r="G118" s="778"/>
      <c r="H118" s="778"/>
      <c r="I118" s="778"/>
      <c r="J118" s="778"/>
      <c r="K118" s="778"/>
      <c r="L118" s="778"/>
      <c r="M118" s="778"/>
      <c r="U118" s="66" t="s">
        <v>76</v>
      </c>
      <c r="V118" s="40" t="str">
        <f ca="1">Planung!$L60</f>
        <v/>
      </c>
      <c r="W118" s="778" t="str">
        <f ca="1">Planung!$N60</f>
        <v/>
      </c>
      <c r="X118" s="831" t="str">
        <f ca="1">IF(AND($AA118=1,Vorrunde!$I66&lt;&gt;"",Vorrunde!$K66&lt;&gt;"",ABS(Vorrunde!$I66-Vorrunde!$K66)&gt;1),Vorrunde!$I66,"")</f>
        <v/>
      </c>
      <c r="Y118" s="35" t="str">
        <f ca="1">IF(AND($AA118=1,Vorrunde!$I66&lt;&gt;"",Vorrunde!$K66&lt;&gt;"",ABS(Vorrunde!$I66-Vorrunde!$K66)&gt;1),Vorrunde!$K66,"")</f>
        <v/>
      </c>
      <c r="Z118" s="34" t="str">
        <f t="shared" ca="1" si="70"/>
        <v/>
      </c>
      <c r="AA118" s="831">
        <f ca="1">IF(AND(V118&lt;&gt;"",W118&lt;&gt;"",V118&lt;&gt;W118,Vorrunde!$R66&lt;&gt;"",Vorrunde!$T66&lt;&gt;""),1,0)</f>
        <v>0</v>
      </c>
      <c r="AB118" s="831" t="str">
        <f ca="1">IF(AA118&gt;0,AH118&amp;Sprache!$E$109&amp;AI118,"")</f>
        <v/>
      </c>
      <c r="AC118" s="141" t="str">
        <f ca="1">IF(AA118&gt;0,AJ118&amp;Sprache!$E$109&amp;AK118,"")</f>
        <v/>
      </c>
      <c r="AD118" s="145" t="str">
        <f ca="1">IF(AND($AA118=1,Vorrunde!$L66&lt;&gt;"",Vorrunde!$N66&lt;&gt;"",ABS(Vorrunde!$L66-Vorrunde!$N66)&gt;1),Vorrunde!$L66,"")</f>
        <v/>
      </c>
      <c r="AE118" s="141" t="str">
        <f ca="1">IF(AND($AA118=1,Vorrunde!$L66&lt;&gt;"",Vorrunde!$N66&lt;&gt;"",ABS(Vorrunde!$L66-Vorrunde!$N66)&gt;1),Vorrunde!$N66,"")</f>
        <v/>
      </c>
      <c r="AF118" s="145" t="str">
        <f ca="1">IF(AND($AA118=1,Vorrunde!$O66&lt;&gt;"",Vorrunde!$Q66&lt;&gt;"",ABS(Vorrunde!$O66-Vorrunde!$Q66)&gt;1),Vorrunde!$O66,"")</f>
        <v/>
      </c>
      <c r="AG118" s="141" t="str">
        <f ca="1">IF(AND($AA118=1,Vorrunde!$O66&lt;&gt;"",Vorrunde!$Q66&lt;&gt;"",ABS(Vorrunde!$O66-Vorrunde!$Q66)&gt;1),Vorrunde!$Q66,"")</f>
        <v/>
      </c>
      <c r="AH118" s="145" t="str">
        <f t="shared" ca="1" si="68"/>
        <v/>
      </c>
      <c r="AI118" s="141" t="str">
        <f t="shared" ca="1" si="69"/>
        <v/>
      </c>
      <c r="AJ118" s="145">
        <f ca="1">IF(Vorrunde!$R66="",0,Vorrunde!$R66)</f>
        <v>0</v>
      </c>
      <c r="AK118" s="141">
        <f ca="1">IF(Vorrunde!$T66="",0,Vorrunde!$T66)</f>
        <v>0</v>
      </c>
      <c r="AL118" s="145" t="str">
        <f ca="1">IF($AA118=0,"",IF($AJ118&gt;$AK118,Einstellungen!$C$4,IF($AJ118=$AK118,1,0)))</f>
        <v/>
      </c>
      <c r="AM118" s="141" t="str">
        <f ca="1">IF($AA118=0,"",IF($AJ118&lt;$AK118,Einstellungen!$C$4,IF($AJ118=$AK118,1,0)))</f>
        <v/>
      </c>
    </row>
    <row r="119" spans="2:39" s="2" customFormat="1" x14ac:dyDescent="0.2">
      <c r="B119" s="4"/>
      <c r="C119" s="4"/>
      <c r="D119" s="4"/>
      <c r="E119" s="4"/>
      <c r="F119" s="778"/>
      <c r="G119" s="778"/>
      <c r="H119" s="778"/>
      <c r="I119" s="778"/>
      <c r="J119" s="778"/>
      <c r="K119" s="778"/>
      <c r="L119" s="778"/>
      <c r="M119" s="778"/>
      <c r="U119" s="66" t="s">
        <v>77</v>
      </c>
      <c r="V119" s="40" t="str">
        <f ca="1">Planung!$L61</f>
        <v/>
      </c>
      <c r="W119" s="778" t="str">
        <f ca="1">Planung!$N61</f>
        <v/>
      </c>
      <c r="X119" s="831" t="str">
        <f ca="1">IF(AND($AA119=1,Vorrunde!$I67&lt;&gt;"",Vorrunde!$K67&lt;&gt;"",ABS(Vorrunde!$I67-Vorrunde!$K67)&gt;1),Vorrunde!$I67,"")</f>
        <v/>
      </c>
      <c r="Y119" s="35" t="str">
        <f ca="1">IF(AND($AA119=1,Vorrunde!$I67&lt;&gt;"",Vorrunde!$K67&lt;&gt;"",ABS(Vorrunde!$I67-Vorrunde!$K67)&gt;1),Vorrunde!$K67,"")</f>
        <v/>
      </c>
      <c r="Z119" s="34" t="str">
        <f t="shared" ca="1" si="70"/>
        <v/>
      </c>
      <c r="AA119" s="831">
        <f ca="1">IF(AND(V119&lt;&gt;"",W119&lt;&gt;"",V119&lt;&gt;W119,Vorrunde!$R67&lt;&gt;"",Vorrunde!$T67&lt;&gt;""),1,0)</f>
        <v>0</v>
      </c>
      <c r="AB119" s="831" t="str">
        <f ca="1">IF(AA119&gt;0,AH119&amp;Sprache!$E$109&amp;AI119,"")</f>
        <v/>
      </c>
      <c r="AC119" s="141" t="str">
        <f ca="1">IF(AA119&gt;0,AJ119&amp;Sprache!$E$109&amp;AK119,"")</f>
        <v/>
      </c>
      <c r="AD119" s="145" t="str">
        <f ca="1">IF(AND($AA119=1,Vorrunde!$L67&lt;&gt;"",Vorrunde!$N67&lt;&gt;"",ABS(Vorrunde!$L67-Vorrunde!$N67)&gt;1),Vorrunde!$L67,"")</f>
        <v/>
      </c>
      <c r="AE119" s="141" t="str">
        <f ca="1">IF(AND($AA119=1,Vorrunde!$L67&lt;&gt;"",Vorrunde!$N67&lt;&gt;"",ABS(Vorrunde!$L67-Vorrunde!$N67)&gt;1),Vorrunde!$N67,"")</f>
        <v/>
      </c>
      <c r="AF119" s="145" t="str">
        <f ca="1">IF(AND($AA119=1,Vorrunde!$O67&lt;&gt;"",Vorrunde!$Q67&lt;&gt;"",ABS(Vorrunde!$O67-Vorrunde!$Q67)&gt;1),Vorrunde!$O67,"")</f>
        <v/>
      </c>
      <c r="AG119" s="141" t="str">
        <f ca="1">IF(AND($AA119=1,Vorrunde!$O67&lt;&gt;"",Vorrunde!$Q67&lt;&gt;"",ABS(Vorrunde!$O67-Vorrunde!$Q67)&gt;1),Vorrunde!$Q67,"")</f>
        <v/>
      </c>
      <c r="AH119" s="145" t="str">
        <f t="shared" ca="1" si="68"/>
        <v/>
      </c>
      <c r="AI119" s="141" t="str">
        <f t="shared" ca="1" si="69"/>
        <v/>
      </c>
      <c r="AJ119" s="145">
        <f ca="1">IF(Vorrunde!$R67="",0,Vorrunde!$R67)</f>
        <v>0</v>
      </c>
      <c r="AK119" s="141">
        <f ca="1">IF(Vorrunde!$T67="",0,Vorrunde!$T67)</f>
        <v>0</v>
      </c>
      <c r="AL119" s="145" t="str">
        <f ca="1">IF($AA119=0,"",IF($AJ119&gt;$AK119,Einstellungen!$C$4,IF($AJ119=$AK119,1,0)))</f>
        <v/>
      </c>
      <c r="AM119" s="141" t="str">
        <f ca="1">IF($AA119=0,"",IF($AJ119&lt;$AK119,Einstellungen!$C$4,IF($AJ119=$AK119,1,0)))</f>
        <v/>
      </c>
    </row>
    <row r="120" spans="2:39" s="2" customFormat="1" x14ac:dyDescent="0.2">
      <c r="B120" s="4"/>
      <c r="C120" s="4"/>
      <c r="D120" s="4"/>
      <c r="E120" s="4"/>
      <c r="F120" s="778"/>
      <c r="G120" s="778"/>
      <c r="H120" s="778"/>
      <c r="I120" s="778"/>
      <c r="J120" s="778"/>
      <c r="K120" s="778"/>
      <c r="L120" s="778"/>
      <c r="M120" s="778"/>
      <c r="U120" s="66" t="s">
        <v>78</v>
      </c>
      <c r="V120" s="40" t="str">
        <f ca="1">Planung!$L62</f>
        <v/>
      </c>
      <c r="W120" s="778" t="str">
        <f ca="1">Planung!$N62</f>
        <v/>
      </c>
      <c r="X120" s="831" t="str">
        <f ca="1">IF(AND($AA120=1,Vorrunde!$I68&lt;&gt;"",Vorrunde!$K68&lt;&gt;"",ABS(Vorrunde!$I68-Vorrunde!$K68)&gt;1),Vorrunde!$I68,"")</f>
        <v/>
      </c>
      <c r="Y120" s="35" t="str">
        <f ca="1">IF(AND($AA120=1,Vorrunde!$I68&lt;&gt;"",Vorrunde!$K68&lt;&gt;"",ABS(Vorrunde!$I68-Vorrunde!$K68)&gt;1),Vorrunde!$K68,"")</f>
        <v/>
      </c>
      <c r="Z120" s="34" t="str">
        <f t="shared" ca="1" si="70"/>
        <v/>
      </c>
      <c r="AA120" s="831">
        <f ca="1">IF(AND(V120&lt;&gt;"",W120&lt;&gt;"",V120&lt;&gt;W120,Vorrunde!$R68&lt;&gt;"",Vorrunde!$T68&lt;&gt;""),1,0)</f>
        <v>0</v>
      </c>
      <c r="AB120" s="831" t="str">
        <f ca="1">IF(AA120&gt;0,AH120&amp;Sprache!$E$109&amp;AI120,"")</f>
        <v/>
      </c>
      <c r="AC120" s="141" t="str">
        <f ca="1">IF(AA120&gt;0,AJ120&amp;Sprache!$E$109&amp;AK120,"")</f>
        <v/>
      </c>
      <c r="AD120" s="145" t="str">
        <f ca="1">IF(AND($AA120=1,Vorrunde!$L68&lt;&gt;"",Vorrunde!$N68&lt;&gt;"",ABS(Vorrunde!$L68-Vorrunde!$N68)&gt;1),Vorrunde!$L68,"")</f>
        <v/>
      </c>
      <c r="AE120" s="141" t="str">
        <f ca="1">IF(AND($AA120=1,Vorrunde!$L68&lt;&gt;"",Vorrunde!$N68&lt;&gt;"",ABS(Vorrunde!$L68-Vorrunde!$N68)&gt;1),Vorrunde!$N68,"")</f>
        <v/>
      </c>
      <c r="AF120" s="145" t="str">
        <f ca="1">IF(AND($AA120=1,Vorrunde!$O68&lt;&gt;"",Vorrunde!$Q68&lt;&gt;"",ABS(Vorrunde!$O68-Vorrunde!$Q68)&gt;1),Vorrunde!$O68,"")</f>
        <v/>
      </c>
      <c r="AG120" s="141" t="str">
        <f ca="1">IF(AND($AA120=1,Vorrunde!$O68&lt;&gt;"",Vorrunde!$Q68&lt;&gt;"",ABS(Vorrunde!$O68-Vorrunde!$Q68)&gt;1),Vorrunde!$Q68,"")</f>
        <v/>
      </c>
      <c r="AH120" s="145" t="str">
        <f t="shared" ca="1" si="68"/>
        <v/>
      </c>
      <c r="AI120" s="141" t="str">
        <f t="shared" ca="1" si="69"/>
        <v/>
      </c>
      <c r="AJ120" s="145">
        <f ca="1">IF(Vorrunde!$R68="",0,Vorrunde!$R68)</f>
        <v>0</v>
      </c>
      <c r="AK120" s="141">
        <f ca="1">IF(Vorrunde!$T68="",0,Vorrunde!$T68)</f>
        <v>0</v>
      </c>
      <c r="AL120" s="145" t="str">
        <f ca="1">IF($AA120=0,"",IF($AJ120&gt;$AK120,Einstellungen!$C$4,IF($AJ120=$AK120,1,0)))</f>
        <v/>
      </c>
      <c r="AM120" s="141" t="str">
        <f ca="1">IF($AA120=0,"",IF($AJ120&lt;$AK120,Einstellungen!$C$4,IF($AJ120=$AK120,1,0)))</f>
        <v/>
      </c>
    </row>
    <row r="121" spans="2:39" s="2" customFormat="1" x14ac:dyDescent="0.2">
      <c r="B121" s="4"/>
      <c r="C121" s="4"/>
      <c r="D121" s="4"/>
      <c r="E121" s="4"/>
      <c r="F121" s="778"/>
      <c r="G121" s="778"/>
      <c r="H121" s="778"/>
      <c r="I121" s="778"/>
      <c r="J121" s="778"/>
      <c r="K121" s="778"/>
      <c r="L121" s="778"/>
      <c r="M121" s="778"/>
      <c r="U121" s="66" t="s">
        <v>79</v>
      </c>
      <c r="V121" s="40" t="str">
        <f ca="1">Planung!$L63</f>
        <v/>
      </c>
      <c r="W121" s="778" t="str">
        <f ca="1">Planung!$N63</f>
        <v/>
      </c>
      <c r="X121" s="831" t="str">
        <f ca="1">IF(AND($AA121=1,Vorrunde!$I69&lt;&gt;"",Vorrunde!$K69&lt;&gt;"",ABS(Vorrunde!$I69-Vorrunde!$K69)&gt;1),Vorrunde!$I69,"")</f>
        <v/>
      </c>
      <c r="Y121" s="35" t="str">
        <f ca="1">IF(AND($AA121=1,Vorrunde!$I69&lt;&gt;"",Vorrunde!$K69&lt;&gt;"",ABS(Vorrunde!$I69-Vorrunde!$K69)&gt;1),Vorrunde!$K69,"")</f>
        <v/>
      </c>
      <c r="Z121" s="34" t="str">
        <f t="shared" ca="1" si="70"/>
        <v/>
      </c>
      <c r="AA121" s="831">
        <f ca="1">IF(AND(V121&lt;&gt;"",W121&lt;&gt;"",V121&lt;&gt;W121,Vorrunde!$R69&lt;&gt;"",Vorrunde!$T69&lt;&gt;""),1,0)</f>
        <v>0</v>
      </c>
      <c r="AB121" s="831" t="str">
        <f ca="1">IF(AA121&gt;0,AH121&amp;Sprache!$E$109&amp;AI121,"")</f>
        <v/>
      </c>
      <c r="AC121" s="141" t="str">
        <f ca="1">IF(AA121&gt;0,AJ121&amp;Sprache!$E$109&amp;AK121,"")</f>
        <v/>
      </c>
      <c r="AD121" s="145" t="str">
        <f ca="1">IF(AND($AA121=1,Vorrunde!$L69&lt;&gt;"",Vorrunde!$N69&lt;&gt;"",ABS(Vorrunde!$L69-Vorrunde!$N69)&gt;1),Vorrunde!$L69,"")</f>
        <v/>
      </c>
      <c r="AE121" s="141" t="str">
        <f ca="1">IF(AND($AA121=1,Vorrunde!$L69&lt;&gt;"",Vorrunde!$N69&lt;&gt;"",ABS(Vorrunde!$L69-Vorrunde!$N69)&gt;1),Vorrunde!$N69,"")</f>
        <v/>
      </c>
      <c r="AF121" s="145" t="str">
        <f ca="1">IF(AND($AA121=1,Vorrunde!$O69&lt;&gt;"",Vorrunde!$Q69&lt;&gt;"",ABS(Vorrunde!$O69-Vorrunde!$Q69)&gt;1),Vorrunde!$O69,"")</f>
        <v/>
      </c>
      <c r="AG121" s="141" t="str">
        <f ca="1">IF(AND($AA121=1,Vorrunde!$O69&lt;&gt;"",Vorrunde!$Q69&lt;&gt;"",ABS(Vorrunde!$O69-Vorrunde!$Q69)&gt;1),Vorrunde!$Q69,"")</f>
        <v/>
      </c>
      <c r="AH121" s="145" t="str">
        <f t="shared" ca="1" si="68"/>
        <v/>
      </c>
      <c r="AI121" s="141" t="str">
        <f t="shared" ca="1" si="69"/>
        <v/>
      </c>
      <c r="AJ121" s="145">
        <f ca="1">IF(Vorrunde!$R69="",0,Vorrunde!$R69)</f>
        <v>0</v>
      </c>
      <c r="AK121" s="141">
        <f ca="1">IF(Vorrunde!$T69="",0,Vorrunde!$T69)</f>
        <v>0</v>
      </c>
      <c r="AL121" s="145" t="str">
        <f ca="1">IF($AA121=0,"",IF($AJ121&gt;$AK121,Einstellungen!$C$4,IF($AJ121=$AK121,1,0)))</f>
        <v/>
      </c>
      <c r="AM121" s="141" t="str">
        <f ca="1">IF($AA121=0,"",IF($AJ121&lt;$AK121,Einstellungen!$C$4,IF($AJ121=$AK121,1,0)))</f>
        <v/>
      </c>
    </row>
    <row r="122" spans="2:39" s="2" customFormat="1" x14ac:dyDescent="0.2">
      <c r="B122" s="4"/>
      <c r="C122" s="4"/>
      <c r="D122" s="4"/>
      <c r="E122" s="4"/>
      <c r="F122" s="778"/>
      <c r="G122" s="778"/>
      <c r="H122" s="778"/>
      <c r="I122" s="778"/>
      <c r="J122" s="778"/>
      <c r="K122" s="778"/>
      <c r="L122" s="778"/>
      <c r="M122" s="778"/>
      <c r="U122" s="66" t="s">
        <v>80</v>
      </c>
      <c r="V122" s="40" t="str">
        <f ca="1">Planung!$L64</f>
        <v/>
      </c>
      <c r="W122" s="778" t="str">
        <f ca="1">Planung!$N64</f>
        <v/>
      </c>
      <c r="X122" s="831" t="str">
        <f ca="1">IF(AND($AA122=1,Vorrunde!$I70&lt;&gt;"",Vorrunde!$K70&lt;&gt;"",ABS(Vorrunde!$I70-Vorrunde!$K70)&gt;1),Vorrunde!$I70,"")</f>
        <v/>
      </c>
      <c r="Y122" s="35" t="str">
        <f ca="1">IF(AND($AA122=1,Vorrunde!$I70&lt;&gt;"",Vorrunde!$K70&lt;&gt;"",ABS(Vorrunde!$I70-Vorrunde!$K70)&gt;1),Vorrunde!$K70,"")</f>
        <v/>
      </c>
      <c r="Z122" s="34" t="str">
        <f t="shared" ca="1" si="70"/>
        <v/>
      </c>
      <c r="AA122" s="831">
        <f ca="1">IF(AND(V122&lt;&gt;"",W122&lt;&gt;"",V122&lt;&gt;W122,Vorrunde!$R70&lt;&gt;"",Vorrunde!$T70&lt;&gt;""),1,0)</f>
        <v>0</v>
      </c>
      <c r="AB122" s="831" t="str">
        <f ca="1">IF(AA122&gt;0,AH122&amp;Sprache!$E$109&amp;AI122,"")</f>
        <v/>
      </c>
      <c r="AC122" s="141" t="str">
        <f ca="1">IF(AA122&gt;0,AJ122&amp;Sprache!$E$109&amp;AK122,"")</f>
        <v/>
      </c>
      <c r="AD122" s="145" t="str">
        <f ca="1">IF(AND($AA122=1,Vorrunde!$L70&lt;&gt;"",Vorrunde!$N70&lt;&gt;"",ABS(Vorrunde!$L70-Vorrunde!$N70)&gt;1),Vorrunde!$L70,"")</f>
        <v/>
      </c>
      <c r="AE122" s="141" t="str">
        <f ca="1">IF(AND($AA122=1,Vorrunde!$L70&lt;&gt;"",Vorrunde!$N70&lt;&gt;"",ABS(Vorrunde!$L70-Vorrunde!$N70)&gt;1),Vorrunde!$N70,"")</f>
        <v/>
      </c>
      <c r="AF122" s="145" t="str">
        <f ca="1">IF(AND($AA122=1,Vorrunde!$O70&lt;&gt;"",Vorrunde!$Q70&lt;&gt;"",ABS(Vorrunde!$O70-Vorrunde!$Q70)&gt;1),Vorrunde!$O70,"")</f>
        <v/>
      </c>
      <c r="AG122" s="141" t="str">
        <f ca="1">IF(AND($AA122=1,Vorrunde!$O70&lt;&gt;"",Vorrunde!$Q70&lt;&gt;"",ABS(Vorrunde!$O70-Vorrunde!$Q70)&gt;1),Vorrunde!$Q70,"")</f>
        <v/>
      </c>
      <c r="AH122" s="145" t="str">
        <f t="shared" ca="1" si="68"/>
        <v/>
      </c>
      <c r="AI122" s="141" t="str">
        <f t="shared" ca="1" si="69"/>
        <v/>
      </c>
      <c r="AJ122" s="145">
        <f ca="1">IF(Vorrunde!$R70="",0,Vorrunde!$R70)</f>
        <v>0</v>
      </c>
      <c r="AK122" s="141">
        <f ca="1">IF(Vorrunde!$T70="",0,Vorrunde!$T70)</f>
        <v>0</v>
      </c>
      <c r="AL122" s="145" t="str">
        <f ca="1">IF($AA122=0,"",IF($AJ122&gt;$AK122,Einstellungen!$C$4,IF($AJ122=$AK122,1,0)))</f>
        <v/>
      </c>
      <c r="AM122" s="141" t="str">
        <f ca="1">IF($AA122=0,"",IF($AJ122&lt;$AK122,Einstellungen!$C$4,IF($AJ122=$AK122,1,0)))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Planung!$L65</f>
        <v/>
      </c>
      <c r="W123" s="778" t="str">
        <f ca="1">Planung!$N65</f>
        <v/>
      </c>
      <c r="X123" s="831" t="str">
        <f ca="1">IF(AND($AA123=1,Vorrunde!$I71&lt;&gt;"",Vorrunde!$K71&lt;&gt;"",ABS(Vorrunde!$I71-Vorrunde!$K71)&gt;1),Vorrunde!$I71,"")</f>
        <v/>
      </c>
      <c r="Y123" s="35" t="str">
        <f ca="1">IF(AND($AA123=1,Vorrunde!$I71&lt;&gt;"",Vorrunde!$K71&lt;&gt;"",ABS(Vorrunde!$I71-Vorrunde!$K71)&gt;1),Vorrunde!$K71,"")</f>
        <v/>
      </c>
      <c r="Z123" s="34" t="str">
        <f t="shared" ca="1" si="70"/>
        <v/>
      </c>
      <c r="AA123" s="831">
        <f ca="1">IF(AND(V123&lt;&gt;"",W123&lt;&gt;"",V123&lt;&gt;W123,Vorrunde!$R71&lt;&gt;"",Vorrunde!$T71&lt;&gt;""),1,0)</f>
        <v>0</v>
      </c>
      <c r="AB123" s="831" t="str">
        <f ca="1">IF(AA123&gt;0,AH123&amp;Sprache!$E$109&amp;AI123,"")</f>
        <v/>
      </c>
      <c r="AC123" s="141" t="str">
        <f ca="1">IF(AA123&gt;0,AJ123&amp;Sprache!$E$109&amp;AK123,"")</f>
        <v/>
      </c>
      <c r="AD123" s="145" t="str">
        <f ca="1">IF(AND($AA123=1,Vorrunde!$L71&lt;&gt;"",Vorrunde!$N71&lt;&gt;"",ABS(Vorrunde!$L71-Vorrunde!$N71)&gt;1),Vorrunde!$L71,"")</f>
        <v/>
      </c>
      <c r="AE123" s="141" t="str">
        <f ca="1">IF(AND($AA123=1,Vorrunde!$L71&lt;&gt;"",Vorrunde!$N71&lt;&gt;"",ABS(Vorrunde!$L71-Vorrunde!$N71)&gt;1),Vorrunde!$N71,"")</f>
        <v/>
      </c>
      <c r="AF123" s="145" t="str">
        <f ca="1">IF(AND($AA123=1,Vorrunde!$O71&lt;&gt;"",Vorrunde!$Q71&lt;&gt;"",ABS(Vorrunde!$O71-Vorrunde!$Q71)&gt;1),Vorrunde!$O71,"")</f>
        <v/>
      </c>
      <c r="AG123" s="141" t="str">
        <f ca="1">IF(AND($AA123=1,Vorrunde!$O71&lt;&gt;"",Vorrunde!$Q71&lt;&gt;"",ABS(Vorrunde!$O71-Vorrunde!$Q71)&gt;1),Vorrunde!$Q71,"")</f>
        <v/>
      </c>
      <c r="AH123" s="145" t="str">
        <f t="shared" ca="1" si="68"/>
        <v/>
      </c>
      <c r="AI123" s="141" t="str">
        <f t="shared" ca="1" si="69"/>
        <v/>
      </c>
      <c r="AJ123" s="145">
        <f ca="1">IF(Vorrunde!$R71="",0,Vorrunde!$R71)</f>
        <v>0</v>
      </c>
      <c r="AK123" s="141">
        <f ca="1">IF(Vorrunde!$T71="",0,Vorrunde!$T71)</f>
        <v>0</v>
      </c>
      <c r="AL123" s="145" t="str">
        <f ca="1">IF($AA123=0,"",IF($AJ123&gt;$AK123,Einstellungen!$C$4,IF($AJ123=$AK123,1,0)))</f>
        <v/>
      </c>
      <c r="AM123" s="141" t="str">
        <f ca="1">IF($AA123=0,"",IF($AJ123&lt;$AK123,Einstellungen!$C$4,IF($AJ123=$AK123,1,0)))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IF(AA64&gt;0,AI64&amp;Sprache!$E$109&amp;AH64,"")</f>
        <v>69 : 57</v>
      </c>
      <c r="AC136" s="608" t="str">
        <f ca="1">IF(AA64&gt;0,AK64&amp;Sprache!$E$109&amp;AJ64,"")</f>
        <v>2 : 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IF(AA65&gt;0,AI65&amp;Sprache!$E$109&amp;AH65,"")</f>
        <v>50 : 36</v>
      </c>
      <c r="AC137" s="609" t="str">
        <f ca="1">IF(AA65&gt;0,AK65&amp;Sprache!$E$109&amp;AJ65,"")</f>
        <v>2 : 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IF(AA66&gt;0,AI66&amp;Sprache!$E$109&amp;AH66,"")</f>
        <v>50 : 40</v>
      </c>
      <c r="AC138" s="609" t="str">
        <f ca="1">IF(AA66&gt;0,AK66&amp;Sprache!$E$109&amp;AJ66,"")</f>
        <v>2 : 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IF(AA67&gt;0,AI67&amp;Sprache!$E$109&amp;AH67,"")</f>
        <v>50 : 39</v>
      </c>
      <c r="AC139" s="609" t="str">
        <f ca="1">IF(AA67&gt;0,AK67&amp;Sprache!$E$109&amp;AJ67,"")</f>
        <v>2 : 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IF(AA68&gt;0,AI68&amp;Sprache!$E$109&amp;AH68,"")</f>
        <v>44 : 50</v>
      </c>
      <c r="AC140" s="609" t="str">
        <f ca="1">IF(AA68&gt;0,AK68&amp;Sprache!$E$109&amp;AJ68,"")</f>
        <v>0 : 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IF(AA69&gt;0,AI69&amp;Sprache!$E$109&amp;AH69,"")</f>
        <v>50 : 40</v>
      </c>
      <c r="AC141" s="609" t="str">
        <f ca="1">IF(AA69&gt;0,AK69&amp;Sprache!$E$109&amp;AJ69,"")</f>
        <v>2 : 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IF(AA70&gt;0,AI70&amp;Sprache!$E$109&amp;AH70,"")</f>
        <v>61 : 70</v>
      </c>
      <c r="AC142" s="609" t="str">
        <f ca="1">IF(AA70&gt;0,AK70&amp;Sprache!$E$109&amp;AJ70,"")</f>
        <v>1 : 2</v>
      </c>
      <c r="AD142" s="145"/>
      <c r="AE142" s="612"/>
      <c r="AF142" s="612"/>
      <c r="AG142" s="612"/>
      <c r="AH142" s="612"/>
    </row>
    <row r="143" spans="2:39" x14ac:dyDescent="0.2">
      <c r="Y143" s="66" t="s">
        <v>17</v>
      </c>
      <c r="Z143" s="34" t="str">
        <f t="shared" ca="1" si="72"/>
        <v>RB LeipzigHSV</v>
      </c>
      <c r="AA143" s="778">
        <f t="shared" ca="1" si="71"/>
        <v>1</v>
      </c>
      <c r="AB143" s="828" t="str">
        <f ca="1">IF(AA71&gt;0,AI71&amp;Sprache!$E$109&amp;AH71,"")</f>
        <v>67 : 66</v>
      </c>
      <c r="AC143" s="609" t="str">
        <f ca="1">IF(AA71&gt;0,AK71&amp;Sprache!$E$109&amp;AJ71,"")</f>
        <v>2 : 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IF(AA72&gt;0,AI72&amp;Sprache!$E$109&amp;AH72,"")</f>
        <v>69 : 65</v>
      </c>
      <c r="AC144" s="609" t="str">
        <f ca="1">IF(AA72&gt;0,AK72&amp;Sprache!$E$109&amp;AJ72,"")</f>
        <v>2 : 1</v>
      </c>
      <c r="AD144" s="145"/>
      <c r="AE144" s="612"/>
      <c r="AF144" s="612"/>
      <c r="AG144" s="612"/>
      <c r="AH144" s="612"/>
    </row>
    <row r="145" spans="25:34" x14ac:dyDescent="0.2">
      <c r="Y145" s="66" t="s">
        <v>24</v>
      </c>
      <c r="Z145" s="34" t="str">
        <f t="shared" ca="1" si="72"/>
        <v>Mainz 05FC Grönlingen</v>
      </c>
      <c r="AA145" s="778">
        <f t="shared" ca="1" si="71"/>
        <v>1</v>
      </c>
      <c r="AB145" s="828" t="str">
        <f ca="1">IF(AA73&gt;0,AI73&amp;Sprache!$E$109&amp;AH73,"")</f>
        <v>50 : 33</v>
      </c>
      <c r="AC145" s="609" t="str">
        <f ca="1">IF(AA73&gt;0,AK73&amp;Sprache!$E$109&amp;AJ73,"")</f>
        <v>2 : 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IF(AA74&gt;0,AI74&amp;Sprache!$E$109&amp;AH74,"")</f>
        <v>42 : 50</v>
      </c>
      <c r="AC146" s="609" t="str">
        <f ca="1">IF(AA74&gt;0,AK74&amp;Sprache!$E$109&amp;AJ74,"")</f>
        <v>0 : 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IF(AA75&gt;0,AI75&amp;Sprache!$E$109&amp;AH75,"")</f>
        <v>50 : 42</v>
      </c>
      <c r="AC147" s="609" t="str">
        <f ca="1">IF(AA75&gt;0,AK75&amp;Sprache!$E$109&amp;AJ75,"")</f>
        <v>2 : 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IF(AA76&gt;0,AI76&amp;Sprache!$E$109&amp;AH76,"")</f>
        <v>72 : 69</v>
      </c>
      <c r="AC148" s="609" t="str">
        <f ca="1">IF(AA76&gt;0,AK76&amp;Sprache!$E$109&amp;AJ76,"")</f>
        <v>2 : 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IF(AA77&gt;0,AI77&amp;Sprache!$E$109&amp;AH77,"")</f>
        <v>37 : 50</v>
      </c>
      <c r="AC149" s="609" t="str">
        <f ca="1">IF(AA77&gt;0,AK77&amp;Sprache!$E$109&amp;AJ77,"")</f>
        <v>0 : 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IF(AA78&gt;0,AI78&amp;Sprache!$E$109&amp;AH78,"")</f>
        <v>62 : 71</v>
      </c>
      <c r="AC150" s="609" t="str">
        <f ca="1">IF(AA78&gt;0,AK78&amp;Sprache!$E$109&amp;AJ78,"")</f>
        <v>1 : 2</v>
      </c>
      <c r="AD150" s="145"/>
      <c r="AE150" s="612"/>
      <c r="AF150" s="612"/>
      <c r="AG150" s="612"/>
      <c r="AH150" s="612"/>
    </row>
    <row r="151" spans="25:34" x14ac:dyDescent="0.2">
      <c r="Y151" s="66" t="s">
        <v>30</v>
      </c>
      <c r="Z151" s="34" t="str">
        <f t="shared" ca="1" si="72"/>
        <v>HSVParis St. Germain</v>
      </c>
      <c r="AA151" s="778">
        <f t="shared" ca="1" si="71"/>
        <v>1</v>
      </c>
      <c r="AB151" s="828" t="str">
        <f ca="1">IF(AA79&gt;0,AI79&amp;Sprache!$E$109&amp;AH79,"")</f>
        <v>30 : 50</v>
      </c>
      <c r="AC151" s="609" t="str">
        <f ca="1">IF(AA79&gt;0,AK79&amp;Sprache!$E$109&amp;AJ79,"")</f>
        <v>0 : 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IF(AA80&gt;0,AI80&amp;Sprache!$E$109&amp;AH80,"")</f>
        <v>39 : 50</v>
      </c>
      <c r="AC152" s="609" t="str">
        <f ca="1">IF(AA80&gt;0,AK80&amp;Sprache!$E$109&amp;AJ80,"")</f>
        <v>0 : 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IF(AA81&gt;0,AI81&amp;Sprache!$E$109&amp;AH81,"")</f>
        <v>50 : 23</v>
      </c>
      <c r="AC153" s="609" t="str">
        <f ca="1">IF(AA81&gt;0,AK81&amp;Sprache!$E$109&amp;AJ81,"")</f>
        <v>2 : 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IF(AA82&gt;0,AI82&amp;Sprache!$E$109&amp;AH82,"")</f>
        <v>23 : 50</v>
      </c>
      <c r="AC154" s="609" t="str">
        <f ca="1">IF(AA82&gt;0,AK82&amp;Sprache!$E$109&amp;AJ82,"")</f>
        <v>0 : 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IF(AA83&gt;0,AI83&amp;Sprache!$E$109&amp;AH83,"")</f>
        <v>24 : 50</v>
      </c>
      <c r="AC155" s="609" t="str">
        <f ca="1">IF(AA83&gt;0,AK83&amp;Sprache!$E$109&amp;AJ83,"")</f>
        <v>0 : 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IF(AA84&gt;0,AI84&amp;Sprache!$E$109&amp;AH84,"")</f>
        <v>37 : 37</v>
      </c>
      <c r="AC156" s="609" t="str">
        <f ca="1">IF(AA84&gt;0,AK84&amp;Sprache!$E$109&amp;AJ84,"")</f>
        <v>1 : 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IF(AA85&gt;0,AI85&amp;Sprache!$E$109&amp;AH85,"")</f>
        <v>42 : 44</v>
      </c>
      <c r="AC157" s="609" t="str">
        <f ca="1">IF(AA85&gt;0,AK85&amp;Sprache!$E$109&amp;AJ85,"")</f>
        <v>1 : 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IF(AA86&gt;0,AI86&amp;Sprache!$E$109&amp;AH86,"")</f>
        <v>41 : 42</v>
      </c>
      <c r="AC158" s="609" t="str">
        <f ca="1">IF(AA86&gt;0,AK86&amp;Sprache!$E$109&amp;AJ86,"")</f>
        <v>1 : 1</v>
      </c>
      <c r="AD158" s="145"/>
      <c r="AE158" s="612"/>
      <c r="AF158" s="612"/>
      <c r="AG158" s="612"/>
      <c r="AH158" s="612"/>
    </row>
    <row r="159" spans="25:34" x14ac:dyDescent="0.2">
      <c r="Y159" s="66" t="s">
        <v>38</v>
      </c>
      <c r="Z159" s="34" t="str">
        <f t="shared" ca="1" si="72"/>
        <v>SV OberredenburgHSV</v>
      </c>
      <c r="AA159" s="778">
        <f t="shared" ca="1" si="71"/>
        <v>1</v>
      </c>
      <c r="AB159" s="828" t="str">
        <f ca="1">IF(AA87&gt;0,AI87&amp;Sprache!$E$109&amp;AH87,"")</f>
        <v>44 : 39</v>
      </c>
      <c r="AC159" s="609" t="str">
        <f ca="1">IF(AA87&gt;0,AK87&amp;Sprache!$E$109&amp;AJ87,"")</f>
        <v>1 : 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IF(AA88&gt;0,AI88&amp;Sprache!$E$109&amp;AH88,"")</f>
        <v>45 : 45</v>
      </c>
      <c r="AC160" s="609" t="str">
        <f ca="1">IF(AA88&gt;0,AK88&amp;Sprache!$E$109&amp;AJ88,"")</f>
        <v>1 : 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IF(AA89&gt;0,AI89&amp;Sprache!$E$109&amp;AH89,"")</f>
        <v>46 : 44</v>
      </c>
      <c r="AC161" s="609" t="str">
        <f ca="1">IF(AA89&gt;0,AK89&amp;Sprache!$E$109&amp;AJ89,"")</f>
        <v>1 : 1</v>
      </c>
      <c r="AD161" s="145"/>
      <c r="AE161" s="612"/>
      <c r="AF161" s="612"/>
      <c r="AG161" s="612"/>
      <c r="AH161" s="612"/>
    </row>
    <row r="162" spans="25:34" x14ac:dyDescent="0.2">
      <c r="Y162" s="66" t="s">
        <v>41</v>
      </c>
      <c r="Z162" s="34" t="str">
        <f t="shared" ca="1" si="72"/>
        <v>FSV RauenReal Madrid</v>
      </c>
      <c r="AA162" s="778">
        <f t="shared" ca="1" si="71"/>
        <v>1</v>
      </c>
      <c r="AB162" s="828" t="str">
        <f ca="1">IF(AA90&gt;0,AI90&amp;Sprache!$E$109&amp;AH90,"")</f>
        <v>47 : 42</v>
      </c>
      <c r="AC162" s="609" t="str">
        <f ca="1">IF(AA90&gt;0,AK90&amp;Sprache!$E$109&amp;AJ90,"")</f>
        <v>1 : 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IF(AA91&gt;0,AI91&amp;Sprache!$E$109&amp;AH91,"")</f>
        <v>48 : 44</v>
      </c>
      <c r="AC163" s="609" t="str">
        <f ca="1">IF(AA91&gt;0,AK91&amp;Sprache!$E$109&amp;AJ91,"")</f>
        <v>1 : 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IF(AA92&gt;0,AI92&amp;Sprache!$E$109&amp;AH92,"")</f>
        <v>34 : 50</v>
      </c>
      <c r="AC164" s="609" t="str">
        <f ca="1">IF(AA92&gt;0,AK92&amp;Sprache!$E$109&amp;AJ92,"")</f>
        <v>0 : 2</v>
      </c>
      <c r="AD164" s="145"/>
      <c r="AE164" s="612"/>
      <c r="AF164" s="612"/>
      <c r="AG164" s="612"/>
      <c r="AH164" s="612"/>
    </row>
    <row r="165" spans="25:34" x14ac:dyDescent="0.2">
      <c r="Y165" s="66" t="s">
        <v>44</v>
      </c>
      <c r="Z165" s="34" t="str">
        <f t="shared" ca="1" si="72"/>
        <v>Mainz 05SSV Wildbach</v>
      </c>
      <c r="AA165" s="778">
        <f t="shared" ca="1" si="71"/>
        <v>1</v>
      </c>
      <c r="AB165" s="828" t="str">
        <f ca="1">IF(AA93&gt;0,AI93&amp;Sprache!$E$109&amp;AH93,"")</f>
        <v>43 : 39</v>
      </c>
      <c r="AC165" s="609" t="str">
        <f ca="1">IF(AA93&gt;0,AK93&amp;Sprache!$E$109&amp;AJ93,"")</f>
        <v>1 : 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IF(AA94&gt;0,AI94&amp;Sprache!$E$109&amp;AH94,"")</f>
        <v>44 : 45</v>
      </c>
      <c r="AC166" s="609" t="str">
        <f ca="1">IF(AA94&gt;0,AK94&amp;Sprache!$E$109&amp;AJ94,"")</f>
        <v>1 : 1</v>
      </c>
      <c r="AD166" s="145"/>
      <c r="AE166" s="612"/>
      <c r="AF166" s="612"/>
      <c r="AG166" s="612"/>
      <c r="AH166" s="612"/>
    </row>
    <row r="167" spans="25:34" x14ac:dyDescent="0.2">
      <c r="Y167" s="66" t="s">
        <v>46</v>
      </c>
      <c r="Z167" s="34" t="str">
        <f t="shared" ca="1" si="72"/>
        <v>TSG Saalberg eVHSV</v>
      </c>
      <c r="AA167" s="778">
        <f t="shared" ca="1" si="71"/>
        <v>1</v>
      </c>
      <c r="AB167" s="828" t="str">
        <f ca="1">IF(AA95&gt;0,AI95&amp;Sprache!$E$109&amp;AH95,"")</f>
        <v>45 : 44</v>
      </c>
      <c r="AC167" s="609" t="str">
        <f ca="1">IF(AA95&gt;0,AK95&amp;Sprache!$E$109&amp;AJ95,"")</f>
        <v>1 : 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IF(AA96&gt;0,AI96&amp;Sprache!$E$109&amp;AH96,"")</f>
        <v>46 : 42</v>
      </c>
      <c r="AC168" s="609" t="str">
        <f ca="1">IF(AA96&gt;0,AK96&amp;Sprache!$E$109&amp;AJ96,"")</f>
        <v>1 : 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IF(AA97&gt;0,AI97&amp;Sprache!$E$109&amp;AH97,"")</f>
        <v>47 : 39</v>
      </c>
      <c r="AC169" s="609" t="str">
        <f ca="1">IF(AA97&gt;0,AK97&amp;Sprache!$E$109&amp;AJ97,"")</f>
        <v>1 : 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IF(AA98&gt;0,AI98&amp;Sprache!$E$109&amp;AH98,"")</f>
        <v>34 : 50</v>
      </c>
      <c r="AC170" s="609" t="str">
        <f ca="1">IF(AA98&gt;0,AK98&amp;Sprache!$E$109&amp;AJ98,"")</f>
        <v>0 : 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IF(AA99&gt;0,AI99&amp;Sprache!$E$109&amp;AH99,"")</f>
        <v>36 : 50</v>
      </c>
      <c r="AC171" s="609" t="str">
        <f ca="1">IF(AA99&gt;0,AK99&amp;Sprache!$E$109&amp;AJ99,"")</f>
        <v>0 : 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IF(AA100&gt;0,AI100&amp;Sprache!$E$109&amp;AH100,"")</f>
        <v>50 : 35</v>
      </c>
      <c r="AC172" s="609" t="str">
        <f ca="1">IF(AA100&gt;0,AK100&amp;Sprache!$E$109&amp;AJ100,"")</f>
        <v>2 : 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IF(AA101&gt;0,AI101&amp;Sprache!$E$109&amp;AH101,"")</f>
        <v>50 : 33</v>
      </c>
      <c r="AC173" s="609" t="str">
        <f ca="1">IF(AA101&gt;0,AK101&amp;Sprache!$E$109&amp;AJ101,"")</f>
        <v>2 : 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IF(AA102&gt;0,AI102&amp;Sprache!$E$109&amp;AH102,"")</f>
        <v>45 : 38</v>
      </c>
      <c r="AC174" s="609" t="str">
        <f ca="1">IF(AA102&gt;0,AK102&amp;Sprache!$E$109&amp;AJ102,"")</f>
        <v>1 : 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IF(AA103&gt;0,AI103&amp;Sprache!$E$109&amp;AH103,"")</f>
        <v>46 : 43</v>
      </c>
      <c r="AC175" s="609" t="str">
        <f ca="1">IF(AA103&gt;0,AK103&amp;Sprache!$E$109&amp;AJ103,"")</f>
        <v>1 : 1</v>
      </c>
      <c r="AD175" s="145"/>
      <c r="AE175" s="612"/>
      <c r="AF175" s="612"/>
      <c r="AG175" s="612"/>
      <c r="AH175" s="612"/>
    </row>
    <row r="176" spans="25:34" x14ac:dyDescent="0.2">
      <c r="Y176" s="66" t="s">
        <v>62</v>
      </c>
      <c r="Z176" s="34" t="str">
        <f t="shared" ca="1" si="72"/>
        <v/>
      </c>
      <c r="AA176" s="778">
        <f t="shared" ca="1" si="71"/>
        <v>0</v>
      </c>
      <c r="AB176" s="828" t="str">
        <f ca="1">IF(AA104&gt;0,AI104&amp;Sprache!$E$109&amp;AH104,"")</f>
        <v/>
      </c>
      <c r="AC176" s="609" t="str">
        <f ca="1">IF(AA104&gt;0,AK104&amp;Sprache!$E$109&amp;AJ104,"")</f>
        <v/>
      </c>
      <c r="AD176" s="145"/>
      <c r="AE176" s="612"/>
      <c r="AF176" s="612"/>
      <c r="AG176" s="612"/>
      <c r="AH176" s="612"/>
    </row>
    <row r="177" spans="25:34" x14ac:dyDescent="0.2">
      <c r="Y177" s="66" t="s">
        <v>63</v>
      </c>
      <c r="Z177" s="34" t="str">
        <f t="shared" ca="1" si="72"/>
        <v/>
      </c>
      <c r="AA177" s="778">
        <f t="shared" ca="1" si="71"/>
        <v>0</v>
      </c>
      <c r="AB177" s="828" t="str">
        <f ca="1">IF(AA105&gt;0,AI105&amp;Sprache!$E$109&amp;AH105,"")</f>
        <v/>
      </c>
      <c r="AC177" s="609" t="str">
        <f ca="1">IF(AA105&gt;0,AK105&amp;Sprache!$E$109&amp;AJ105,"")</f>
        <v/>
      </c>
      <c r="AD177" s="145"/>
      <c r="AE177" s="612"/>
      <c r="AF177" s="612"/>
      <c r="AG177" s="612"/>
      <c r="AH177" s="612"/>
    </row>
    <row r="178" spans="25:34" x14ac:dyDescent="0.2">
      <c r="Y178" s="66" t="s">
        <v>64</v>
      </c>
      <c r="Z178" s="34" t="str">
        <f t="shared" ca="1" si="72"/>
        <v/>
      </c>
      <c r="AA178" s="778">
        <f t="shared" ca="1" si="71"/>
        <v>0</v>
      </c>
      <c r="AB178" s="828" t="str">
        <f ca="1">IF(AA106&gt;0,AI106&amp;Sprache!$E$109&amp;AH106,"")</f>
        <v/>
      </c>
      <c r="AC178" s="609" t="str">
        <f ca="1">IF(AA106&gt;0,AK106&amp;Sprache!$E$109&amp;AJ106,"")</f>
        <v/>
      </c>
      <c r="AD178" s="145"/>
      <c r="AE178" s="612"/>
      <c r="AF178" s="612"/>
      <c r="AG178" s="612"/>
      <c r="AH178" s="612"/>
    </row>
    <row r="179" spans="25:34" x14ac:dyDescent="0.2">
      <c r="Y179" s="66" t="s">
        <v>65</v>
      </c>
      <c r="Z179" s="34" t="str">
        <f t="shared" ca="1" si="72"/>
        <v/>
      </c>
      <c r="AA179" s="778">
        <f t="shared" ca="1" si="71"/>
        <v>0</v>
      </c>
      <c r="AB179" s="828" t="str">
        <f ca="1">IF(AA107&gt;0,AI107&amp;Sprache!$E$109&amp;AH107,"")</f>
        <v/>
      </c>
      <c r="AC179" s="609" t="str">
        <f ca="1">IF(AA107&gt;0,AK107&amp;Sprache!$E$109&amp;AJ107,"")</f>
        <v/>
      </c>
      <c r="AD179" s="145"/>
      <c r="AE179" s="612"/>
      <c r="AF179" s="612"/>
      <c r="AG179" s="612"/>
      <c r="AH179" s="612"/>
    </row>
    <row r="180" spans="25:34" x14ac:dyDescent="0.2">
      <c r="Y180" s="66" t="s">
        <v>66</v>
      </c>
      <c r="Z180" s="34" t="str">
        <f t="shared" ca="1" si="72"/>
        <v/>
      </c>
      <c r="AA180" s="778">
        <f t="shared" ca="1" si="71"/>
        <v>0</v>
      </c>
      <c r="AB180" s="828" t="str">
        <f ca="1">IF(AA108&gt;0,AI108&amp;Sprache!$E$109&amp;AH108,"")</f>
        <v/>
      </c>
      <c r="AC180" s="609" t="str">
        <f ca="1">IF(AA108&gt;0,AK108&amp;Sprache!$E$109&amp;AJ108,"")</f>
        <v/>
      </c>
      <c r="AD180" s="145"/>
      <c r="AE180" s="612"/>
      <c r="AF180" s="612"/>
      <c r="AG180" s="612"/>
      <c r="AH180" s="612"/>
    </row>
    <row r="181" spans="25:34" x14ac:dyDescent="0.2">
      <c r="Y181" s="66" t="s">
        <v>67</v>
      </c>
      <c r="Z181" s="34" t="str">
        <f t="shared" ca="1" si="72"/>
        <v/>
      </c>
      <c r="AA181" s="778">
        <f t="shared" ca="1" si="71"/>
        <v>0</v>
      </c>
      <c r="AB181" s="828" t="str">
        <f ca="1">IF(AA109&gt;0,AI109&amp;Sprache!$E$109&amp;AH109,"")</f>
        <v/>
      </c>
      <c r="AC181" s="609" t="str">
        <f ca="1">IF(AA109&gt;0,AK109&amp;Sprache!$E$109&amp;AJ109,"")</f>
        <v/>
      </c>
      <c r="AD181" s="145"/>
      <c r="AE181" s="612"/>
      <c r="AF181" s="612"/>
      <c r="AG181" s="612"/>
      <c r="AH181" s="612"/>
    </row>
    <row r="182" spans="25:34" x14ac:dyDescent="0.2">
      <c r="Y182" s="66" t="s">
        <v>68</v>
      </c>
      <c r="Z182" s="34" t="str">
        <f t="shared" ca="1" si="72"/>
        <v/>
      </c>
      <c r="AA182" s="778">
        <f t="shared" ca="1" si="71"/>
        <v>0</v>
      </c>
      <c r="AB182" s="828" t="str">
        <f ca="1">IF(AA110&gt;0,AI110&amp;Sprache!$E$109&amp;AH110,"")</f>
        <v/>
      </c>
      <c r="AC182" s="609" t="str">
        <f ca="1">IF(AA110&gt;0,AK110&amp;Sprache!$E$109&amp;AJ110,"")</f>
        <v/>
      </c>
      <c r="AD182" s="145"/>
      <c r="AE182" s="612"/>
      <c r="AF182" s="612"/>
      <c r="AG182" s="612"/>
      <c r="AH182" s="612"/>
    </row>
    <row r="183" spans="25:34" x14ac:dyDescent="0.2">
      <c r="Y183" s="66" t="s">
        <v>69</v>
      </c>
      <c r="Z183" s="34" t="str">
        <f t="shared" ca="1" si="72"/>
        <v/>
      </c>
      <c r="AA183" s="778">
        <f t="shared" ca="1" si="71"/>
        <v>0</v>
      </c>
      <c r="AB183" s="828" t="str">
        <f ca="1">IF(AA111&gt;0,AI111&amp;Sprache!$E$109&amp;AH111,"")</f>
        <v/>
      </c>
      <c r="AC183" s="609" t="str">
        <f ca="1">IF(AA111&gt;0,AK111&amp;Sprache!$E$109&amp;AJ111,"")</f>
        <v/>
      </c>
      <c r="AD183" s="145"/>
      <c r="AE183" s="612"/>
      <c r="AF183" s="612"/>
      <c r="AG183" s="612"/>
      <c r="AH183" s="612"/>
    </row>
    <row r="184" spans="25:34" x14ac:dyDescent="0.2">
      <c r="Y184" s="66" t="s">
        <v>70</v>
      </c>
      <c r="Z184" s="34" t="str">
        <f t="shared" ca="1" si="72"/>
        <v/>
      </c>
      <c r="AA184" s="778">
        <f t="shared" ca="1" si="71"/>
        <v>0</v>
      </c>
      <c r="AB184" s="828" t="str">
        <f ca="1">IF(AA112&gt;0,AI112&amp;Sprache!$E$109&amp;AH112,"")</f>
        <v/>
      </c>
      <c r="AC184" s="609" t="str">
        <f ca="1">IF(AA112&gt;0,AK112&amp;Sprache!$E$109&amp;AJ112,"")</f>
        <v/>
      </c>
      <c r="AD184" s="145"/>
      <c r="AE184" s="612"/>
      <c r="AF184" s="612"/>
      <c r="AG184" s="612"/>
      <c r="AH184" s="612"/>
    </row>
    <row r="185" spans="25:34" x14ac:dyDescent="0.2">
      <c r="Y185" s="66" t="s">
        <v>71</v>
      </c>
      <c r="Z185" s="34" t="str">
        <f t="shared" ca="1" si="72"/>
        <v/>
      </c>
      <c r="AA185" s="778">
        <f t="shared" ca="1" si="71"/>
        <v>0</v>
      </c>
      <c r="AB185" s="828" t="str">
        <f ca="1">IF(AA113&gt;0,AI113&amp;Sprache!$E$109&amp;AH113,"")</f>
        <v/>
      </c>
      <c r="AC185" s="609" t="str">
        <f ca="1">IF(AA113&gt;0,AK113&amp;Sprache!$E$109&amp;AJ113,"")</f>
        <v/>
      </c>
      <c r="AD185" s="145"/>
      <c r="AE185" s="612"/>
      <c r="AF185" s="612"/>
      <c r="AG185" s="612"/>
      <c r="AH185" s="612"/>
    </row>
    <row r="186" spans="25:34" x14ac:dyDescent="0.2">
      <c r="Y186" s="66" t="s">
        <v>72</v>
      </c>
      <c r="Z186" s="34" t="str">
        <f t="shared" ca="1" si="72"/>
        <v/>
      </c>
      <c r="AA186" s="778">
        <f t="shared" ca="1" si="71"/>
        <v>0</v>
      </c>
      <c r="AB186" s="828" t="str">
        <f ca="1">IF(AA114&gt;0,AI114&amp;Sprache!$E$109&amp;AH114,"")</f>
        <v/>
      </c>
      <c r="AC186" s="609" t="str">
        <f ca="1">IF(AA114&gt;0,AK114&amp;Sprache!$E$109&amp;AJ114,"")</f>
        <v/>
      </c>
      <c r="AD186" s="145"/>
      <c r="AE186" s="612"/>
      <c r="AF186" s="612"/>
      <c r="AG186" s="612"/>
      <c r="AH186" s="612"/>
    </row>
    <row r="187" spans="25:34" x14ac:dyDescent="0.2">
      <c r="Y187" s="66" t="s">
        <v>73</v>
      </c>
      <c r="Z187" s="34" t="str">
        <f t="shared" ca="1" si="72"/>
        <v/>
      </c>
      <c r="AA187" s="778">
        <f t="shared" ca="1" si="71"/>
        <v>0</v>
      </c>
      <c r="AB187" s="828" t="str">
        <f ca="1">IF(AA115&gt;0,AI115&amp;Sprache!$E$109&amp;AH115,"")</f>
        <v/>
      </c>
      <c r="AC187" s="609" t="str">
        <f ca="1">IF(AA115&gt;0,AK115&amp;Sprache!$E$109&amp;AJ115,"")</f>
        <v/>
      </c>
      <c r="AD187" s="145"/>
      <c r="AE187" s="612"/>
      <c r="AF187" s="612"/>
      <c r="AG187" s="612"/>
      <c r="AH187" s="612"/>
    </row>
    <row r="188" spans="25:34" x14ac:dyDescent="0.2">
      <c r="Y188" s="66" t="s">
        <v>74</v>
      </c>
      <c r="Z188" s="34" t="str">
        <f t="shared" ca="1" si="72"/>
        <v/>
      </c>
      <c r="AA188" s="778">
        <f t="shared" ca="1" si="71"/>
        <v>0</v>
      </c>
      <c r="AB188" s="828" t="str">
        <f ca="1">IF(AA116&gt;0,AI116&amp;Sprache!$E$109&amp;AH116,"")</f>
        <v/>
      </c>
      <c r="AC188" s="609" t="str">
        <f ca="1">IF(AA116&gt;0,AK116&amp;Sprache!$E$109&amp;AJ116,"")</f>
        <v/>
      </c>
      <c r="AD188" s="145"/>
      <c r="AE188" s="612"/>
      <c r="AF188" s="612"/>
      <c r="AG188" s="612"/>
      <c r="AH188" s="612"/>
    </row>
    <row r="189" spans="25:34" x14ac:dyDescent="0.2">
      <c r="Y189" s="66" t="s">
        <v>75</v>
      </c>
      <c r="Z189" s="34" t="str">
        <f t="shared" ca="1" si="72"/>
        <v/>
      </c>
      <c r="AA189" s="778">
        <f t="shared" ca="1" si="71"/>
        <v>0</v>
      </c>
      <c r="AB189" s="828" t="str">
        <f ca="1">IF(AA117&gt;0,AI117&amp;Sprache!$E$109&amp;AH117,"")</f>
        <v/>
      </c>
      <c r="AC189" s="609" t="str">
        <f ca="1">IF(AA117&gt;0,AK117&amp;Sprache!$E$109&amp;AJ117,"")</f>
        <v/>
      </c>
      <c r="AD189" s="145"/>
      <c r="AE189" s="612"/>
      <c r="AF189" s="612"/>
      <c r="AG189" s="612"/>
      <c r="AH189" s="612"/>
    </row>
    <row r="190" spans="25:34" x14ac:dyDescent="0.2">
      <c r="Y190" s="66" t="s">
        <v>76</v>
      </c>
      <c r="Z190" s="34" t="str">
        <f t="shared" ca="1" si="72"/>
        <v/>
      </c>
      <c r="AA190" s="778">
        <f t="shared" ca="1" si="71"/>
        <v>0</v>
      </c>
      <c r="AB190" s="828" t="str">
        <f ca="1">IF(AA118&gt;0,AI118&amp;Sprache!$E$109&amp;AH118,"")</f>
        <v/>
      </c>
      <c r="AC190" s="609" t="str">
        <f ca="1">IF(AA118&gt;0,AK118&amp;Sprache!$E$109&amp;AJ118,"")</f>
        <v/>
      </c>
      <c r="AD190" s="145"/>
      <c r="AE190" s="612"/>
      <c r="AF190" s="612"/>
      <c r="AG190" s="612"/>
      <c r="AH190" s="612"/>
    </row>
    <row r="191" spans="25:34" x14ac:dyDescent="0.2">
      <c r="Y191" s="66" t="s">
        <v>77</v>
      </c>
      <c r="Z191" s="34" t="str">
        <f t="shared" ca="1" si="72"/>
        <v/>
      </c>
      <c r="AA191" s="778">
        <f t="shared" ca="1" si="71"/>
        <v>0</v>
      </c>
      <c r="AB191" s="828" t="str">
        <f ca="1">IF(AA119&gt;0,AI119&amp;Sprache!$E$109&amp;AH119,"")</f>
        <v/>
      </c>
      <c r="AC191" s="609" t="str">
        <f ca="1">IF(AA119&gt;0,AK119&amp;Sprache!$E$109&amp;AJ119,"")</f>
        <v/>
      </c>
      <c r="AD191" s="145"/>
      <c r="AE191" s="612"/>
      <c r="AF191" s="612"/>
      <c r="AG191" s="612"/>
      <c r="AH191" s="612"/>
    </row>
    <row r="192" spans="25:34" x14ac:dyDescent="0.2">
      <c r="Y192" s="66" t="s">
        <v>78</v>
      </c>
      <c r="Z192" s="34" t="str">
        <f t="shared" ca="1" si="72"/>
        <v/>
      </c>
      <c r="AA192" s="778">
        <f t="shared" ca="1" si="71"/>
        <v>0</v>
      </c>
      <c r="AB192" s="828" t="str">
        <f ca="1">IF(AA120&gt;0,AI120&amp;Sprache!$E$109&amp;AH120,"")</f>
        <v/>
      </c>
      <c r="AC192" s="609" t="str">
        <f ca="1">IF(AA120&gt;0,AK120&amp;Sprache!$E$109&amp;AJ120,"")</f>
        <v/>
      </c>
      <c r="AD192" s="145"/>
      <c r="AE192" s="612"/>
      <c r="AF192" s="612"/>
      <c r="AG192" s="612"/>
      <c r="AH192" s="612"/>
    </row>
    <row r="193" spans="25:34" x14ac:dyDescent="0.2">
      <c r="Y193" s="66" t="s">
        <v>79</v>
      </c>
      <c r="Z193" s="34" t="str">
        <f t="shared" ca="1" si="72"/>
        <v/>
      </c>
      <c r="AA193" s="778">
        <f t="shared" ca="1" si="71"/>
        <v>0</v>
      </c>
      <c r="AB193" s="828" t="str">
        <f ca="1">IF(AA121&gt;0,AI121&amp;Sprache!$E$109&amp;AH121,"")</f>
        <v/>
      </c>
      <c r="AC193" s="609" t="str">
        <f ca="1">IF(AA121&gt;0,AK121&amp;Sprache!$E$109&amp;AJ121,"")</f>
        <v/>
      </c>
      <c r="AD193" s="145"/>
      <c r="AE193" s="612"/>
      <c r="AF193" s="612"/>
      <c r="AG193" s="612"/>
      <c r="AH193" s="612"/>
    </row>
    <row r="194" spans="25:34" x14ac:dyDescent="0.2">
      <c r="Y194" s="66" t="s">
        <v>80</v>
      </c>
      <c r="Z194" s="34" t="str">
        <f t="shared" ca="1" si="72"/>
        <v/>
      </c>
      <c r="AA194" s="778">
        <f t="shared" ca="1" si="71"/>
        <v>0</v>
      </c>
      <c r="AB194" s="828" t="str">
        <f ca="1">IF(AA122&gt;0,AI122&amp;Sprache!$E$109&amp;AH122,"")</f>
        <v/>
      </c>
      <c r="AC194" s="609" t="str">
        <f ca="1">IF(AA122&gt;0,AK122&amp;Sprache!$E$109&amp;AJ122,"")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IF(AA123&gt;0,AI123&amp;Sprache!$E$109&amp;AH123,"")</f>
        <v/>
      </c>
      <c r="AC195" s="609" t="str">
        <f ca="1">IF(AA123&gt;0,AK123&amp;Sprache!$E$109&amp;AJ123,"")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1406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368</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446</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1">
        <f ca="1">IF($O$4&lt;10,$O$4,0)</f>
        <v>0</v>
      </c>
      <c r="X3" s="1032"/>
      <c r="Y3" s="1032"/>
      <c r="Z3" s="1032"/>
      <c r="AA3" s="1032"/>
      <c r="AB3" s="1031">
        <f ca="1">IF($P$4&lt;10,$P$4,0)</f>
        <v>0</v>
      </c>
      <c r="AC3" s="1032"/>
      <c r="AD3" s="1032"/>
      <c r="AE3" s="1032"/>
      <c r="AF3" s="1032"/>
      <c r="AG3" s="1031">
        <f ca="1">IF($Q$4&lt;10,$Q$4,0)</f>
        <v>0</v>
      </c>
      <c r="AH3" s="1032"/>
      <c r="AI3" s="1032"/>
      <c r="AJ3" s="1032"/>
      <c r="AK3" s="1032"/>
      <c r="AL3" s="1031">
        <f ca="1">IF($R$4&lt;10,$R$4,0)</f>
        <v>0</v>
      </c>
      <c r="AM3" s="1032"/>
      <c r="AN3" s="1032"/>
      <c r="AO3" s="1032"/>
      <c r="AP3" s="1032"/>
      <c r="AS3" s="27" t="s">
        <v>415</v>
      </c>
      <c r="AT3" s="27" t="s">
        <v>371</v>
      </c>
      <c r="AU3" s="27" t="s">
        <v>448</v>
      </c>
      <c r="AV3" s="27" t="s">
        <v>414</v>
      </c>
      <c r="AW3" s="27"/>
      <c r="AX3" s="27" t="s">
        <v>449</v>
      </c>
    </row>
    <row r="4" spans="1:50" s="2" customFormat="1" ht="12.75" thickTop="1" x14ac:dyDescent="0.2">
      <c r="A4" s="238"/>
      <c r="B4" s="1">
        <v>1</v>
      </c>
      <c r="C4" s="21">
        <f ca="1">RANK(D4,$D$4:$D$12,1)</f>
        <v>2</v>
      </c>
      <c r="D4" s="778">
        <f ca="1">E4+ROW()/1000+(F4="")*10</f>
        <v>2.004</v>
      </c>
      <c r="E4" s="249">
        <f ca="1">IF($AI$15,RANK(AH17,AH$17:AH$25,1),RANK(X17,X$17:X$25,1))</f>
        <v>2</v>
      </c>
      <c r="F4" s="1" t="str">
        <f>$Q64</f>
        <v>Kickers Rodendorf</v>
      </c>
      <c r="G4" s="1">
        <f t="shared" ref="G4:G12" ca="1" si="1">SUMIFS($X$64:$X$135,$V$64:$V$135,$F4)+SUMIFS($Y$64:$Y$135,$W$64:$W$135,$F4)+SUMIFS($AD$64:$AD$135,$V$64:$V$135,$F4)+SUMIFS($AE$64:$AE$135,$W$64:$W$135,$F4)</f>
        <v>174</v>
      </c>
      <c r="H4" s="1">
        <f t="shared" ref="H4:H12" ca="1" si="2">SUMIFS($Y$64:$Y$135,$V$64:$V$135,$F4)+SUMIFS($X$64:$X$135,$W$64:$W$135,$F4)+SUMIFS($AE$64:$AE$135,$V$64:$V$135,$F4)+SUMIFS($AD$64:$AD$135,$W$64:$W$135,$F4)</f>
        <v>163</v>
      </c>
      <c r="I4" s="778">
        <f ca="1">IF(Einstellungen!$G$24,G4-H4,IF(H4=0,IF(G4=0,0,Einstellungen!$F$24),G4/H4))</f>
        <v>11</v>
      </c>
      <c r="J4" s="1">
        <f ca="1">$L4*Einstellungen!$C$4+$M4</f>
        <v>4</v>
      </c>
      <c r="K4" s="1">
        <f ca="1">SUMPRODUCT(($V$64:$V$135=F4)*($AJ$64:$AJ$135&lt;&gt;"")*$AA$64:$AA$135)+SUMPRODUCT(($W$64:$W$135=F4)*($AK$64:$AK$135&lt;&gt;"")*$AA$64:$AA$135)</f>
        <v>4</v>
      </c>
      <c r="L4" s="1">
        <f ca="1">SUMPRODUCT(($V$64:$V$135=F4)*($AJ$64:$AJ$135&gt;$AK$64:$AK$135)*$AA$64:$AA$135)+SUMPRODUCT(($W$64:$W$135=F4)*($AJ$64:$AJ$135&lt;$AK$64:$AK$135)*$AA$64:$AA$135)</f>
        <v>1</v>
      </c>
      <c r="M4" s="1">
        <f t="shared" ref="M4:M12" ca="1" si="3">SUMPRODUCT(($V$64:$W$135=F4)*($AJ$64:$AJ$135=$AK$64:$AK$135)*$AA$64:$AA$135)</f>
        <v>2</v>
      </c>
      <c r="N4" s="1">
        <f ca="1">K4-L4-M4</f>
        <v>1</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4</v>
      </c>
      <c r="AT4" s="1">
        <f ca="1">SUMPRODUCT(($V$64:$V$135=F4)*$AJ$64:$AJ$135)+SUMPRODUCT(($W$64:$W$135=F4)*$AK$64:$AK$135)</f>
        <v>4</v>
      </c>
      <c r="AU4" s="1">
        <f ca="1">AT4-AS4</f>
        <v>0</v>
      </c>
      <c r="AV4" s="1">
        <f ca="1">IF(Einstellungen!$G$24,$I4,ROUND($I4,Einstellungen!$H$24))</f>
        <v>11</v>
      </c>
      <c r="AW4" s="1">
        <f ca="1">I4-(F4="")*10000</f>
        <v>11</v>
      </c>
      <c r="AX4" s="1">
        <f ca="1" xml:space="preserve"> RANK(AW4,$AW$4:$AW$12,1)</f>
        <v>8</v>
      </c>
    </row>
    <row r="5" spans="1:50" s="2" customFormat="1" x14ac:dyDescent="0.2">
      <c r="A5" s="238"/>
      <c r="B5" s="1">
        <v>2</v>
      </c>
      <c r="C5" s="22">
        <f t="shared" ref="C5:C12" ca="1" si="7">RANK(D5,$D$4:$D$12,1)</f>
        <v>1</v>
      </c>
      <c r="D5" s="778">
        <f t="shared" ref="D5:D12" ca="1" si="8">E5+ROW()/1000+(F5="")*10</f>
        <v>1.0049999999999999</v>
      </c>
      <c r="E5" s="249">
        <f t="shared" ref="E5:E12" ca="1" si="9">IF($AI$15,RANK(AH18,AH$17:AH$25,1),RANK(X18,X$17:X$25,1))</f>
        <v>1</v>
      </c>
      <c r="F5" s="1" t="str">
        <f t="shared" ref="F5:F12" si="10">$Q65</f>
        <v>Real Madrid</v>
      </c>
      <c r="G5" s="1">
        <f t="shared" ca="1" si="1"/>
        <v>183</v>
      </c>
      <c r="H5" s="1">
        <f t="shared" ca="1" si="2"/>
        <v>167</v>
      </c>
      <c r="I5" s="778">
        <f ca="1">IF(Einstellungen!$G$24,G5-H5,IF(H5=0,IF(G5=0,0,Einstellungen!$F$24),G5/H5))</f>
        <v>16</v>
      </c>
      <c r="J5" s="1">
        <f ca="1">$L5*Einstellungen!$C$4+$M5</f>
        <v>6</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3"/>
        <v>2</v>
      </c>
      <c r="N5" s="1">
        <f t="shared" ref="N5:N12" ca="1" si="13">K5-L5-M5</f>
        <v>0</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3</v>
      </c>
      <c r="AT5" s="1">
        <f t="shared" ref="AT5:AT12" ca="1" si="28">SUMPRODUCT(($V$64:$V$135=F5)*$AJ$64:$AJ$135)+SUMPRODUCT(($W$64:$W$135=F5)*$AK$64:$AK$135)</f>
        <v>6</v>
      </c>
      <c r="AU5" s="1">
        <f t="shared" ref="AU5:AU12" ca="1" si="29">AT5-AS5</f>
        <v>3</v>
      </c>
      <c r="AV5" s="1">
        <f ca="1">IF(Einstellungen!$G$24,$I5,ROUND($I5,Einstellungen!$H$24))</f>
        <v>16</v>
      </c>
      <c r="AW5" s="1">
        <f t="shared" ref="AW5:AW12" ca="1" si="30">I5-(F5="")*10000</f>
        <v>16</v>
      </c>
      <c r="AX5" s="1">
        <f t="shared" ref="AX5:AX12" ca="1" si="31" xml:space="preserve"> RANK(AW5,$AW$4:$AW$12,1)</f>
        <v>9</v>
      </c>
    </row>
    <row r="6" spans="1:50" s="2" customFormat="1" x14ac:dyDescent="0.2">
      <c r="A6" s="238"/>
      <c r="B6" s="1">
        <v>3</v>
      </c>
      <c r="C6" s="22">
        <f t="shared" ca="1" si="7"/>
        <v>3</v>
      </c>
      <c r="D6" s="778">
        <f t="shared" ca="1" si="8"/>
        <v>3.0059999999999998</v>
      </c>
      <c r="E6" s="249">
        <f t="shared" ca="1" si="9"/>
        <v>3</v>
      </c>
      <c r="F6" s="1" t="str">
        <f t="shared" si="10"/>
        <v>Borussia Dortmund</v>
      </c>
      <c r="G6" s="1">
        <f t="shared" ca="1" si="1"/>
        <v>174</v>
      </c>
      <c r="H6" s="1">
        <f t="shared" ca="1" si="2"/>
        <v>179</v>
      </c>
      <c r="I6" s="778">
        <f ca="1">IF(Einstellungen!$G$24,G6-H6,IF(H6=0,IF(G6=0,0,Einstellungen!$F$24),G6/H6))</f>
        <v>-5</v>
      </c>
      <c r="J6" s="1">
        <f ca="1">$L6*Einstellungen!$C$4+$M6</f>
        <v>4</v>
      </c>
      <c r="K6" s="1">
        <f t="shared" ca="1" si="11"/>
        <v>4</v>
      </c>
      <c r="L6" s="1">
        <f t="shared" ca="1" si="12"/>
        <v>1</v>
      </c>
      <c r="M6" s="1">
        <f t="shared" ca="1" si="3"/>
        <v>2</v>
      </c>
      <c r="N6" s="1">
        <f t="shared" ca="1" si="13"/>
        <v>1</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5</v>
      </c>
      <c r="AT6" s="1">
        <f t="shared" ca="1" si="28"/>
        <v>5</v>
      </c>
      <c r="AU6" s="1">
        <f t="shared" ca="1" si="29"/>
        <v>0</v>
      </c>
      <c r="AV6" s="1">
        <f ca="1">IF(Einstellungen!$G$24,$I6,ROUND($I6,Einstellungen!$H$24))</f>
        <v>-5</v>
      </c>
      <c r="AW6" s="1">
        <f t="shared" ca="1" si="30"/>
        <v>-5</v>
      </c>
      <c r="AX6" s="1">
        <f t="shared" ca="1" si="31"/>
        <v>6</v>
      </c>
    </row>
    <row r="7" spans="1:50" s="2" customFormat="1" x14ac:dyDescent="0.2">
      <c r="A7" s="238"/>
      <c r="B7" s="1">
        <v>4</v>
      </c>
      <c r="C7" s="22">
        <f t="shared" ca="1" si="7"/>
        <v>4</v>
      </c>
      <c r="D7" s="778">
        <f t="shared" ca="1" si="8"/>
        <v>4.0069999999999997</v>
      </c>
      <c r="E7" s="249">
        <f t="shared" ca="1" si="9"/>
        <v>4</v>
      </c>
      <c r="F7" s="1" t="str">
        <f t="shared" si="10"/>
        <v>FSV Rauen</v>
      </c>
      <c r="G7" s="1">
        <f t="shared" ca="1" si="1"/>
        <v>168</v>
      </c>
      <c r="H7" s="1">
        <f t="shared" ca="1" si="2"/>
        <v>171</v>
      </c>
      <c r="I7" s="778">
        <f ca="1">IF(Einstellungen!$G$24,G7-H7,IF(H7=0,IF(G7=0,0,Einstellungen!$F$24),G7/H7))</f>
        <v>-3</v>
      </c>
      <c r="J7" s="1">
        <f ca="1">$L7*Einstellungen!$C$4+$M7</f>
        <v>3</v>
      </c>
      <c r="K7" s="1">
        <f t="shared" ca="1" si="11"/>
        <v>4</v>
      </c>
      <c r="L7" s="1">
        <f t="shared" ca="1" si="12"/>
        <v>1</v>
      </c>
      <c r="M7" s="1">
        <f t="shared" ca="1" si="3"/>
        <v>1</v>
      </c>
      <c r="N7" s="1">
        <f t="shared" ca="1" si="13"/>
        <v>2</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5</v>
      </c>
      <c r="AT7" s="1">
        <f t="shared" ca="1" si="28"/>
        <v>4</v>
      </c>
      <c r="AU7" s="1">
        <f t="shared" ca="1" si="29"/>
        <v>-1</v>
      </c>
      <c r="AV7" s="1">
        <f ca="1">IF(Einstellungen!$G$24,$I7,ROUND($I7,Einstellungen!$H$24))</f>
        <v>-3</v>
      </c>
      <c r="AW7" s="1">
        <f t="shared" ca="1" si="30"/>
        <v>-3</v>
      </c>
      <c r="AX7" s="1">
        <f t="shared" ca="1" si="31"/>
        <v>7</v>
      </c>
    </row>
    <row r="8" spans="1:50" s="2" customFormat="1" x14ac:dyDescent="0.2">
      <c r="A8" s="238"/>
      <c r="B8" s="1">
        <v>5</v>
      </c>
      <c r="C8" s="22">
        <f t="shared" ca="1" si="7"/>
        <v>5</v>
      </c>
      <c r="D8" s="778">
        <f t="shared" ca="1" si="8"/>
        <v>5.008</v>
      </c>
      <c r="E8" s="249">
        <f t="shared" ca="1" si="9"/>
        <v>5</v>
      </c>
      <c r="F8" s="1" t="str">
        <f t="shared" si="10"/>
        <v>1. FC Nürnberg</v>
      </c>
      <c r="G8" s="1">
        <f t="shared" ca="1" si="1"/>
        <v>165</v>
      </c>
      <c r="H8" s="1">
        <f t="shared" ca="1" si="2"/>
        <v>184</v>
      </c>
      <c r="I8" s="778">
        <f ca="1">IF(Einstellungen!$G$24,G8-H8,IF(H8=0,IF(G8=0,0,Einstellungen!$F$24),G8/H8))</f>
        <v>-19</v>
      </c>
      <c r="J8" s="1">
        <f ca="1">$L8*Einstellungen!$C$4+$M8</f>
        <v>3</v>
      </c>
      <c r="K8" s="1">
        <f t="shared" ca="1" si="11"/>
        <v>4</v>
      </c>
      <c r="L8" s="1">
        <f t="shared" ca="1" si="12"/>
        <v>1</v>
      </c>
      <c r="M8" s="1">
        <f t="shared" ca="1" si="3"/>
        <v>1</v>
      </c>
      <c r="N8" s="1">
        <f t="shared" ca="1" si="13"/>
        <v>2</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5</v>
      </c>
      <c r="AT8" s="1">
        <f t="shared" ca="1" si="28"/>
        <v>3</v>
      </c>
      <c r="AU8" s="1">
        <f t="shared" ca="1" si="29"/>
        <v>-2</v>
      </c>
      <c r="AV8" s="1">
        <f ca="1">IF(Einstellungen!$G$24,$I8,ROUND($I8,Einstellungen!$H$24))</f>
        <v>-19</v>
      </c>
      <c r="AW8" s="1">
        <f t="shared" ca="1" si="30"/>
        <v>-19</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IF(Einstellungen!$G$24,G9-H9,IF(H9=0,IF(G9=0,0,Einstellungen!$F$24),G9/H9))</f>
        <v>0</v>
      </c>
      <c r="J9" s="1">
        <f ca="1">$L9*Einstellungen!$C$4+$M9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1.0609</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IF(Einstellungen!$G$24,$I9,ROUND($I9,Einstellungen!$H$24))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IF(Einstellungen!$G$24,G10-H10,IF(H10=0,IF(G10=0,0,Einstellungen!$F$24),G10/H10))</f>
        <v>0</v>
      </c>
      <c r="J10" s="1">
        <f ca="1">$L10*Einstellungen!$C$4+$M10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IF(Einstellungen!$G$24,$I10,ROUND($I10,Einstellungen!$H$24))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IF(Einstellungen!$G$24,G11-H11,IF(H11=0,IF(G11=0,0,Einstellungen!$F$24),G11/H11))</f>
        <v>0</v>
      </c>
      <c r="J11" s="1">
        <f ca="1">$L11*Einstellungen!$C$4+$M11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1.0611000000000002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IF(Einstellungen!$G$24,$I11,ROUND($I11,Einstellungen!$H$24))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IF(Einstellungen!$G$24,G12-H12,IF(H12=0,IF(G12=0,0,Einstellungen!$F$24),G12/H12))</f>
        <v>0</v>
      </c>
      <c r="J12" s="1">
        <f ca="1">$L12*Einstellungen!$C$4+$M12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IF(Einstellungen!$G$24,$I12,ROUND($I12,Einstellungen!$H$24))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447</v>
      </c>
      <c r="L16" s="11" t="s">
        <v>380</v>
      </c>
      <c r="M16" s="69" t="s">
        <v>96</v>
      </c>
      <c r="N16" s="69" t="s">
        <v>14</v>
      </c>
      <c r="O16" s="30">
        <v>1</v>
      </c>
      <c r="P16" s="1">
        <v>2</v>
      </c>
      <c r="Q16" s="1">
        <v>3</v>
      </c>
      <c r="R16" s="1">
        <v>4</v>
      </c>
      <c r="S16" s="1">
        <v>5</v>
      </c>
      <c r="T16" s="1">
        <v>6</v>
      </c>
      <c r="U16" s="1">
        <v>7</v>
      </c>
      <c r="V16" s="1">
        <v>8</v>
      </c>
      <c r="W16" s="11" t="s">
        <v>98</v>
      </c>
      <c r="X16" s="186" t="s">
        <v>163</v>
      </c>
      <c r="Y16" s="11" t="s">
        <v>450</v>
      </c>
      <c r="Z16" s="186" t="s">
        <v>451</v>
      </c>
      <c r="AA16" s="1" t="s">
        <v>371</v>
      </c>
      <c r="AB16" s="1" t="s">
        <v>108</v>
      </c>
      <c r="AC16" s="1" t="s">
        <v>106</v>
      </c>
      <c r="AD16" s="783" t="s">
        <v>452</v>
      </c>
      <c r="AE16" s="779"/>
      <c r="AF16" s="778"/>
      <c r="AG16" s="778"/>
      <c r="AH16" s="780"/>
      <c r="AI16" s="4"/>
    </row>
    <row r="17" spans="2:80" s="2" customFormat="1" ht="12.75" thickTop="1" x14ac:dyDescent="0.2">
      <c r="C17" s="2" t="str">
        <f>$Q64</f>
        <v>Kickers Rodendorf</v>
      </c>
      <c r="D17" s="1">
        <f t="shared" ref="D17:G25" ca="1" si="36">K4</f>
        <v>4</v>
      </c>
      <c r="E17" s="1">
        <f t="shared" ca="1" si="36"/>
        <v>1</v>
      </c>
      <c r="F17" s="1">
        <f t="shared" ca="1" si="36"/>
        <v>2</v>
      </c>
      <c r="G17" s="1">
        <f t="shared" ca="1" si="36"/>
        <v>1</v>
      </c>
      <c r="H17" s="1">
        <f t="shared" ref="H17:J25" ca="1" si="37">G4</f>
        <v>174</v>
      </c>
      <c r="I17" s="1">
        <f t="shared" ca="1" si="37"/>
        <v>163</v>
      </c>
      <c r="J17" s="778">
        <f t="shared" ca="1" si="37"/>
        <v>11</v>
      </c>
      <c r="K17" s="1">
        <f ca="1">IF(Einstellungen!$G$9,J4,$AT4)</f>
        <v>4</v>
      </c>
      <c r="L17" s="29">
        <f ca="1">K17*$F$64+(AU4+$H$65)*$F$65*Einstellungen!$G$14+AT4*$F$66*Einstellungen!$G$19+AX4*$F$67</f>
        <v>4000000.0079999999</v>
      </c>
      <c r="M17" s="14">
        <f ca="1">IF($AI$15,COUNTIF($K$17:$K$25,K17),COUNTIF($L$17:$L$25,L17))</f>
        <v>1</v>
      </c>
      <c r="N17" s="14">
        <f t="array" aca="1" ref="N17" ca="1">IF($AI$15,SUM(($K$17:$K$25&gt;=K17)/COUNTIF($K$17:$K$25,$K$17:$K$25)),SUM(($L$17:$L$25&gt;=L17)/COUNTIF($L$17:$L$25,$L$17:$L$25)))</f>
        <v>2</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2.0108999999999999</v>
      </c>
      <c r="Y17" s="778">
        <f>Vorrunde!$AX32+$AD17</f>
        <v>0</v>
      </c>
      <c r="Z17" s="1">
        <f ca="1">RANK($W17,$W$17:$W$25)+(9-$Y17)/10</f>
        <v>1.9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Real Madrid</v>
      </c>
      <c r="D18" s="1">
        <f t="shared" ca="1" si="36"/>
        <v>4</v>
      </c>
      <c r="E18" s="1">
        <f t="shared" ca="1" si="36"/>
        <v>2</v>
      </c>
      <c r="F18" s="1">
        <f t="shared" ca="1" si="36"/>
        <v>2</v>
      </c>
      <c r="G18" s="1">
        <f t="shared" ca="1" si="36"/>
        <v>0</v>
      </c>
      <c r="H18" s="1">
        <f t="shared" ca="1" si="37"/>
        <v>183</v>
      </c>
      <c r="I18" s="1">
        <f t="shared" ca="1" si="37"/>
        <v>167</v>
      </c>
      <c r="J18" s="778">
        <f t="shared" ca="1" si="37"/>
        <v>16</v>
      </c>
      <c r="K18" s="1">
        <f ca="1">IF(Einstellungen!$G$9,J5,$AT5)</f>
        <v>6</v>
      </c>
      <c r="L18" s="29">
        <f ca="1">K18*$F$64+(AU5+$H$65)*$F$65*Einstellungen!$G$14+AT5*$F$66*Einstellungen!$G$19+AX5*$F$67</f>
        <v>6000000.0089999996</v>
      </c>
      <c r="M18" s="14">
        <f t="shared" ref="M18:M25" ca="1" si="47">IF($AI$15,COUNTIF($K$17:$K$25,K18),COUNTIF($L$17:$L$25,L18))</f>
        <v>1</v>
      </c>
      <c r="N18" s="14">
        <f t="array" aca="1" ref="N18" ca="1">IF($AI$15,SUM(($K$17:$K$25&gt;=K18)/COUNTIF($K$17:$K$25,$K$17:$K$25)),SUM(($L$17:$L$25&gt;=L18)/COUNTIF($L$17:$L$25,$L$17:$L$25)))</f>
        <v>1</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1.0108999999999999</v>
      </c>
      <c r="Y18" s="827">
        <f>Vorrunde!$AX33+$AD18</f>
        <v>0</v>
      </c>
      <c r="Z18" s="1">
        <f t="shared" ref="Z18:Z25" ca="1" si="50">RANK($W18,$W$17:$W$25)+(9-$Y18)/10</f>
        <v>1.9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Borussia Dortmund</v>
      </c>
      <c r="D19" s="1">
        <f t="shared" ca="1" si="36"/>
        <v>4</v>
      </c>
      <c r="E19" s="1">
        <f t="shared" ca="1" si="36"/>
        <v>1</v>
      </c>
      <c r="F19" s="1">
        <f t="shared" ca="1" si="36"/>
        <v>2</v>
      </c>
      <c r="G19" s="1">
        <f t="shared" ca="1" si="36"/>
        <v>1</v>
      </c>
      <c r="H19" s="1">
        <f t="shared" ca="1" si="37"/>
        <v>174</v>
      </c>
      <c r="I19" s="1">
        <f t="shared" ca="1" si="37"/>
        <v>179</v>
      </c>
      <c r="J19" s="778">
        <f t="shared" ca="1" si="37"/>
        <v>-5</v>
      </c>
      <c r="K19" s="1">
        <f ca="1">IF(Einstellungen!$G$9,J6,$AT6)</f>
        <v>4</v>
      </c>
      <c r="L19" s="29">
        <f ca="1">K19*$F$64+(AU6+$H$65)*$F$65*Einstellungen!$G$14+AT6*$F$66*Einstellungen!$G$19+AX6*$F$67</f>
        <v>4000000.0060000001</v>
      </c>
      <c r="M19" s="14">
        <f t="shared" ca="1" si="47"/>
        <v>1</v>
      </c>
      <c r="N19" s="14">
        <f t="array" aca="1" ref="N19" ca="1">IF($AI$15,SUM(($K$17:$K$25&gt;=K19)/COUNTIF($K$17:$K$25,$K$17:$K$25)),SUM(($L$17:$L$25&gt;=L19)/COUNTIF($L$17:$L$25,$L$17:$L$25)))</f>
        <v>3</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3.0108999999999999</v>
      </c>
      <c r="Y19" s="827">
        <f>Vorrunde!$AX34+$AD19</f>
        <v>0</v>
      </c>
      <c r="Z19" s="1">
        <f t="shared" ca="1" si="50"/>
        <v>1.9</v>
      </c>
      <c r="AA19" s="1">
        <f t="shared" ca="1" si="51"/>
        <v>0</v>
      </c>
      <c r="AB19" s="1">
        <f t="shared" ca="1" si="52"/>
        <v>0</v>
      </c>
      <c r="AC19" s="1">
        <f t="shared" ca="1" si="53"/>
        <v>0</v>
      </c>
      <c r="AD19" s="778">
        <f>IF($C19="",0,COUNTIF(Playoffs!$U$12:$U$17,$C19))</f>
        <v>0</v>
      </c>
      <c r="AE19" s="29"/>
      <c r="AF19" s="778"/>
      <c r="AG19" s="778"/>
      <c r="AH19" s="781"/>
      <c r="AI19" s="778"/>
    </row>
    <row r="20" spans="2:80" s="2" customFormat="1" x14ac:dyDescent="0.2">
      <c r="C20" s="2" t="str">
        <f t="shared" si="46"/>
        <v>FSV Rauen</v>
      </c>
      <c r="D20" s="1">
        <f t="shared" ca="1" si="36"/>
        <v>4</v>
      </c>
      <c r="E20" s="1">
        <f t="shared" ca="1" si="36"/>
        <v>1</v>
      </c>
      <c r="F20" s="1">
        <f t="shared" ca="1" si="36"/>
        <v>1</v>
      </c>
      <c r="G20" s="1">
        <f t="shared" ca="1" si="36"/>
        <v>2</v>
      </c>
      <c r="H20" s="1">
        <f t="shared" ca="1" si="37"/>
        <v>168</v>
      </c>
      <c r="I20" s="1">
        <f t="shared" ca="1" si="37"/>
        <v>171</v>
      </c>
      <c r="J20" s="778">
        <f t="shared" ca="1" si="37"/>
        <v>-3</v>
      </c>
      <c r="K20" s="1">
        <f ca="1">IF(Einstellungen!$G$9,J7,$AT7)</f>
        <v>3</v>
      </c>
      <c r="L20" s="29">
        <f ca="1">K20*$F$64+(AU7+$H$65)*$F$65*Einstellungen!$G$14+AT7*$F$66*Einstellungen!$G$19+AX7*$F$67</f>
        <v>3000000.0070000002</v>
      </c>
      <c r="M20" s="14">
        <f t="shared" ca="1" si="47"/>
        <v>1</v>
      </c>
      <c r="N20" s="14">
        <f t="array" aca="1" ref="N20" ca="1">IF($AI$15,SUM(($K$17:$K$25&gt;=K20)/COUNTIF($K$17:$K$25,$K$17:$K$25)),SUM(($L$17:$L$25&gt;=L20)/COUNTIF($L$17:$L$25,$L$17:$L$25)))</f>
        <v>4</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4.0108999999999995</v>
      </c>
      <c r="Y20" s="827">
        <f>Vorrunde!$AX35+$AD20</f>
        <v>0</v>
      </c>
      <c r="Z20" s="1">
        <f t="shared" ca="1" si="50"/>
        <v>1.9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1. FC Nürnberg</v>
      </c>
      <c r="D21" s="1">
        <f t="shared" ca="1" si="36"/>
        <v>4</v>
      </c>
      <c r="E21" s="1">
        <f t="shared" ca="1" si="36"/>
        <v>1</v>
      </c>
      <c r="F21" s="1">
        <f t="shared" ca="1" si="36"/>
        <v>1</v>
      </c>
      <c r="G21" s="1">
        <f t="shared" ca="1" si="36"/>
        <v>2</v>
      </c>
      <c r="H21" s="1">
        <f t="shared" ca="1" si="37"/>
        <v>165</v>
      </c>
      <c r="I21" s="1">
        <f t="shared" ca="1" si="37"/>
        <v>184</v>
      </c>
      <c r="J21" s="778">
        <f t="shared" ca="1" si="37"/>
        <v>-19</v>
      </c>
      <c r="K21" s="1">
        <f ca="1">IF(Einstellungen!$G$9,J8,$AT8)</f>
        <v>3</v>
      </c>
      <c r="L21" s="29">
        <f ca="1">K21*$F$64+(AU8+$H$65)*$F$65*Einstellungen!$G$14+AT8*$F$66*Einstellungen!$G$19+AX8*$F$67</f>
        <v>3000000.0049999999</v>
      </c>
      <c r="M21" s="14">
        <f t="shared" ca="1" si="47"/>
        <v>1</v>
      </c>
      <c r="N21" s="14">
        <f t="array" aca="1" ref="N21" ca="1">IF($AI$15,SUM(($K$17:$K$25&gt;=K21)/COUNTIF($K$17:$K$25,$K$17:$K$25)),SUM(($L$17:$L$25&gt;=L21)/COUNTIF($L$17:$L$25,$L$17:$L$25)))</f>
        <v>5</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5.0108999999999995</v>
      </c>
      <c r="Y21" s="827">
        <f>Vorrunde!$AX36+$AD21</f>
        <v>0</v>
      </c>
      <c r="Z21" s="1">
        <f t="shared" ca="1" si="50"/>
        <v>1.9</v>
      </c>
      <c r="AA21" s="1">
        <f t="shared" ca="1" si="51"/>
        <v>0</v>
      </c>
      <c r="AB21" s="1">
        <f t="shared" ca="1" si="52"/>
        <v>0</v>
      </c>
      <c r="AC21" s="1">
        <f t="shared" ca="1" si="53"/>
        <v>0</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IF(Einstellungen!$G$9,J9,$AT9)</f>
        <v>0</v>
      </c>
      <c r="L22" s="29">
        <f ca="1">K22*$F$64+(AU9+$H$65)*$F$65*Einstellungen!$G$14+AT9*$F$66*Einstellungen!$G$19+AX9*$F$67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827">
        <f>Vorrunde!$AX37+$AD22</f>
        <v>0</v>
      </c>
      <c r="Z22" s="1">
        <f t="shared" ca="1" si="50"/>
        <v>1.9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IF(Einstellungen!$G$9,J10,$AT10)</f>
        <v>0</v>
      </c>
      <c r="L23" s="29">
        <f ca="1">K23*$F$64+(AU10+$H$65)*$F$65*Einstellungen!$G$14+AT10*$F$66*Einstellungen!$G$19+AX10*$F$67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78">
        <v>0</v>
      </c>
      <c r="Z23" s="1">
        <f t="shared" ca="1" si="50"/>
        <v>1.9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IF(Einstellungen!$G$9,J11,$AT11)</f>
        <v>0</v>
      </c>
      <c r="L24" s="29">
        <f ca="1">K24*$F$64+(AU11+$H$65)*$F$65*Einstellungen!$G$14+AT11*$F$66*Einstellungen!$G$19+AX11*$F$67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IF(Einstellungen!$G$9,J12,$AT12)</f>
        <v>0</v>
      </c>
      <c r="L25" s="29">
        <f ca="1">K25*$F$64+(AU12+$H$65)*$F$65*Einstellungen!$G$14+AT12*$F$66*Einstellungen!$G$19+AX12*$F$67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444</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778"/>
      <c r="BR29" s="5" t="s">
        <v>94</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1"/>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Kickers Rodendorf</v>
      </c>
      <c r="BS30" s="7"/>
      <c r="BT30" s="8">
        <f t="shared" ref="BT30:CA30" ca="1" si="55">SUMIFS($AH$64:$AH$135,$V$64:$V$135,$BR30,$W$64:$W$135,BT$29)+SUMIFS($AI$64:$AI$135,$W$64:$W$135,$BR30,$V$64:$V$135,BT$29)</f>
        <v>38</v>
      </c>
      <c r="BU30" s="8">
        <f t="shared" ca="1" si="55"/>
        <v>44</v>
      </c>
      <c r="BV30" s="8">
        <f t="shared" ca="1" si="55"/>
        <v>50</v>
      </c>
      <c r="BW30" s="8">
        <f t="shared" ca="1" si="55"/>
        <v>42</v>
      </c>
      <c r="BX30" s="8">
        <f t="shared" ca="1" si="55"/>
        <v>0</v>
      </c>
      <c r="BY30" s="8">
        <f t="shared" ca="1" si="55"/>
        <v>0</v>
      </c>
      <c r="BZ30" s="8">
        <f t="shared" ca="1" si="55"/>
        <v>0</v>
      </c>
      <c r="CA30" s="8">
        <f t="shared" ca="1" si="55"/>
        <v>0</v>
      </c>
      <c r="CB30" s="4"/>
    </row>
    <row r="31" spans="2:80" s="2" customFormat="1" x14ac:dyDescent="0.2">
      <c r="C31" s="2" t="str">
        <f t="shared" ref="C31:C38" si="56">$Q65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Real Madrid</v>
      </c>
      <c r="BS31" s="9">
        <f t="shared" ref="BS31:BS38" ca="1" si="57">SUMIFS($AH$64:$AH$135,$V$64:$V$135,$BR31,$W$64:$W$135,BS$29)+SUMIFS($AI$64:$AI$135,$W$64:$W$135,$BR31,$V$64:$V$135,BS$29)</f>
        <v>45</v>
      </c>
      <c r="BT31" s="7"/>
      <c r="BU31" s="8">
        <f t="shared" ref="BU31:CA31" ca="1" si="58">SUMIFS($AH$64:$AH$135,$V$64:$V$135,$BR31,$W$64:$W$135,BU$29)+SUMIFS($AI$64:$AI$135,$W$64:$W$135,$BR31,$V$64:$V$135,BU$29)</f>
        <v>71</v>
      </c>
      <c r="BV31" s="8">
        <f t="shared" ca="1" si="58"/>
        <v>42</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Borussia Dortmund</v>
      </c>
      <c r="BS32" s="9">
        <f t="shared" ca="1" si="57"/>
        <v>45</v>
      </c>
      <c r="BT32" s="9">
        <f t="shared" ref="BT32:BT38" ca="1" si="59">SUMIFS($AH$64:$AH$135,$V$64:$V$135,$BR32,$W$64:$W$135,BT$29)+SUMIFS($AI$64:$AI$135,$W$64:$W$135,$BR32,$V$64:$V$135,BT$29)</f>
        <v>62</v>
      </c>
      <c r="BU32" s="7"/>
      <c r="BV32" s="8">
        <f t="shared" ref="BV32:CA32" ca="1" si="60">SUMIFS($AH$64:$AH$135,$V$64:$V$135,$BR32,$W$64:$W$135,BV$29)+SUMIFS($AI$64:$AI$135,$W$64:$W$135,$BR32,$V$64:$V$135,BV$29)</f>
        <v>70</v>
      </c>
      <c r="BW32" s="8">
        <f t="shared" ca="1" si="60"/>
        <v>42</v>
      </c>
      <c r="BX32" s="8">
        <f t="shared" ca="1" si="60"/>
        <v>0</v>
      </c>
      <c r="BY32" s="8">
        <f t="shared" ca="1" si="60"/>
        <v>0</v>
      </c>
      <c r="BZ32" s="8">
        <f t="shared" ca="1" si="60"/>
        <v>0</v>
      </c>
      <c r="CA32" s="8">
        <f t="shared" ca="1" si="60"/>
        <v>0</v>
      </c>
      <c r="CB32" s="4"/>
    </row>
    <row r="33" spans="2:80" s="2" customFormat="1" x14ac:dyDescent="0.2">
      <c r="C33" s="2" t="str">
        <f t="shared" si="56"/>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FSV Rauen</v>
      </c>
      <c r="BS33" s="9">
        <f t="shared" ca="1" si="57"/>
        <v>23</v>
      </c>
      <c r="BT33" s="9">
        <f t="shared" ca="1" si="59"/>
        <v>47</v>
      </c>
      <c r="BU33" s="9">
        <f t="shared" ref="BU33:BU38" ca="1" si="61">SUMIFS($AH$64:$AH$135,$V$64:$V$135,$BR33,$W$64:$W$135,BU$29)+SUMIFS($AI$64:$AI$135,$W$64:$W$135,$BR33,$V$64:$V$135,BU$29)</f>
        <v>61</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1. FC Nürnberg</v>
      </c>
      <c r="BS34" s="9">
        <f t="shared" ca="1" si="57"/>
        <v>50</v>
      </c>
      <c r="BT34" s="9">
        <f t="shared" ca="1" si="59"/>
        <v>40</v>
      </c>
      <c r="BU34" s="9">
        <f t="shared" ca="1" si="61"/>
        <v>41</v>
      </c>
      <c r="BV34" s="9">
        <f ca="1">SUMIFS($AH$64:$AH$135,$V$64:$V$135,$BR34,$W$64:$W$135,BV$29)+SUMIFS($AI$64:$AI$135,$W$64:$W$135,$BR34,$V$64:$V$135,BV$29)</f>
        <v>34</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Kickers Rodendorf</v>
      </c>
      <c r="BS41" s="7"/>
      <c r="BT41" s="8">
        <f ca="1">BT30-BS31</f>
        <v>-7</v>
      </c>
      <c r="BU41" s="8">
        <f ca="1">BU30-BS32</f>
        <v>-1</v>
      </c>
      <c r="BV41" s="8">
        <f ca="1">BV30-BS33</f>
        <v>27</v>
      </c>
      <c r="BW41" s="8">
        <f ca="1">BW30-BS34</f>
        <v>-8</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Real Madrid</v>
      </c>
      <c r="BS42" s="9">
        <f ca="1">IF(BT41="","",-1*BT41)</f>
        <v>7</v>
      </c>
      <c r="BT42" s="7"/>
      <c r="BU42" s="8">
        <f ca="1">BU31-BT32</f>
        <v>9</v>
      </c>
      <c r="BV42" s="8">
        <f ca="1">BV31-BT33</f>
        <v>-5</v>
      </c>
      <c r="BW42" s="8">
        <f ca="1">BW31-BT34</f>
        <v>10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Borussia Dortmund</v>
      </c>
      <c r="BS43" s="9">
        <f ca="1">IF(BU41="","",-1*BU41)</f>
        <v>1</v>
      </c>
      <c r="BT43" s="9">
        <f ca="1">IF(BU42="","",-1*BU42)</f>
        <v>-9</v>
      </c>
      <c r="BU43" s="7"/>
      <c r="BV43" s="8">
        <f ca="1">BV32-BU33</f>
        <v>9</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FSV Rauen</v>
      </c>
      <c r="BS44" s="9">
        <f ca="1">IF(BV41="","",-1*BV41)</f>
        <v>-27</v>
      </c>
      <c r="BT44" s="9">
        <f ca="1">IF(BV42="","",-1*BV42)</f>
        <v>5</v>
      </c>
      <c r="BU44" s="9">
        <f ca="1">IF(BV43="","",-1*BV43)</f>
        <v>-9</v>
      </c>
      <c r="BV44" s="7"/>
      <c r="BW44" s="8">
        <f ca="1">BW33-BV34</f>
        <v>16</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1. FC Nürnberg</v>
      </c>
      <c r="BS45" s="9">
        <f ca="1">IF(BW41="","",-1*BW41)</f>
        <v>8</v>
      </c>
      <c r="BT45" s="9">
        <f ca="1">IF(BW42="","",-1*BW42)</f>
        <v>-10</v>
      </c>
      <c r="BU45" s="9">
        <f ca="1">IF(BW43="","",-1*BW43)</f>
        <v>-1</v>
      </c>
      <c r="BV45" s="9">
        <f ca="1">IF(BW44="","",-1*BW44)</f>
        <v>-16</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Kickers Rodendorf</v>
      </c>
      <c r="BS52" s="7"/>
      <c r="BT52" s="8">
        <f t="shared" ref="BT52:CA54" ca="1" si="65">SUMIFS($AJ$64:$AJ$135,$V$64:$V$135,$BR52,$W$64:$W$135,BT$51)+SUMIFS($AK$64:$AK$135,$W$64:$W$135,$BR52,$V$64:$V$135,BT$51)</f>
        <v>1</v>
      </c>
      <c r="BU52" s="8">
        <f t="shared" ca="1" si="65"/>
        <v>1</v>
      </c>
      <c r="BV52" s="8">
        <f t="shared" ca="1" si="65"/>
        <v>2</v>
      </c>
      <c r="BW52" s="8">
        <f t="shared" ca="1" si="65"/>
        <v>0</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Real Madrid</v>
      </c>
      <c r="BS53" s="9">
        <f t="shared" ref="BS53:BU60" ca="1" si="66">SUMIFS($AJ$64:$AJ$135,$V$64:$V$135,$BR53,$W$64:$W$135,BS$51)+SUMIFS($AK$64:$AK$135,$W$64:$W$135,$BR53,$V$64:$V$135,BS$51)</f>
        <v>1</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Borussia Dortmund</v>
      </c>
      <c r="BS54" s="9">
        <f t="shared" ca="1" si="66"/>
        <v>1</v>
      </c>
      <c r="BT54" s="9">
        <f t="shared" ca="1" si="66"/>
        <v>1</v>
      </c>
      <c r="BU54" s="7"/>
      <c r="BV54" s="8">
        <f t="shared" ca="1" si="65"/>
        <v>2</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FSV Rauen</v>
      </c>
      <c r="BS55" s="9">
        <f t="shared" ca="1" si="66"/>
        <v>0</v>
      </c>
      <c r="BT55" s="9">
        <f t="shared" ca="1" si="66"/>
        <v>1</v>
      </c>
      <c r="BU55" s="9">
        <f t="shared" ca="1" si="66"/>
        <v>1</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1. FC Nürnberg</v>
      </c>
      <c r="BS56" s="9">
        <f t="shared" ca="1" si="66"/>
        <v>2</v>
      </c>
      <c r="BT56" s="9">
        <f t="shared" ca="1" si="66"/>
        <v>0</v>
      </c>
      <c r="BU56" s="9">
        <f t="shared" ca="1" si="66"/>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33" t="s">
        <v>366</v>
      </c>
      <c r="Y63" s="1033"/>
      <c r="Z63" s="69" t="s">
        <v>150</v>
      </c>
      <c r="AA63" s="69" t="s">
        <v>15</v>
      </c>
      <c r="AB63" s="69" t="s">
        <v>445</v>
      </c>
      <c r="AC63" s="776" t="s">
        <v>444</v>
      </c>
      <c r="AD63" s="1034" t="s">
        <v>367</v>
      </c>
      <c r="AE63" s="1034"/>
      <c r="AF63" s="1034" t="s">
        <v>374</v>
      </c>
      <c r="AG63" s="1034"/>
      <c r="AH63" s="1034" t="s">
        <v>445</v>
      </c>
      <c r="AI63" s="1034"/>
      <c r="AJ63" s="1030" t="s">
        <v>444</v>
      </c>
      <c r="AK63" s="1030"/>
      <c r="AL63" s="1034" t="s">
        <v>109</v>
      </c>
      <c r="AM63" s="1034"/>
      <c r="AN63" s="681"/>
    </row>
    <row r="64" spans="2:80" s="2" customFormat="1" ht="14.25" thickTop="1" thickBot="1" x14ac:dyDescent="0.25">
      <c r="F64" s="767">
        <v>1000000</v>
      </c>
      <c r="G64" s="770" t="s">
        <v>440</v>
      </c>
      <c r="P64" s="44" t="s">
        <v>6</v>
      </c>
      <c r="Q64" s="59" t="str">
        <f>IF(Planung!$C$41="","",Planung!$C$41)</f>
        <v>Kickers Rodendorf</v>
      </c>
      <c r="U64" s="65" t="s">
        <v>6</v>
      </c>
      <c r="V64" s="39" t="str">
        <f ca="1">Planung!$L6</f>
        <v>VFB Essenheim</v>
      </c>
      <c r="W64" s="32" t="str">
        <f ca="1">Planung!$N6</f>
        <v>FC Barcelona</v>
      </c>
      <c r="X64" s="32">
        <f ca="1">IF(AND($AA64=1,Vorrunde!$I12&lt;&gt;"",Vorrunde!$K12&lt;&gt;"",ABS(Vorrunde!$I12-Vorrunde!$K12)&gt;1),Vorrunde!$I12,"")</f>
        <v>25</v>
      </c>
      <c r="Y64" s="33">
        <f ca="1">IF(AND($AA64=1,Vorrunde!$I12&lt;&gt;"",Vorrunde!$K12&lt;&gt;"",ABS(Vorrunde!$I12-Vorrunde!$K12)&gt;1),Vorrunde!$K12,"")</f>
        <v>19</v>
      </c>
      <c r="Z64" s="31" t="str">
        <f ca="1">V64&amp;W64</f>
        <v>VFB EssenheimFC Barcelona</v>
      </c>
      <c r="AA64" s="32">
        <f ca="1">IF(AND(V64&lt;&gt;"",W64&lt;&gt;"",V64&lt;&gt;W64,Vorrunde!$R12&lt;&gt;"",Vorrunde!$T12&lt;&gt;""),1,0)</f>
        <v>1</v>
      </c>
      <c r="AB64" s="139" t="str">
        <f ca="1">IF(AA64&gt;0,AH64&amp;Sprache!$E$109&amp;AI64,"")</f>
        <v>57 : 69</v>
      </c>
      <c r="AC64" s="140" t="str">
        <f ca="1">IF(AA64&gt;0,AJ64&amp;Sprache!$E$109&amp;AK64,"")</f>
        <v>1 : 2</v>
      </c>
      <c r="AD64" s="144">
        <f ca="1">IF(AND($AA64=1,Vorrunde!$L12&lt;&gt;"",Vorrunde!$N12&lt;&gt;"",ABS(Vorrunde!$L12-Vorrunde!$N12)&gt;1),Vorrunde!$L12,"")</f>
        <v>18</v>
      </c>
      <c r="AE64" s="140">
        <f ca="1">IF(AND($AA64=1,Vorrunde!$L12&lt;&gt;"",Vorrunde!$N12&lt;&gt;"",ABS(Vorrunde!$L12-Vorrunde!$N12)&gt;1),Vorrunde!$N12,"")</f>
        <v>25</v>
      </c>
      <c r="AF64" s="144">
        <f ca="1">IF(AND($AA64=1,Vorrunde!$O12&lt;&gt;"",Vorrunde!$Q12&lt;&gt;"",ABS(Vorrunde!$O12-Vorrunde!$Q12)&gt;1),Vorrunde!$O12,"")</f>
        <v>14</v>
      </c>
      <c r="AG64" s="140">
        <f ca="1">IF(AND($AA64=1,Vorrunde!$O12&lt;&gt;"",Vorrunde!$Q12&lt;&gt;"",ABS(Vorrunde!$O12-Vorrunde!$Q12)&gt;1),Vorrunde!$Q12,"")</f>
        <v>25</v>
      </c>
      <c r="AH64" s="144">
        <f ca="1">IF(AA64&gt;0,SUM(X64,AD64,AF64),"")</f>
        <v>57</v>
      </c>
      <c r="AI64" s="140">
        <f ca="1">IF(AA64&gt;0,SUM(Y64,AE64,AG64),"")</f>
        <v>69</v>
      </c>
      <c r="AJ64" s="144">
        <f ca="1">IF(Vorrunde!$R12="",0,Vorrunde!$R12)</f>
        <v>1</v>
      </c>
      <c r="AK64" s="140">
        <f ca="1">IF(Vorrunde!$T12="",0,Vorrunde!$T12)</f>
        <v>2</v>
      </c>
      <c r="AL64" s="144">
        <f ca="1">IF($AA64=0,"",IF($AJ64&gt;$AK64,Einstellungen!$C$4,IF($AJ64=$AK64,1,0)))</f>
        <v>0</v>
      </c>
      <c r="AM64" s="140">
        <f ca="1">IF($AA64=0,"",IF($AJ64&lt;$AK64,Einstellungen!$C$4,IF($AJ64=$AK64,1,0)))</f>
        <v>2</v>
      </c>
      <c r="AN64" s="778"/>
    </row>
    <row r="65" spans="2:40" s="2" customFormat="1" ht="13.5" thickBot="1" x14ac:dyDescent="0.25">
      <c r="F65" s="768">
        <v>1000</v>
      </c>
      <c r="G65" s="771" t="s">
        <v>441</v>
      </c>
      <c r="H65" s="766">
        <v>500</v>
      </c>
      <c r="I65" s="187" t="s">
        <v>439</v>
      </c>
      <c r="P65" s="45" t="s">
        <v>7</v>
      </c>
      <c r="Q65" s="60" t="str">
        <f>IF(Planung!$C$43="","",Planung!$C$43)</f>
        <v>Real Madrid</v>
      </c>
      <c r="U65" s="66" t="s">
        <v>7</v>
      </c>
      <c r="V65" s="40" t="str">
        <f ca="1">Planung!$L7</f>
        <v>FC Grönlingen</v>
      </c>
      <c r="W65" s="778" t="str">
        <f ca="1">Planung!$N7</f>
        <v>Inter Mailand</v>
      </c>
      <c r="X65" s="831">
        <f ca="1">IF(AND($AA65=1,Vorrunde!$I13&lt;&gt;"",Vorrunde!$K13&lt;&gt;"",ABS(Vorrunde!$I13-Vorrunde!$K13)&gt;1),Vorrunde!$I13,"")</f>
        <v>16</v>
      </c>
      <c r="Y65" s="35">
        <f ca="1">IF(AND($AA65=1,Vorrunde!$I13&lt;&gt;"",Vorrunde!$K13&lt;&gt;"",ABS(Vorrunde!$I13-Vorrunde!$K13)&gt;1),Vorrunde!$K13,"")</f>
        <v>25</v>
      </c>
      <c r="Z65" s="34" t="str">
        <f t="shared" ref="Z65:Z73" ca="1" si="67">V65&amp;W65</f>
        <v>FC GrönlingenInter Mailand</v>
      </c>
      <c r="AA65" s="831">
        <f ca="1">IF(AND(V65&lt;&gt;"",W65&lt;&gt;"",V65&lt;&gt;W65,Vorrunde!$R13&lt;&gt;"",Vorrunde!$T13&lt;&gt;""),1,0)</f>
        <v>1</v>
      </c>
      <c r="AB65" s="831" t="str">
        <f ca="1">IF(AA65&gt;0,AH65&amp;Sprache!$E$109&amp;AI65,"")</f>
        <v>36 : 50</v>
      </c>
      <c r="AC65" s="141" t="str">
        <f ca="1">IF(AA65&gt;0,AJ65&amp;Sprache!$E$109&amp;AK65,"")</f>
        <v>0 : 2</v>
      </c>
      <c r="AD65" s="145">
        <f ca="1">IF(AND($AA65=1,Vorrunde!$L13&lt;&gt;"",Vorrunde!$N13&lt;&gt;"",ABS(Vorrunde!$L13-Vorrunde!$N13)&gt;1),Vorrunde!$L13,"")</f>
        <v>20</v>
      </c>
      <c r="AE65" s="141">
        <f ca="1">IF(AND($AA65=1,Vorrunde!$L13&lt;&gt;"",Vorrunde!$N13&lt;&gt;"",ABS(Vorrunde!$L13-Vorrunde!$N13)&gt;1),Vorrunde!$N13,"")</f>
        <v>25</v>
      </c>
      <c r="AF65" s="145" t="str">
        <f ca="1">IF(AND($AA65=1,Vorrunde!$O13&lt;&gt;"",Vorrunde!$Q13&lt;&gt;"",ABS(Vorrunde!$O13-Vorrunde!$Q13)&gt;1),Vorrunde!$O13,"")</f>
        <v/>
      </c>
      <c r="AG65" s="141" t="str">
        <f ca="1">IF(AND($AA65=1,Vorrunde!$O13&lt;&gt;"",Vorrunde!$Q13&lt;&gt;"",ABS(Vorrunde!$O13-Vorrunde!$Q13)&gt;1),Vorrunde!$Q13,"")</f>
        <v/>
      </c>
      <c r="AH65" s="145">
        <f t="shared" ref="AH65:AH123" ca="1" si="68">IF(AA65&gt;0,SUM(X65,AD65,AF65),"")</f>
        <v>36</v>
      </c>
      <c r="AI65" s="141">
        <f t="shared" ref="AI65:AI123" ca="1" si="69">IF(AA65&gt;0,SUM(Y65,AE65,AG65),"")</f>
        <v>50</v>
      </c>
      <c r="AJ65" s="145">
        <f ca="1">IF(Vorrunde!$R13="",0,Vorrunde!$R13)</f>
        <v>0</v>
      </c>
      <c r="AK65" s="141">
        <f ca="1">IF(Vorrunde!$T13="",0,Vorrunde!$T13)</f>
        <v>2</v>
      </c>
      <c r="AL65" s="145">
        <f ca="1">IF($AA65=0,"",IF($AJ65&gt;$AK65,Einstellungen!$C$4,IF($AJ65=$AK65,1,0)))</f>
        <v>0</v>
      </c>
      <c r="AM65" s="141">
        <f ca="1">IF($AA65=0,"",IF($AJ65&lt;$AK65,Einstellungen!$C$4,IF($AJ65=$AK65,1,0)))</f>
        <v>2</v>
      </c>
      <c r="AN65" s="778"/>
    </row>
    <row r="66" spans="2:40" s="2" customFormat="1" ht="12.75" x14ac:dyDescent="0.2">
      <c r="F66" s="768">
        <v>1</v>
      </c>
      <c r="G66" s="771" t="s">
        <v>442</v>
      </c>
      <c r="P66" s="45" t="s">
        <v>8</v>
      </c>
      <c r="Q66" s="60" t="str">
        <f>IF(Planung!$C$45="","",Planung!$C$45)</f>
        <v>Borussia Dortmund</v>
      </c>
      <c r="U66" s="66" t="s">
        <v>8</v>
      </c>
      <c r="V66" s="40" t="str">
        <f ca="1">Planung!$L8</f>
        <v>1. FC Nürnberg</v>
      </c>
      <c r="W66" s="778" t="str">
        <f ca="1">Planung!$N8</f>
        <v>Real Madrid</v>
      </c>
      <c r="X66" s="831">
        <f ca="1">IF(AND($AA66=1,Vorrunde!$I14&lt;&gt;"",Vorrunde!$K14&lt;&gt;"",ABS(Vorrunde!$I14-Vorrunde!$K14)&gt;1),Vorrunde!$I14,"")</f>
        <v>21</v>
      </c>
      <c r="Y66" s="35">
        <f ca="1">IF(AND($AA66=1,Vorrunde!$I14&lt;&gt;"",Vorrunde!$K14&lt;&gt;"",ABS(Vorrunde!$I14-Vorrunde!$K14)&gt;1),Vorrunde!$K14,"")</f>
        <v>25</v>
      </c>
      <c r="Z66" s="34" t="str">
        <f t="shared" ca="1" si="67"/>
        <v>1. FC NürnbergReal Madrid</v>
      </c>
      <c r="AA66" s="831">
        <f ca="1">IF(AND(V66&lt;&gt;"",W66&lt;&gt;"",V66&lt;&gt;W66,Vorrunde!$R14&lt;&gt;"",Vorrunde!$T14&lt;&gt;""),1,0)</f>
        <v>1</v>
      </c>
      <c r="AB66" s="831" t="str">
        <f ca="1">IF(AA66&gt;0,AH66&amp;Sprache!$E$109&amp;AI66,"")</f>
        <v>40 : 50</v>
      </c>
      <c r="AC66" s="141" t="str">
        <f ca="1">IF(AA66&gt;0,AJ66&amp;Sprache!$E$109&amp;AK66,"")</f>
        <v>0 : 2</v>
      </c>
      <c r="AD66" s="145">
        <f ca="1">IF(AND($AA66=1,Vorrunde!$L14&lt;&gt;"",Vorrunde!$N14&lt;&gt;"",ABS(Vorrunde!$L14-Vorrunde!$N14)&gt;1),Vorrunde!$L14,"")</f>
        <v>19</v>
      </c>
      <c r="AE66" s="141">
        <f ca="1">IF(AND($AA66=1,Vorrunde!$L14&lt;&gt;"",Vorrunde!$N14&lt;&gt;"",ABS(Vorrunde!$L14-Vorrunde!$N14)&gt;1),Vorrunde!$N14,"")</f>
        <v>25</v>
      </c>
      <c r="AF66" s="145" t="str">
        <f ca="1">IF(AND($AA66=1,Vorrunde!$O14&lt;&gt;"",Vorrunde!$Q14&lt;&gt;"",ABS(Vorrunde!$O14-Vorrunde!$Q14)&gt;1),Vorrunde!$O14,"")</f>
        <v/>
      </c>
      <c r="AG66" s="141" t="str">
        <f ca="1">IF(AND($AA66=1,Vorrunde!$O14&lt;&gt;"",Vorrunde!$Q14&lt;&gt;"",ABS(Vorrunde!$O14-Vorrunde!$Q14)&gt;1),Vorrunde!$Q14,"")</f>
        <v/>
      </c>
      <c r="AH66" s="145">
        <f t="shared" ca="1" si="68"/>
        <v>40</v>
      </c>
      <c r="AI66" s="141">
        <f t="shared" ca="1" si="69"/>
        <v>50</v>
      </c>
      <c r="AJ66" s="145">
        <f ca="1">IF(Vorrunde!$R14="",0,Vorrunde!$R14)</f>
        <v>0</v>
      </c>
      <c r="AK66" s="141">
        <f ca="1">IF(Vorrunde!$T14="",0,Vorrunde!$T14)</f>
        <v>2</v>
      </c>
      <c r="AL66" s="145">
        <f ca="1">IF($AA66=0,"",IF($AJ66&gt;$AK66,Einstellungen!$C$4,IF($AJ66=$AK66,1,0)))</f>
        <v>0</v>
      </c>
      <c r="AM66" s="141">
        <f ca="1">IF($AA66=0,"",IF($AJ66&lt;$AK66,Einstellungen!$C$4,IF($AJ66=$AK66,1,0)))</f>
        <v>2</v>
      </c>
      <c r="AN66" s="778"/>
    </row>
    <row r="67" spans="2:40" s="2" customFormat="1" ht="12.75" thickBot="1" x14ac:dyDescent="0.25">
      <c r="F67" s="769">
        <v>1E-3</v>
      </c>
      <c r="G67" s="772" t="s">
        <v>443</v>
      </c>
      <c r="P67" s="45" t="s">
        <v>9</v>
      </c>
      <c r="Q67" s="60" t="str">
        <f>IF(Planung!$C$47="","",Planung!$C$47)</f>
        <v>FSV Rauen</v>
      </c>
      <c r="U67" s="66" t="s">
        <v>9</v>
      </c>
      <c r="V67" s="40" t="str">
        <f ca="1">Planung!$L9</f>
        <v>SV Oberredenburg</v>
      </c>
      <c r="W67" s="778" t="str">
        <f ca="1">Planung!$N9</f>
        <v>Paris St. Germain</v>
      </c>
      <c r="X67" s="831">
        <f ca="1">IF(AND($AA67=1,Vorrunde!$I15&lt;&gt;"",Vorrunde!$K15&lt;&gt;"",ABS(Vorrunde!$I15-Vorrunde!$K15)&gt;1),Vorrunde!$I15,"")</f>
        <v>22</v>
      </c>
      <c r="Y67" s="35">
        <f ca="1">IF(AND($AA67=1,Vorrunde!$I15&lt;&gt;"",Vorrunde!$K15&lt;&gt;"",ABS(Vorrunde!$I15-Vorrunde!$K15)&gt;1),Vorrunde!$K15,"")</f>
        <v>25</v>
      </c>
      <c r="Z67" s="34" t="str">
        <f t="shared" ca="1" si="67"/>
        <v>SV OberredenburgParis St. Germain</v>
      </c>
      <c r="AA67" s="831">
        <f ca="1">IF(AND(V67&lt;&gt;"",W67&lt;&gt;"",V67&lt;&gt;W67,Vorrunde!$R15&lt;&gt;"",Vorrunde!$T15&lt;&gt;""),1,0)</f>
        <v>1</v>
      </c>
      <c r="AB67" s="831" t="str">
        <f ca="1">IF(AA67&gt;0,AH67&amp;Sprache!$E$109&amp;AI67,"")</f>
        <v>39 : 50</v>
      </c>
      <c r="AC67" s="141" t="str">
        <f ca="1">IF(AA67&gt;0,AJ67&amp;Sprache!$E$109&amp;AK67,"")</f>
        <v>0 : 2</v>
      </c>
      <c r="AD67" s="145">
        <f ca="1">IF(AND($AA67=1,Vorrunde!$L15&lt;&gt;"",Vorrunde!$N15&lt;&gt;"",ABS(Vorrunde!$L15-Vorrunde!$N15)&gt;1),Vorrunde!$L15,"")</f>
        <v>17</v>
      </c>
      <c r="AE67" s="141">
        <f ca="1">IF(AND($AA67=1,Vorrunde!$L15&lt;&gt;"",Vorrunde!$N15&lt;&gt;"",ABS(Vorrunde!$L15-Vorrunde!$N15)&gt;1),Vorrunde!$N15,"")</f>
        <v>25</v>
      </c>
      <c r="AF67" s="145" t="str">
        <f ca="1">IF(AND($AA67=1,Vorrunde!$O15&lt;&gt;"",Vorrunde!$Q15&lt;&gt;"",ABS(Vorrunde!$O15-Vorrunde!$Q15)&gt;1),Vorrunde!$O15,"")</f>
        <v/>
      </c>
      <c r="AG67" s="141" t="str">
        <f ca="1">IF(AND($AA67=1,Vorrunde!$O15&lt;&gt;"",Vorrunde!$Q15&lt;&gt;"",ABS(Vorrunde!$O15-Vorrunde!$Q15)&gt;1),Vorrunde!$Q15,"")</f>
        <v/>
      </c>
      <c r="AH67" s="145">
        <f t="shared" ca="1" si="68"/>
        <v>39</v>
      </c>
      <c r="AI67" s="141">
        <f t="shared" ca="1" si="69"/>
        <v>50</v>
      </c>
      <c r="AJ67" s="145">
        <f ca="1">IF(Vorrunde!$R15="",0,Vorrunde!$R15)</f>
        <v>0</v>
      </c>
      <c r="AK67" s="141">
        <f ca="1">IF(Vorrunde!$T15="",0,Vorrunde!$T15)</f>
        <v>2</v>
      </c>
      <c r="AL67" s="145">
        <f ca="1">IF($AA67=0,"",IF($AJ67&gt;$AK67,Einstellungen!$C$4,IF($AJ67=$AK67,1,0)))</f>
        <v>0</v>
      </c>
      <c r="AM67" s="141">
        <f ca="1">IF($AA67=0,"",IF($AJ67&lt;$AK67,Einstellungen!$C$4,IF($AJ67=$AK67,1,0)))</f>
        <v>2</v>
      </c>
      <c r="AN67" s="778"/>
    </row>
    <row r="68" spans="2:40" s="2" customFormat="1" x14ac:dyDescent="0.2">
      <c r="P68" s="45" t="s">
        <v>10</v>
      </c>
      <c r="Q68" s="60" t="str">
        <f>IF(Planung!$C$49="","",Planung!$C$49)</f>
        <v>1. FC Nürnberg</v>
      </c>
      <c r="U68" s="66" t="s">
        <v>10</v>
      </c>
      <c r="V68" s="40" t="str">
        <f ca="1">Planung!$L10</f>
        <v>Eintracht Frankfurt</v>
      </c>
      <c r="W68" s="778" t="str">
        <f ca="1">Planung!$N10</f>
        <v>Maibach 1822 eV</v>
      </c>
      <c r="X68" s="831">
        <f ca="1">IF(AND($AA68=1,Vorrunde!$I16&lt;&gt;"",Vorrunde!$K16&lt;&gt;"",ABS(Vorrunde!$I16-Vorrunde!$K16)&gt;1),Vorrunde!$I16,"")</f>
        <v>25</v>
      </c>
      <c r="Y68" s="35">
        <f ca="1">IF(AND($AA68=1,Vorrunde!$I16&lt;&gt;"",Vorrunde!$K16&lt;&gt;"",ABS(Vorrunde!$I16-Vorrunde!$K16)&gt;1),Vorrunde!$K16,"")</f>
        <v>23</v>
      </c>
      <c r="Z68" s="34" t="str">
        <f t="shared" ca="1" si="67"/>
        <v>Eintracht FrankfurtMaibach 1822 eV</v>
      </c>
      <c r="AA68" s="831">
        <f ca="1">IF(AND(V68&lt;&gt;"",W68&lt;&gt;"",V68&lt;&gt;W68,Vorrunde!$R16&lt;&gt;"",Vorrunde!$T16&lt;&gt;""),1,0)</f>
        <v>1</v>
      </c>
      <c r="AB68" s="831" t="str">
        <f ca="1">IF(AA68&gt;0,AH68&amp;Sprache!$E$109&amp;AI68,"")</f>
        <v>50 : 44</v>
      </c>
      <c r="AC68" s="141" t="str">
        <f ca="1">IF(AA68&gt;0,AJ68&amp;Sprache!$E$109&amp;AK68,"")</f>
        <v>2 : 0</v>
      </c>
      <c r="AD68" s="145">
        <f ca="1">IF(AND($AA68=1,Vorrunde!$L16&lt;&gt;"",Vorrunde!$N16&lt;&gt;"",ABS(Vorrunde!$L16-Vorrunde!$N16)&gt;1),Vorrunde!$L16,"")</f>
        <v>25</v>
      </c>
      <c r="AE68" s="141">
        <f ca="1">IF(AND($AA68=1,Vorrunde!$L16&lt;&gt;"",Vorrunde!$N16&lt;&gt;"",ABS(Vorrunde!$L16-Vorrunde!$N16)&gt;1),Vorrunde!$N16,"")</f>
        <v>21</v>
      </c>
      <c r="AF68" s="145" t="str">
        <f ca="1">IF(AND($AA68=1,Vorrunde!$O16&lt;&gt;"",Vorrunde!$Q16&lt;&gt;"",ABS(Vorrunde!$O16-Vorrunde!$Q16)&gt;1),Vorrunde!$O16,"")</f>
        <v/>
      </c>
      <c r="AG68" s="141" t="str">
        <f ca="1">IF(AND($AA68=1,Vorrunde!$O16&lt;&gt;"",Vorrunde!$Q16&lt;&gt;"",ABS(Vorrunde!$O16-Vorrunde!$Q16)&gt;1),Vorrunde!$Q16,"")</f>
        <v/>
      </c>
      <c r="AH68" s="145">
        <f t="shared" ca="1" si="68"/>
        <v>50</v>
      </c>
      <c r="AI68" s="141">
        <f t="shared" ca="1" si="69"/>
        <v>44</v>
      </c>
      <c r="AJ68" s="145">
        <f ca="1">IF(Vorrunde!$R16="",0,Vorrunde!$R16)</f>
        <v>2</v>
      </c>
      <c r="AK68" s="141">
        <f ca="1">IF(Vorrunde!$T16="",0,Vorrunde!$T16)</f>
        <v>0</v>
      </c>
      <c r="AL68" s="145">
        <f ca="1">IF($AA68=0,"",IF($AJ68&gt;$AK68,Einstellungen!$C$4,IF($AJ68=$AK68,1,0)))</f>
        <v>2</v>
      </c>
      <c r="AM68" s="141">
        <f ca="1">IF($AA68=0,"",IF($AJ68&lt;$AK68,Einstellungen!$C$4,IF($AJ68=$AK68,1,0)))</f>
        <v>0</v>
      </c>
      <c r="AN68" s="778"/>
    </row>
    <row r="69" spans="2:40" s="2" customFormat="1" x14ac:dyDescent="0.2">
      <c r="P69" s="45" t="s">
        <v>11</v>
      </c>
      <c r="Q69" s="60" t="str">
        <f>IF(Planung!$C$51="","",Planung!$C$51)</f>
        <v/>
      </c>
      <c r="U69" s="66" t="s">
        <v>11</v>
      </c>
      <c r="V69" s="40" t="str">
        <f ca="1">Planung!$L11</f>
        <v>SSV Wildbach</v>
      </c>
      <c r="W69" s="778" t="str">
        <f ca="1">Planung!$N11</f>
        <v>Manchester City</v>
      </c>
      <c r="X69" s="831">
        <f ca="1">IF(AND($AA69=1,Vorrunde!$I17&lt;&gt;"",Vorrunde!$K17&lt;&gt;"",ABS(Vorrunde!$I17-Vorrunde!$K17)&gt;1),Vorrunde!$I17,"")</f>
        <v>18</v>
      </c>
      <c r="Y69" s="35">
        <f ca="1">IF(AND($AA69=1,Vorrunde!$I17&lt;&gt;"",Vorrunde!$K17&lt;&gt;"",ABS(Vorrunde!$I17-Vorrunde!$K17)&gt;1),Vorrunde!$K17,"")</f>
        <v>25</v>
      </c>
      <c r="Z69" s="34" t="str">
        <f t="shared" ca="1" si="67"/>
        <v>SSV WildbachManchester City</v>
      </c>
      <c r="AA69" s="831">
        <f ca="1">IF(AND(V69&lt;&gt;"",W69&lt;&gt;"",V69&lt;&gt;W69,Vorrunde!$R17&lt;&gt;"",Vorrunde!$T17&lt;&gt;""),1,0)</f>
        <v>1</v>
      </c>
      <c r="AB69" s="831" t="str">
        <f ca="1">IF(AA69&gt;0,AH69&amp;Sprache!$E$109&amp;AI69,"")</f>
        <v>40 : 50</v>
      </c>
      <c r="AC69" s="141" t="str">
        <f ca="1">IF(AA69&gt;0,AJ69&amp;Sprache!$E$109&amp;AK69,"")</f>
        <v>0 : 2</v>
      </c>
      <c r="AD69" s="145">
        <f ca="1">IF(AND($AA69=1,Vorrunde!$L17&lt;&gt;"",Vorrunde!$N17&lt;&gt;"",ABS(Vorrunde!$L17-Vorrunde!$N17)&gt;1),Vorrunde!$L17,"")</f>
        <v>22</v>
      </c>
      <c r="AE69" s="141">
        <f ca="1">IF(AND($AA69=1,Vorrunde!$L17&lt;&gt;"",Vorrunde!$N17&lt;&gt;"",ABS(Vorrunde!$L17-Vorrunde!$N17)&gt;1),Vorrunde!$N17,"")</f>
        <v>25</v>
      </c>
      <c r="AF69" s="145" t="str">
        <f ca="1">IF(AND($AA69=1,Vorrunde!$O17&lt;&gt;"",Vorrunde!$Q17&lt;&gt;"",ABS(Vorrunde!$O17-Vorrunde!$Q17)&gt;1),Vorrunde!$O17,"")</f>
        <v/>
      </c>
      <c r="AG69" s="141" t="str">
        <f ca="1">IF(AND($AA69=1,Vorrunde!$O17&lt;&gt;"",Vorrunde!$Q17&lt;&gt;"",ABS(Vorrunde!$O17-Vorrunde!$Q17)&gt;1),Vorrunde!$Q17,"")</f>
        <v/>
      </c>
      <c r="AH69" s="145">
        <f t="shared" ca="1" si="68"/>
        <v>40</v>
      </c>
      <c r="AI69" s="141">
        <f t="shared" ca="1" si="69"/>
        <v>50</v>
      </c>
      <c r="AJ69" s="145">
        <f ca="1">IF(Vorrunde!$R17="",0,Vorrunde!$R17)</f>
        <v>0</v>
      </c>
      <c r="AK69" s="141">
        <f ca="1">IF(Vorrunde!$T17="",0,Vorrunde!$T17)</f>
        <v>2</v>
      </c>
      <c r="AL69" s="145">
        <f ca="1">IF($AA69=0,"",IF($AJ69&gt;$AK69,Einstellungen!$C$4,IF($AJ69=$AK69,1,0)))</f>
        <v>0</v>
      </c>
      <c r="AM69" s="141">
        <f ca="1">IF($AA69=0,"",IF($AJ69&lt;$AK69,Einstellungen!$C$4,IF($AJ69=$AK69,1,0)))</f>
        <v>2</v>
      </c>
      <c r="AN69" s="778"/>
    </row>
    <row r="70" spans="2:40" s="2" customFormat="1" x14ac:dyDescent="0.2">
      <c r="P70" s="45"/>
      <c r="Q70" s="60" t="str">
        <f>""</f>
        <v/>
      </c>
      <c r="U70" s="66" t="s">
        <v>16</v>
      </c>
      <c r="V70" s="40" t="str">
        <f ca="1">Planung!$L12</f>
        <v>Borussia Dortmund</v>
      </c>
      <c r="W70" s="778" t="str">
        <f ca="1">Planung!$N12</f>
        <v>FSV Rauen</v>
      </c>
      <c r="X70" s="831">
        <f ca="1">IF(AND($AA70=1,Vorrunde!$I18&lt;&gt;"",Vorrunde!$K18&lt;&gt;"",ABS(Vorrunde!$I18-Vorrunde!$K18)&gt;1),Vorrunde!$I18,"")</f>
        <v>20</v>
      </c>
      <c r="Y70" s="35">
        <f ca="1">IF(AND($AA70=1,Vorrunde!$I18&lt;&gt;"",Vorrunde!$K18&lt;&gt;"",ABS(Vorrunde!$I18-Vorrunde!$K18)&gt;1),Vorrunde!$K18,"")</f>
        <v>25</v>
      </c>
      <c r="Z70" s="34" t="str">
        <f t="shared" ca="1" si="67"/>
        <v>Borussia DortmundFSV Rauen</v>
      </c>
      <c r="AA70" s="831">
        <f ca="1">IF(AND(V70&lt;&gt;"",W70&lt;&gt;"",V70&lt;&gt;W70,Vorrunde!$R18&lt;&gt;"",Vorrunde!$T18&lt;&gt;""),1,0)</f>
        <v>1</v>
      </c>
      <c r="AB70" s="831" t="str">
        <f ca="1">IF(AA70&gt;0,AH70&amp;Sprache!$E$109&amp;AI70,"")</f>
        <v>70 : 61</v>
      </c>
      <c r="AC70" s="141" t="str">
        <f ca="1">IF(AA70&gt;0,AJ70&amp;Sprache!$E$109&amp;AK70,"")</f>
        <v>2 : 1</v>
      </c>
      <c r="AD70" s="145">
        <f ca="1">IF(AND($AA70=1,Vorrunde!$L18&lt;&gt;"",Vorrunde!$N18&lt;&gt;"",ABS(Vorrunde!$L18-Vorrunde!$N18)&gt;1),Vorrunde!$L18,"")</f>
        <v>25</v>
      </c>
      <c r="AE70" s="141">
        <f ca="1">IF(AND($AA70=1,Vorrunde!$L18&lt;&gt;"",Vorrunde!$N18&lt;&gt;"",ABS(Vorrunde!$L18-Vorrunde!$N18)&gt;1),Vorrunde!$N18,"")</f>
        <v>23</v>
      </c>
      <c r="AF70" s="145">
        <f ca="1">IF(AND($AA70=1,Vorrunde!$O18&lt;&gt;"",Vorrunde!$Q18&lt;&gt;"",ABS(Vorrunde!$O18-Vorrunde!$Q18)&gt;1),Vorrunde!$O18,"")</f>
        <v>25</v>
      </c>
      <c r="AG70" s="141">
        <f ca="1">IF(AND($AA70=1,Vorrunde!$O18&lt;&gt;"",Vorrunde!$Q18&lt;&gt;"",ABS(Vorrunde!$O18-Vorrunde!$Q18)&gt;1),Vorrunde!$Q18,"")</f>
        <v>13</v>
      </c>
      <c r="AH70" s="145">
        <f t="shared" ca="1" si="68"/>
        <v>70</v>
      </c>
      <c r="AI70" s="141">
        <f t="shared" ca="1" si="69"/>
        <v>61</v>
      </c>
      <c r="AJ70" s="145">
        <f ca="1">IF(Vorrunde!$R18="",0,Vorrunde!$R18)</f>
        <v>2</v>
      </c>
      <c r="AK70" s="141">
        <f ca="1">IF(Vorrunde!$T18="",0,Vorrunde!$T18)</f>
        <v>1</v>
      </c>
      <c r="AL70" s="145">
        <f ca="1">IF($AA70=0,"",IF($AJ70&gt;$AK70,Einstellungen!$C$4,IF($AJ70=$AK70,1,0)))</f>
        <v>2</v>
      </c>
      <c r="AM70" s="141">
        <f ca="1">IF($AA70=0,"",IF($AJ70&lt;$AK70,Einstellungen!$C$4,IF($AJ70=$AK70,1,0)))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Planung!$L13</f>
        <v>HSV</v>
      </c>
      <c r="W71" s="778" t="str">
        <f ca="1">Planung!$N13</f>
        <v>RB Leipzig</v>
      </c>
      <c r="X71" s="831">
        <f ca="1">IF(AND($AA71=1,Vorrunde!$I19&lt;&gt;"",Vorrunde!$K19&lt;&gt;"",ABS(Vorrunde!$I19-Vorrunde!$K19)&gt;1),Vorrunde!$I19,"")</f>
        <v>19</v>
      </c>
      <c r="Y71" s="35">
        <f ca="1">IF(AND($AA71=1,Vorrunde!$I19&lt;&gt;"",Vorrunde!$K19&lt;&gt;"",ABS(Vorrunde!$I19-Vorrunde!$K19)&gt;1),Vorrunde!$K19,"")</f>
        <v>25</v>
      </c>
      <c r="Z71" s="34" t="str">
        <f t="shared" ca="1" si="67"/>
        <v>HSVRB Leipzig</v>
      </c>
      <c r="AA71" s="831">
        <f ca="1">IF(AND(V71&lt;&gt;"",W71&lt;&gt;"",V71&lt;&gt;W71,Vorrunde!$R19&lt;&gt;"",Vorrunde!$T19&lt;&gt;""),1,0)</f>
        <v>1</v>
      </c>
      <c r="AB71" s="831" t="str">
        <f ca="1">IF(AA71&gt;0,AH71&amp;Sprache!$E$109&amp;AI71,"")</f>
        <v>66 : 67</v>
      </c>
      <c r="AC71" s="141" t="str">
        <f ca="1">IF(AA71&gt;0,AJ71&amp;Sprache!$E$109&amp;AK71,"")</f>
        <v>1 : 2</v>
      </c>
      <c r="AD71" s="145">
        <f ca="1">IF(AND($AA71=1,Vorrunde!$L19&lt;&gt;"",Vorrunde!$N19&lt;&gt;"",ABS(Vorrunde!$L19-Vorrunde!$N19)&gt;1),Vorrunde!$L19,"")</f>
        <v>25</v>
      </c>
      <c r="AE71" s="141">
        <f ca="1">IF(AND($AA71=1,Vorrunde!$L19&lt;&gt;"",Vorrunde!$N19&lt;&gt;"",ABS(Vorrunde!$L19-Vorrunde!$N19)&gt;1),Vorrunde!$N19,"")</f>
        <v>17</v>
      </c>
      <c r="AF71" s="145">
        <f ca="1">IF(AND($AA71=1,Vorrunde!$O19&lt;&gt;"",Vorrunde!$Q19&lt;&gt;"",ABS(Vorrunde!$O19-Vorrunde!$Q19)&gt;1),Vorrunde!$O19,"")</f>
        <v>22</v>
      </c>
      <c r="AG71" s="141">
        <f ca="1">IF(AND($AA71=1,Vorrunde!$O19&lt;&gt;"",Vorrunde!$Q19&lt;&gt;"",ABS(Vorrunde!$O19-Vorrunde!$Q19)&gt;1),Vorrunde!$Q19,"")</f>
        <v>25</v>
      </c>
      <c r="AH71" s="145">
        <f t="shared" ca="1" si="68"/>
        <v>66</v>
      </c>
      <c r="AI71" s="141">
        <f t="shared" ca="1" si="69"/>
        <v>67</v>
      </c>
      <c r="AJ71" s="145">
        <f ca="1">IF(Vorrunde!$R19="",0,Vorrunde!$R19)</f>
        <v>1</v>
      </c>
      <c r="AK71" s="141">
        <f ca="1">IF(Vorrunde!$T19="",0,Vorrunde!$T19)</f>
        <v>2</v>
      </c>
      <c r="AL71" s="145">
        <f ca="1">IF($AA71=0,"",IF($AJ71&gt;$AK71,Einstellungen!$C$4,IF($AJ71=$AK71,1,0)))</f>
        <v>0</v>
      </c>
      <c r="AM71" s="141">
        <f ca="1">IF($AA71=0,"",IF($AJ71&lt;$AK71,Einstellungen!$C$4,IF($AJ71=$AK71,1,0)))</f>
        <v>2</v>
      </c>
      <c r="AN71" s="778"/>
    </row>
    <row r="72" spans="2:40" s="2" customFormat="1" ht="12.75" thickBot="1" x14ac:dyDescent="0.25">
      <c r="B72" s="4"/>
      <c r="C72" s="4"/>
      <c r="D72" s="4"/>
      <c r="E72" s="4"/>
      <c r="F72" s="778"/>
      <c r="G72" s="778"/>
      <c r="H72" s="778"/>
      <c r="I72" s="778"/>
      <c r="J72" s="778"/>
      <c r="K72" s="778"/>
      <c r="L72" s="778"/>
      <c r="M72" s="778"/>
      <c r="P72" s="46"/>
      <c r="Q72" s="61" t="str">
        <f>""</f>
        <v/>
      </c>
      <c r="U72" s="66" t="s">
        <v>18</v>
      </c>
      <c r="V72" s="40" t="str">
        <f ca="1">Planung!$L14</f>
        <v>VFB Essenheim</v>
      </c>
      <c r="W72" s="778" t="str">
        <f ca="1">Planung!$N14</f>
        <v>1. FC Riedwald</v>
      </c>
      <c r="X72" s="831">
        <f ca="1">IF(AND($AA72=1,Vorrunde!$I20&lt;&gt;"",Vorrunde!$K20&lt;&gt;"",ABS(Vorrunde!$I20-Vorrunde!$K20)&gt;1),Vorrunde!$I20,"")</f>
        <v>16</v>
      </c>
      <c r="Y72" s="35">
        <f ca="1">IF(AND($AA72=1,Vorrunde!$I20&lt;&gt;"",Vorrunde!$K20&lt;&gt;"",ABS(Vorrunde!$I20-Vorrunde!$K20)&gt;1),Vorrunde!$K20,"")</f>
        <v>25</v>
      </c>
      <c r="Z72" s="34" t="str">
        <f t="shared" ca="1" si="67"/>
        <v>VFB Essenheim1. FC Riedwald</v>
      </c>
      <c r="AA72" s="831">
        <f ca="1">IF(AND(V72&lt;&gt;"",W72&lt;&gt;"",V72&lt;&gt;W72,Vorrunde!$R20&lt;&gt;"",Vorrunde!$T20&lt;&gt;""),1,0)</f>
        <v>1</v>
      </c>
      <c r="AB72" s="831" t="str">
        <f ca="1">IF(AA72&gt;0,AH72&amp;Sprache!$E$109&amp;AI72,"")</f>
        <v>65 : 69</v>
      </c>
      <c r="AC72" s="141" t="str">
        <f ca="1">IF(AA72&gt;0,AJ72&amp;Sprache!$E$109&amp;AK72,"")</f>
        <v>1 : 2</v>
      </c>
      <c r="AD72" s="145">
        <f ca="1">IF(AND($AA72=1,Vorrunde!$L20&lt;&gt;"",Vorrunde!$N20&lt;&gt;"",ABS(Vorrunde!$L20-Vorrunde!$N20)&gt;1),Vorrunde!$L20,"")</f>
        <v>25</v>
      </c>
      <c r="AE72" s="141">
        <f ca="1">IF(AND($AA72=1,Vorrunde!$L20&lt;&gt;"",Vorrunde!$N20&lt;&gt;"",ABS(Vorrunde!$L20-Vorrunde!$N20)&gt;1),Vorrunde!$N20,"")</f>
        <v>18</v>
      </c>
      <c r="AF72" s="145">
        <f ca="1">IF(AND($AA72=1,Vorrunde!$O20&lt;&gt;"",Vorrunde!$Q20&lt;&gt;"",ABS(Vorrunde!$O20-Vorrunde!$Q20)&gt;1),Vorrunde!$O20,"")</f>
        <v>24</v>
      </c>
      <c r="AG72" s="141">
        <f ca="1">IF(AND($AA72=1,Vorrunde!$O20&lt;&gt;"",Vorrunde!$Q20&lt;&gt;"",ABS(Vorrunde!$O20-Vorrunde!$Q20)&gt;1),Vorrunde!$Q20,"")</f>
        <v>26</v>
      </c>
      <c r="AH72" s="145">
        <f t="shared" ca="1" si="68"/>
        <v>65</v>
      </c>
      <c r="AI72" s="141">
        <f t="shared" ca="1" si="69"/>
        <v>69</v>
      </c>
      <c r="AJ72" s="145">
        <f ca="1">IF(Vorrunde!$R20="",0,Vorrunde!$R20)</f>
        <v>1</v>
      </c>
      <c r="AK72" s="141">
        <f ca="1">IF(Vorrunde!$T20="",0,Vorrunde!$T20)</f>
        <v>2</v>
      </c>
      <c r="AL72" s="145">
        <f ca="1">IF($AA72=0,"",IF($AJ72&gt;$AK72,Einstellungen!$C$4,IF($AJ72=$AK72,1,0)))</f>
        <v>0</v>
      </c>
      <c r="AM72" s="141">
        <f ca="1">IF($AA72=0,"",IF($AJ72&lt;$AK72,Einstellungen!$C$4,IF($AJ72=$AK72,1,0)))</f>
        <v>2</v>
      </c>
      <c r="AN72" s="778"/>
    </row>
    <row r="73" spans="2:40" s="2" customFormat="1" ht="12.75" thickTop="1" x14ac:dyDescent="0.2">
      <c r="B73" s="4"/>
      <c r="C73" s="4"/>
      <c r="D73" s="4"/>
      <c r="E73" s="4"/>
      <c r="F73" s="778"/>
      <c r="G73" s="778"/>
      <c r="H73" s="778"/>
      <c r="I73" s="778"/>
      <c r="J73" s="778"/>
      <c r="K73" s="778"/>
      <c r="L73" s="778"/>
      <c r="M73" s="778"/>
      <c r="U73" s="66" t="s">
        <v>24</v>
      </c>
      <c r="V73" s="40" t="str">
        <f ca="1">Planung!$L15</f>
        <v>FC Grönlingen</v>
      </c>
      <c r="W73" s="778" t="str">
        <f ca="1">Planung!$N15</f>
        <v>Mainz 05</v>
      </c>
      <c r="X73" s="831">
        <f ca="1">IF(AND($AA73=1,Vorrunde!$I21&lt;&gt;"",Vorrunde!$K21&lt;&gt;"",ABS(Vorrunde!$I21-Vorrunde!$K21)&gt;1),Vorrunde!$I21,"")</f>
        <v>14</v>
      </c>
      <c r="Y73" s="35">
        <f ca="1">IF(AND($AA73=1,Vorrunde!$I21&lt;&gt;"",Vorrunde!$K21&lt;&gt;"",ABS(Vorrunde!$I21-Vorrunde!$K21)&gt;1),Vorrunde!$K21,"")</f>
        <v>25</v>
      </c>
      <c r="Z73" s="34" t="str">
        <f t="shared" ca="1" si="67"/>
        <v>FC GrönlingenMainz 05</v>
      </c>
      <c r="AA73" s="831">
        <f ca="1">IF(AND(V73&lt;&gt;"",W73&lt;&gt;"",V73&lt;&gt;W73,Vorrunde!$R21&lt;&gt;"",Vorrunde!$T21&lt;&gt;""),1,0)</f>
        <v>1</v>
      </c>
      <c r="AB73" s="831" t="str">
        <f ca="1">IF(AA73&gt;0,AH73&amp;Sprache!$E$109&amp;AI73,"")</f>
        <v>33 : 50</v>
      </c>
      <c r="AC73" s="141" t="str">
        <f ca="1">IF(AA73&gt;0,AJ73&amp;Sprache!$E$109&amp;AK73,"")</f>
        <v>0 : 2</v>
      </c>
      <c r="AD73" s="145">
        <f ca="1">IF(AND($AA73=1,Vorrunde!$L21&lt;&gt;"",Vorrunde!$N21&lt;&gt;"",ABS(Vorrunde!$L21-Vorrunde!$N21)&gt;1),Vorrunde!$L21,"")</f>
        <v>19</v>
      </c>
      <c r="AE73" s="141">
        <f ca="1">IF(AND($AA73=1,Vorrunde!$L21&lt;&gt;"",Vorrunde!$N21&lt;&gt;"",ABS(Vorrunde!$L21-Vorrunde!$N21)&gt;1),Vorrunde!$N21,"")</f>
        <v>25</v>
      </c>
      <c r="AF73" s="145" t="str">
        <f ca="1">IF(AND($AA73=1,Vorrunde!$O21&lt;&gt;"",Vorrunde!$Q21&lt;&gt;"",ABS(Vorrunde!$O21-Vorrunde!$Q21)&gt;1),Vorrunde!$O21,"")</f>
        <v/>
      </c>
      <c r="AG73" s="141" t="str">
        <f ca="1">IF(AND($AA73=1,Vorrunde!$O21&lt;&gt;"",Vorrunde!$Q21&lt;&gt;"",ABS(Vorrunde!$O21-Vorrunde!$Q21)&gt;1),Vorrunde!$Q21,"")</f>
        <v/>
      </c>
      <c r="AH73" s="145">
        <f t="shared" ca="1" si="68"/>
        <v>33</v>
      </c>
      <c r="AI73" s="141">
        <f t="shared" ca="1" si="69"/>
        <v>50</v>
      </c>
      <c r="AJ73" s="145">
        <f ca="1">IF(Vorrunde!$R21="",0,Vorrunde!$R21)</f>
        <v>0</v>
      </c>
      <c r="AK73" s="141">
        <f ca="1">IF(Vorrunde!$T21="",0,Vorrunde!$T21)</f>
        <v>2</v>
      </c>
      <c r="AL73" s="145">
        <f ca="1">IF($AA73=0,"",IF($AJ73&gt;$AK73,Einstellungen!$C$4,IF($AJ73=$AK73,1,0)))</f>
        <v>0</v>
      </c>
      <c r="AM73" s="141">
        <f ca="1">IF($AA73=0,"",IF($AJ73&lt;$AK73,Einstellungen!$C$4,IF($AJ73=$AK73,1,0)))</f>
        <v>2</v>
      </c>
      <c r="AN73" s="778"/>
    </row>
    <row r="74" spans="2:40" s="2" customFormat="1" x14ac:dyDescent="0.2">
      <c r="B74" s="4"/>
      <c r="C74" s="4"/>
      <c r="D74" s="4"/>
      <c r="E74" s="4"/>
      <c r="F74" s="778"/>
      <c r="G74" s="778"/>
      <c r="H74" s="778"/>
      <c r="I74" s="778"/>
      <c r="J74" s="778"/>
      <c r="K74" s="778"/>
      <c r="L74" s="778"/>
      <c r="M74" s="778"/>
      <c r="U74" s="66" t="s">
        <v>25</v>
      </c>
      <c r="V74" s="40" t="str">
        <f ca="1">Planung!$L16</f>
        <v>1. FC Nürnberg</v>
      </c>
      <c r="W74" s="778" t="str">
        <f ca="1">Planung!$N16</f>
        <v>Kickers Rodendorf</v>
      </c>
      <c r="X74" s="831">
        <f ca="1">IF(AND($AA74=1,Vorrunde!$I22&lt;&gt;"",Vorrunde!$K22&lt;&gt;"",ABS(Vorrunde!$I22-Vorrunde!$K22)&gt;1),Vorrunde!$I22,"")</f>
        <v>25</v>
      </c>
      <c r="Y74" s="35">
        <f ca="1">IF(AND($AA74=1,Vorrunde!$I22&lt;&gt;"",Vorrunde!$K22&lt;&gt;"",ABS(Vorrunde!$I22-Vorrunde!$K22)&gt;1),Vorrunde!$K22,"")</f>
        <v>22</v>
      </c>
      <c r="Z74" s="34" t="str">
        <f ca="1">V74&amp;W74</f>
        <v>1. FC NürnbergKickers Rodendorf</v>
      </c>
      <c r="AA74" s="831">
        <f ca="1">IF(AND(V74&lt;&gt;"",W74&lt;&gt;"",V74&lt;&gt;W74,Vorrunde!$R22&lt;&gt;"",Vorrunde!$T22&lt;&gt;""),1,0)</f>
        <v>1</v>
      </c>
      <c r="AB74" s="831" t="str">
        <f ca="1">IF(AA74&gt;0,AH74&amp;Sprache!$E$109&amp;AI74,"")</f>
        <v>50 : 42</v>
      </c>
      <c r="AC74" s="141" t="str">
        <f ca="1">IF(AA74&gt;0,AJ74&amp;Sprache!$E$109&amp;AK74,"")</f>
        <v>2 : 0</v>
      </c>
      <c r="AD74" s="145">
        <f ca="1">IF(AND($AA74=1,Vorrunde!$L22&lt;&gt;"",Vorrunde!$N22&lt;&gt;"",ABS(Vorrunde!$L22-Vorrunde!$N22)&gt;1),Vorrunde!$L22,"")</f>
        <v>25</v>
      </c>
      <c r="AE74" s="141">
        <f ca="1">IF(AND($AA74=1,Vorrunde!$L22&lt;&gt;"",Vorrunde!$N22&lt;&gt;"",ABS(Vorrunde!$L22-Vorrunde!$N22)&gt;1),Vorrunde!$N22,"")</f>
        <v>20</v>
      </c>
      <c r="AF74" s="145" t="str">
        <f ca="1">IF(AND($AA74=1,Vorrunde!$O22&lt;&gt;"",Vorrunde!$Q22&lt;&gt;"",ABS(Vorrunde!$O22-Vorrunde!$Q22)&gt;1),Vorrunde!$O22,"")</f>
        <v/>
      </c>
      <c r="AG74" s="141" t="str">
        <f ca="1">IF(AND($AA74=1,Vorrunde!$O22&lt;&gt;"",Vorrunde!$Q22&lt;&gt;"",ABS(Vorrunde!$O22-Vorrunde!$Q22)&gt;1),Vorrunde!$Q22,"")</f>
        <v/>
      </c>
      <c r="AH74" s="145">
        <f t="shared" ca="1" si="68"/>
        <v>50</v>
      </c>
      <c r="AI74" s="141">
        <f t="shared" ca="1" si="69"/>
        <v>42</v>
      </c>
      <c r="AJ74" s="145">
        <f ca="1">IF(Vorrunde!$R22="",0,Vorrunde!$R22)</f>
        <v>2</v>
      </c>
      <c r="AK74" s="141">
        <f ca="1">IF(Vorrunde!$T22="",0,Vorrunde!$T22)</f>
        <v>0</v>
      </c>
      <c r="AL74" s="145">
        <f ca="1">IF($AA74=0,"",IF($AJ74&gt;$AK74,Einstellungen!$C$4,IF($AJ74=$AK74,1,0)))</f>
        <v>2</v>
      </c>
      <c r="AM74" s="141">
        <f ca="1">IF($AA74=0,"",IF($AJ74&lt;$AK74,Einstellungen!$C$4,IF($AJ74=$AK74,1,0)))</f>
        <v>0</v>
      </c>
    </row>
    <row r="75" spans="2:40" s="2" customFormat="1" x14ac:dyDescent="0.2">
      <c r="B75" s="4"/>
      <c r="C75" s="4"/>
      <c r="D75" s="4"/>
      <c r="E75" s="4"/>
      <c r="F75" s="778"/>
      <c r="G75" s="778"/>
      <c r="H75" s="778"/>
      <c r="I75" s="778"/>
      <c r="J75" s="778"/>
      <c r="K75" s="778"/>
      <c r="L75" s="778"/>
      <c r="M75" s="778"/>
      <c r="U75" s="66" t="s">
        <v>26</v>
      </c>
      <c r="V75" s="40" t="str">
        <f ca="1">Planung!$L17</f>
        <v>SV Oberredenburg</v>
      </c>
      <c r="W75" s="778" t="str">
        <f ca="1">Planung!$N17</f>
        <v>TSG Saalberg eV</v>
      </c>
      <c r="X75" s="831">
        <f ca="1">IF(AND($AA75=1,Vorrunde!$I23&lt;&gt;"",Vorrunde!$K23&lt;&gt;"",ABS(Vorrunde!$I23-Vorrunde!$K23)&gt;1),Vorrunde!$I23,"")</f>
        <v>19</v>
      </c>
      <c r="Y75" s="35">
        <f ca="1">IF(AND($AA75=1,Vorrunde!$I23&lt;&gt;"",Vorrunde!$K23&lt;&gt;"",ABS(Vorrunde!$I23-Vorrunde!$K23)&gt;1),Vorrunde!$K23,"")</f>
        <v>25</v>
      </c>
      <c r="Z75" s="34" t="str">
        <f t="shared" ref="Z75:Z123" ca="1" si="70">V75&amp;W75</f>
        <v>SV OberredenburgTSG Saalberg eV</v>
      </c>
      <c r="AA75" s="831">
        <f ca="1">IF(AND(V75&lt;&gt;"",W75&lt;&gt;"",V75&lt;&gt;W75,Vorrunde!$R23&lt;&gt;"",Vorrunde!$T23&lt;&gt;""),1,0)</f>
        <v>1</v>
      </c>
      <c r="AB75" s="831" t="str">
        <f ca="1">IF(AA75&gt;0,AH75&amp;Sprache!$E$109&amp;AI75,"")</f>
        <v>42 : 50</v>
      </c>
      <c r="AC75" s="141" t="str">
        <f ca="1">IF(AA75&gt;0,AJ75&amp;Sprache!$E$109&amp;AK75,"")</f>
        <v>0 : 2</v>
      </c>
      <c r="AD75" s="145">
        <f ca="1">IF(AND($AA75=1,Vorrunde!$L23&lt;&gt;"",Vorrunde!$N23&lt;&gt;"",ABS(Vorrunde!$L23-Vorrunde!$N23)&gt;1),Vorrunde!$L23,"")</f>
        <v>23</v>
      </c>
      <c r="AE75" s="141">
        <f ca="1">IF(AND($AA75=1,Vorrunde!$L23&lt;&gt;"",Vorrunde!$N23&lt;&gt;"",ABS(Vorrunde!$L23-Vorrunde!$N23)&gt;1),Vorrunde!$N23,"")</f>
        <v>25</v>
      </c>
      <c r="AF75" s="145" t="str">
        <f ca="1">IF(AND($AA75=1,Vorrunde!$O23&lt;&gt;"",Vorrunde!$Q23&lt;&gt;"",ABS(Vorrunde!$O23-Vorrunde!$Q23)&gt;1),Vorrunde!$O23,"")</f>
        <v/>
      </c>
      <c r="AG75" s="141" t="str">
        <f ca="1">IF(AND($AA75=1,Vorrunde!$O23&lt;&gt;"",Vorrunde!$Q23&lt;&gt;"",ABS(Vorrunde!$O23-Vorrunde!$Q23)&gt;1),Vorrunde!$Q23,"")</f>
        <v/>
      </c>
      <c r="AH75" s="145">
        <f t="shared" ca="1" si="68"/>
        <v>42</v>
      </c>
      <c r="AI75" s="141">
        <f t="shared" ca="1" si="69"/>
        <v>50</v>
      </c>
      <c r="AJ75" s="145">
        <f ca="1">IF(Vorrunde!$R23="",0,Vorrunde!$R23)</f>
        <v>0</v>
      </c>
      <c r="AK75" s="141">
        <f ca="1">IF(Vorrunde!$T23="",0,Vorrunde!$T23)</f>
        <v>2</v>
      </c>
      <c r="AL75" s="145">
        <f ca="1">IF($AA75=0,"",IF($AJ75&gt;$AK75,Einstellungen!$C$4,IF($AJ75=$AK75,1,0)))</f>
        <v>0</v>
      </c>
      <c r="AM75" s="141">
        <f ca="1">IF($AA75=0,"",IF($AJ75&lt;$AK75,Einstellungen!$C$4,IF($AJ75=$AK75,1,0)))</f>
        <v>2</v>
      </c>
    </row>
    <row r="76" spans="2:40" s="2" customFormat="1" x14ac:dyDescent="0.2">
      <c r="B76" s="4"/>
      <c r="C76" s="4"/>
      <c r="D76" s="4"/>
      <c r="E76" s="4"/>
      <c r="F76" s="778"/>
      <c r="G76" s="778"/>
      <c r="H76" s="778"/>
      <c r="I76" s="778"/>
      <c r="J76" s="778"/>
      <c r="K76" s="778"/>
      <c r="L76" s="778"/>
      <c r="M76" s="778"/>
      <c r="U76" s="66" t="s">
        <v>27</v>
      </c>
      <c r="V76" s="40" t="str">
        <f ca="1">Planung!$L18</f>
        <v>FC Barcelona</v>
      </c>
      <c r="W76" s="778" t="str">
        <f ca="1">Planung!$N18</f>
        <v>Eintracht Frankfurt</v>
      </c>
      <c r="X76" s="831">
        <f ca="1">IF(AND($AA76=1,Vorrunde!$I24&lt;&gt;"",Vorrunde!$K24&lt;&gt;"",ABS(Vorrunde!$I24-Vorrunde!$K24)&gt;1),Vorrunde!$I24,"")</f>
        <v>23</v>
      </c>
      <c r="Y76" s="35">
        <f ca="1">IF(AND($AA76=1,Vorrunde!$I24&lt;&gt;"",Vorrunde!$K24&lt;&gt;"",ABS(Vorrunde!$I24-Vorrunde!$K24)&gt;1),Vorrunde!$K24,"")</f>
        <v>25</v>
      </c>
      <c r="Z76" s="34" t="str">
        <f t="shared" ca="1" si="70"/>
        <v>FC BarcelonaEintracht Frankfurt</v>
      </c>
      <c r="AA76" s="831">
        <f ca="1">IF(AND(V76&lt;&gt;"",W76&lt;&gt;"",V76&lt;&gt;W76,Vorrunde!$R24&lt;&gt;"",Vorrunde!$T24&lt;&gt;""),1,0)</f>
        <v>1</v>
      </c>
      <c r="AB76" s="831" t="str">
        <f ca="1">IF(AA76&gt;0,AH76&amp;Sprache!$E$109&amp;AI76,"")</f>
        <v>69 : 72</v>
      </c>
      <c r="AC76" s="141" t="str">
        <f ca="1">IF(AA76&gt;0,AJ76&amp;Sprache!$E$109&amp;AK76,"")</f>
        <v>1 : 2</v>
      </c>
      <c r="AD76" s="145">
        <f ca="1">IF(AND($AA76=1,Vorrunde!$L24&lt;&gt;"",Vorrunde!$N24&lt;&gt;"",ABS(Vorrunde!$L24-Vorrunde!$N24)&gt;1),Vorrunde!$L24,"")</f>
        <v>25</v>
      </c>
      <c r="AE76" s="141">
        <f ca="1">IF(AND($AA76=1,Vorrunde!$L24&lt;&gt;"",Vorrunde!$N24&lt;&gt;"",ABS(Vorrunde!$L24-Vorrunde!$N24)&gt;1),Vorrunde!$N24,"")</f>
        <v>22</v>
      </c>
      <c r="AF76" s="145">
        <f ca="1">IF(AND($AA76=1,Vorrunde!$O24&lt;&gt;"",Vorrunde!$Q24&lt;&gt;"",ABS(Vorrunde!$O24-Vorrunde!$Q24)&gt;1),Vorrunde!$O24,"")</f>
        <v>21</v>
      </c>
      <c r="AG76" s="141">
        <f ca="1">IF(AND($AA76=1,Vorrunde!$O24&lt;&gt;"",Vorrunde!$Q24&lt;&gt;"",ABS(Vorrunde!$O24-Vorrunde!$Q24)&gt;1),Vorrunde!$Q24,"")</f>
        <v>25</v>
      </c>
      <c r="AH76" s="145">
        <f t="shared" ca="1" si="68"/>
        <v>69</v>
      </c>
      <c r="AI76" s="141">
        <f t="shared" ca="1" si="69"/>
        <v>72</v>
      </c>
      <c r="AJ76" s="145">
        <f ca="1">IF(Vorrunde!$R24="",0,Vorrunde!$R24)</f>
        <v>1</v>
      </c>
      <c r="AK76" s="141">
        <f ca="1">IF(Vorrunde!$T24="",0,Vorrunde!$T24)</f>
        <v>2</v>
      </c>
      <c r="AL76" s="145">
        <f ca="1">IF($AA76=0,"",IF($AJ76&gt;$AK76,Einstellungen!$C$4,IF($AJ76=$AK76,1,0)))</f>
        <v>0</v>
      </c>
      <c r="AM76" s="141">
        <f ca="1">IF($AA76=0,"",IF($AJ76&lt;$AK76,Einstellungen!$C$4,IF($AJ76=$AK76,1,0)))</f>
        <v>2</v>
      </c>
    </row>
    <row r="77" spans="2:40" s="2" customFormat="1" x14ac:dyDescent="0.2">
      <c r="B77" s="4"/>
      <c r="C77" s="4"/>
      <c r="D77" s="4"/>
      <c r="E77" s="4"/>
      <c r="F77" s="778"/>
      <c r="G77" s="778"/>
      <c r="H77" s="778"/>
      <c r="I77" s="778"/>
      <c r="J77" s="778"/>
      <c r="K77" s="778"/>
      <c r="L77" s="778"/>
      <c r="M77" s="778"/>
      <c r="U77" s="66" t="s">
        <v>28</v>
      </c>
      <c r="V77" s="40" t="str">
        <f ca="1">Planung!$L19</f>
        <v>Inter Mailand</v>
      </c>
      <c r="W77" s="778" t="str">
        <f ca="1">Planung!$N19</f>
        <v>SSV Wildbach</v>
      </c>
      <c r="X77" s="831">
        <f ca="1">IF(AND($AA77=1,Vorrunde!$I25&lt;&gt;"",Vorrunde!$K25&lt;&gt;"",ABS(Vorrunde!$I25-Vorrunde!$K25)&gt;1),Vorrunde!$I25,"")</f>
        <v>25</v>
      </c>
      <c r="Y77" s="35">
        <f ca="1">IF(AND($AA77=1,Vorrunde!$I25&lt;&gt;"",Vorrunde!$K25&lt;&gt;"",ABS(Vorrunde!$I25-Vorrunde!$K25)&gt;1),Vorrunde!$K25,"")</f>
        <v>14</v>
      </c>
      <c r="Z77" s="34" t="str">
        <f t="shared" ca="1" si="70"/>
        <v>Inter MailandSSV Wildbach</v>
      </c>
      <c r="AA77" s="831">
        <f ca="1">IF(AND(V77&lt;&gt;"",W77&lt;&gt;"",V77&lt;&gt;W77,Vorrunde!$R25&lt;&gt;"",Vorrunde!$T25&lt;&gt;""),1,0)</f>
        <v>1</v>
      </c>
      <c r="AB77" s="831" t="str">
        <f ca="1">IF(AA77&gt;0,AH77&amp;Sprache!$E$109&amp;AI77,"")</f>
        <v>50 : 37</v>
      </c>
      <c r="AC77" s="141" t="str">
        <f ca="1">IF(AA77&gt;0,AJ77&amp;Sprache!$E$109&amp;AK77,"")</f>
        <v>2 : 0</v>
      </c>
      <c r="AD77" s="145">
        <f ca="1">IF(AND($AA77=1,Vorrunde!$L25&lt;&gt;"",Vorrunde!$N25&lt;&gt;"",ABS(Vorrunde!$L25-Vorrunde!$N25)&gt;1),Vorrunde!$L25,"")</f>
        <v>25</v>
      </c>
      <c r="AE77" s="141">
        <f ca="1">IF(AND($AA77=1,Vorrunde!$L25&lt;&gt;"",Vorrunde!$N25&lt;&gt;"",ABS(Vorrunde!$L25-Vorrunde!$N25)&gt;1),Vorrunde!$N25,"")</f>
        <v>23</v>
      </c>
      <c r="AF77" s="145" t="str">
        <f ca="1">IF(AND($AA77=1,Vorrunde!$O25&lt;&gt;"",Vorrunde!$Q25&lt;&gt;"",ABS(Vorrunde!$O25-Vorrunde!$Q25)&gt;1),Vorrunde!$O25,"")</f>
        <v/>
      </c>
      <c r="AG77" s="141" t="str">
        <f ca="1">IF(AND($AA77=1,Vorrunde!$O25&lt;&gt;"",Vorrunde!$Q25&lt;&gt;"",ABS(Vorrunde!$O25-Vorrunde!$Q25)&gt;1),Vorrunde!$Q25,"")</f>
        <v/>
      </c>
      <c r="AH77" s="145">
        <f t="shared" ca="1" si="68"/>
        <v>50</v>
      </c>
      <c r="AI77" s="141">
        <f t="shared" ca="1" si="69"/>
        <v>37</v>
      </c>
      <c r="AJ77" s="145">
        <f ca="1">IF(Vorrunde!$R25="",0,Vorrunde!$R25)</f>
        <v>2</v>
      </c>
      <c r="AK77" s="141">
        <f ca="1">IF(Vorrunde!$T25="",0,Vorrunde!$T25)</f>
        <v>0</v>
      </c>
      <c r="AL77" s="145">
        <f ca="1">IF($AA77=0,"",IF($AJ77&gt;$AK77,Einstellungen!$C$4,IF($AJ77=$AK77,1,0)))</f>
        <v>2</v>
      </c>
      <c r="AM77" s="141">
        <f ca="1">IF($AA77=0,"",IF($AJ77&lt;$AK77,Einstellungen!$C$4,IF($AJ77=$AK77,1,0)))</f>
        <v>0</v>
      </c>
    </row>
    <row r="78" spans="2:40" s="2" customFormat="1" x14ac:dyDescent="0.2">
      <c r="B78" s="4"/>
      <c r="C78" s="4"/>
      <c r="D78" s="4"/>
      <c r="E78" s="4"/>
      <c r="F78" s="778"/>
      <c r="G78" s="778"/>
      <c r="H78" s="778"/>
      <c r="I78" s="778"/>
      <c r="J78" s="778"/>
      <c r="K78" s="778"/>
      <c r="L78" s="778"/>
      <c r="M78" s="778"/>
      <c r="U78" s="66" t="s">
        <v>29</v>
      </c>
      <c r="V78" s="40" t="str">
        <f ca="1">Planung!$L20</f>
        <v>Real Madrid</v>
      </c>
      <c r="W78" s="778" t="str">
        <f ca="1">Planung!$N20</f>
        <v>Borussia Dortmund</v>
      </c>
      <c r="X78" s="831">
        <f ca="1">IF(AND($AA78=1,Vorrunde!$I26&lt;&gt;"",Vorrunde!$K26&lt;&gt;"",ABS(Vorrunde!$I26-Vorrunde!$K26)&gt;1),Vorrunde!$I26,"")</f>
        <v>21</v>
      </c>
      <c r="Y78" s="35">
        <f ca="1">IF(AND($AA78=1,Vorrunde!$I26&lt;&gt;"",Vorrunde!$K26&lt;&gt;"",ABS(Vorrunde!$I26-Vorrunde!$K26)&gt;1),Vorrunde!$K26,"")</f>
        <v>25</v>
      </c>
      <c r="Z78" s="34" t="str">
        <f t="shared" ca="1" si="70"/>
        <v>Real MadridBorussia Dortmund</v>
      </c>
      <c r="AA78" s="831">
        <f ca="1">IF(AND(V78&lt;&gt;"",W78&lt;&gt;"",V78&lt;&gt;W78,Vorrunde!$R26&lt;&gt;"",Vorrunde!$T26&lt;&gt;""),1,0)</f>
        <v>1</v>
      </c>
      <c r="AB78" s="831" t="str">
        <f ca="1">IF(AA78&gt;0,AH78&amp;Sprache!$E$109&amp;AI78,"")</f>
        <v>71 : 62</v>
      </c>
      <c r="AC78" s="141" t="str">
        <f ca="1">IF(AA78&gt;0,AJ78&amp;Sprache!$E$109&amp;AK78,"")</f>
        <v>2 : 1</v>
      </c>
      <c r="AD78" s="145">
        <f ca="1">IF(AND($AA78=1,Vorrunde!$L26&lt;&gt;"",Vorrunde!$N26&lt;&gt;"",ABS(Vorrunde!$L26-Vorrunde!$N26)&gt;1),Vorrunde!$L26,"")</f>
        <v>25</v>
      </c>
      <c r="AE78" s="141">
        <f ca="1">IF(AND($AA78=1,Vorrunde!$L26&lt;&gt;"",Vorrunde!$N26&lt;&gt;"",ABS(Vorrunde!$L26-Vorrunde!$N26)&gt;1),Vorrunde!$N26,"")</f>
        <v>17</v>
      </c>
      <c r="AF78" s="145">
        <f ca="1">IF(AND($AA78=1,Vorrunde!$O26&lt;&gt;"",Vorrunde!$Q26&lt;&gt;"",ABS(Vorrunde!$O26-Vorrunde!$Q26)&gt;1),Vorrunde!$O26,"")</f>
        <v>25</v>
      </c>
      <c r="AG78" s="141">
        <f ca="1">IF(AND($AA78=1,Vorrunde!$O26&lt;&gt;"",Vorrunde!$Q26&lt;&gt;"",ABS(Vorrunde!$O26-Vorrunde!$Q26)&gt;1),Vorrunde!$Q26,"")</f>
        <v>20</v>
      </c>
      <c r="AH78" s="145">
        <f t="shared" ca="1" si="68"/>
        <v>71</v>
      </c>
      <c r="AI78" s="141">
        <f t="shared" ca="1" si="69"/>
        <v>62</v>
      </c>
      <c r="AJ78" s="145">
        <f ca="1">IF(Vorrunde!$R26="",0,Vorrunde!$R26)</f>
        <v>2</v>
      </c>
      <c r="AK78" s="141">
        <f ca="1">IF(Vorrunde!$T26="",0,Vorrunde!$T26)</f>
        <v>1</v>
      </c>
      <c r="AL78" s="145">
        <f ca="1">IF($AA78=0,"",IF($AJ78&gt;$AK78,Einstellungen!$C$4,IF($AJ78=$AK78,1,0)))</f>
        <v>2</v>
      </c>
      <c r="AM78" s="141">
        <f ca="1">IF($AA78=0,"",IF($AJ78&lt;$AK78,Einstellungen!$C$4,IF($AJ78=$AK78,1,0)))</f>
        <v>0</v>
      </c>
    </row>
    <row r="79" spans="2:40" s="2" customFormat="1" x14ac:dyDescent="0.2">
      <c r="B79" s="4"/>
      <c r="C79" s="4"/>
      <c r="D79" s="4"/>
      <c r="E79" s="4"/>
      <c r="F79" s="778"/>
      <c r="G79" s="778"/>
      <c r="H79" s="778"/>
      <c r="I79" s="778"/>
      <c r="J79" s="778"/>
      <c r="K79" s="778"/>
      <c r="L79" s="778"/>
      <c r="M79" s="778"/>
      <c r="U79" s="66" t="s">
        <v>30</v>
      </c>
      <c r="V79" s="40" t="str">
        <f ca="1">Planung!$L21</f>
        <v>Paris St. Germain</v>
      </c>
      <c r="W79" s="778" t="str">
        <f ca="1">Planung!$N21</f>
        <v>HSV</v>
      </c>
      <c r="X79" s="831">
        <f ca="1">IF(AND($AA79=1,Vorrunde!$I27&lt;&gt;"",Vorrunde!$K27&lt;&gt;"",ABS(Vorrunde!$I27-Vorrunde!$K27)&gt;1),Vorrunde!$I27,"")</f>
        <v>25</v>
      </c>
      <c r="Y79" s="35">
        <f ca="1">IF(AND($AA79=1,Vorrunde!$I27&lt;&gt;"",Vorrunde!$K27&lt;&gt;"",ABS(Vorrunde!$I27-Vorrunde!$K27)&gt;1),Vorrunde!$K27,"")</f>
        <v>12</v>
      </c>
      <c r="Z79" s="34" t="str">
        <f t="shared" ca="1" si="70"/>
        <v>Paris St. GermainHSV</v>
      </c>
      <c r="AA79" s="831">
        <f ca="1">IF(AND(V79&lt;&gt;"",W79&lt;&gt;"",V79&lt;&gt;W79,Vorrunde!$R27&lt;&gt;"",Vorrunde!$T27&lt;&gt;""),1,0)</f>
        <v>1</v>
      </c>
      <c r="AB79" s="831" t="str">
        <f ca="1">IF(AA79&gt;0,AH79&amp;Sprache!$E$109&amp;AI79,"")</f>
        <v>50 : 30</v>
      </c>
      <c r="AC79" s="141" t="str">
        <f ca="1">IF(AA79&gt;0,AJ79&amp;Sprache!$E$109&amp;AK79,"")</f>
        <v>2 : 0</v>
      </c>
      <c r="AD79" s="145">
        <f ca="1">IF(AND($AA79=1,Vorrunde!$L27&lt;&gt;"",Vorrunde!$N27&lt;&gt;"",ABS(Vorrunde!$L27-Vorrunde!$N27)&gt;1),Vorrunde!$L27,"")</f>
        <v>25</v>
      </c>
      <c r="AE79" s="141">
        <f ca="1">IF(AND($AA79=1,Vorrunde!$L27&lt;&gt;"",Vorrunde!$N27&lt;&gt;"",ABS(Vorrunde!$L27-Vorrunde!$N27)&gt;1),Vorrunde!$N27,"")</f>
        <v>18</v>
      </c>
      <c r="AF79" s="145" t="str">
        <f ca="1">IF(AND($AA79=1,Vorrunde!$O27&lt;&gt;"",Vorrunde!$Q27&lt;&gt;"",ABS(Vorrunde!$O27-Vorrunde!$Q27)&gt;1),Vorrunde!$O27,"")</f>
        <v/>
      </c>
      <c r="AG79" s="141" t="str">
        <f ca="1">IF(AND($AA79=1,Vorrunde!$O27&lt;&gt;"",Vorrunde!$Q27&lt;&gt;"",ABS(Vorrunde!$O27-Vorrunde!$Q27)&gt;1),Vorrunde!$Q27,"")</f>
        <v/>
      </c>
      <c r="AH79" s="145">
        <f t="shared" ca="1" si="68"/>
        <v>50</v>
      </c>
      <c r="AI79" s="141">
        <f t="shared" ca="1" si="69"/>
        <v>30</v>
      </c>
      <c r="AJ79" s="145">
        <f ca="1">IF(Vorrunde!$R27="",0,Vorrunde!$R27)</f>
        <v>2</v>
      </c>
      <c r="AK79" s="141">
        <f ca="1">IF(Vorrunde!$T27="",0,Vorrunde!$T27)</f>
        <v>0</v>
      </c>
      <c r="AL79" s="145">
        <f ca="1">IF($AA79=0,"",IF($AJ79&gt;$AK79,Einstellungen!$C$4,IF($AJ79=$AK79,1,0)))</f>
        <v>2</v>
      </c>
      <c r="AM79" s="141">
        <f ca="1">IF($AA79=0,"",IF($AJ79&lt;$AK79,Einstellungen!$C$4,IF($AJ79=$AK79,1,0)))</f>
        <v>0</v>
      </c>
    </row>
    <row r="80" spans="2:40" s="2" customFormat="1" x14ac:dyDescent="0.2">
      <c r="B80" s="4"/>
      <c r="C80" s="4"/>
      <c r="D80" s="4"/>
      <c r="E80" s="4"/>
      <c r="F80" s="778"/>
      <c r="G80" s="778"/>
      <c r="H80" s="778"/>
      <c r="I80" s="778"/>
      <c r="J80" s="778"/>
      <c r="K80" s="778"/>
      <c r="L80" s="778"/>
      <c r="M80" s="778"/>
      <c r="U80" s="66" t="s">
        <v>31</v>
      </c>
      <c r="V80" s="40" t="str">
        <f ca="1">Planung!$L22</f>
        <v>1. FC Riedwald</v>
      </c>
      <c r="W80" s="778" t="str">
        <f ca="1">Planung!$N22</f>
        <v>Maibach 1822 eV</v>
      </c>
      <c r="X80" s="831">
        <f ca="1">IF(AND($AA80=1,Vorrunde!$I28&lt;&gt;"",Vorrunde!$K28&lt;&gt;"",ABS(Vorrunde!$I28-Vorrunde!$K28)&gt;1),Vorrunde!$I28,"")</f>
        <v>25</v>
      </c>
      <c r="Y80" s="35">
        <f ca="1">IF(AND($AA80=1,Vorrunde!$I28&lt;&gt;"",Vorrunde!$K28&lt;&gt;"",ABS(Vorrunde!$I28-Vorrunde!$K28)&gt;1),Vorrunde!$K28,"")</f>
        <v>20</v>
      </c>
      <c r="Z80" s="34" t="str">
        <f t="shared" ca="1" si="70"/>
        <v>1. FC RiedwaldMaibach 1822 eV</v>
      </c>
      <c r="AA80" s="831">
        <f ca="1">IF(AND(V80&lt;&gt;"",W80&lt;&gt;"",V80&lt;&gt;W80,Vorrunde!$R28&lt;&gt;"",Vorrunde!$T28&lt;&gt;""),1,0)</f>
        <v>1</v>
      </c>
      <c r="AB80" s="831" t="str">
        <f ca="1">IF(AA80&gt;0,AH80&amp;Sprache!$E$109&amp;AI80,"")</f>
        <v>50 : 39</v>
      </c>
      <c r="AC80" s="141" t="str">
        <f ca="1">IF(AA80&gt;0,AJ80&amp;Sprache!$E$109&amp;AK80,"")</f>
        <v>2 : 0</v>
      </c>
      <c r="AD80" s="145">
        <f ca="1">IF(AND($AA80=1,Vorrunde!$L28&lt;&gt;"",Vorrunde!$N28&lt;&gt;"",ABS(Vorrunde!$L28-Vorrunde!$N28)&gt;1),Vorrunde!$L28,"")</f>
        <v>25</v>
      </c>
      <c r="AE80" s="141">
        <f ca="1">IF(AND($AA80=1,Vorrunde!$L28&lt;&gt;"",Vorrunde!$N28&lt;&gt;"",ABS(Vorrunde!$L28-Vorrunde!$N28)&gt;1),Vorrunde!$N28,"")</f>
        <v>19</v>
      </c>
      <c r="AF80" s="145" t="str">
        <f ca="1">IF(AND($AA80=1,Vorrunde!$O28&lt;&gt;"",Vorrunde!$Q28&lt;&gt;"",ABS(Vorrunde!$O28-Vorrunde!$Q28)&gt;1),Vorrunde!$O28,"")</f>
        <v/>
      </c>
      <c r="AG80" s="141" t="str">
        <f ca="1">IF(AND($AA80=1,Vorrunde!$O28&lt;&gt;"",Vorrunde!$Q28&lt;&gt;"",ABS(Vorrunde!$O28-Vorrunde!$Q28)&gt;1),Vorrunde!$Q28,"")</f>
        <v/>
      </c>
      <c r="AH80" s="145">
        <f t="shared" ca="1" si="68"/>
        <v>50</v>
      </c>
      <c r="AI80" s="141">
        <f t="shared" ca="1" si="69"/>
        <v>39</v>
      </c>
      <c r="AJ80" s="145">
        <f ca="1">IF(Vorrunde!$R28="",0,Vorrunde!$R28)</f>
        <v>2</v>
      </c>
      <c r="AK80" s="141">
        <f ca="1">IF(Vorrunde!$T28="",0,Vorrunde!$T28)</f>
        <v>0</v>
      </c>
      <c r="AL80" s="145">
        <f ca="1">IF($AA80=0,"",IF($AJ80&gt;$AK80,Einstellungen!$C$4,IF($AJ80=$AK80,1,0)))</f>
        <v>2</v>
      </c>
      <c r="AM80" s="141">
        <f ca="1">IF($AA80=0,"",IF($AJ80&lt;$AK80,Einstellungen!$C$4,IF($AJ80=$AK80,1,0)))</f>
        <v>0</v>
      </c>
    </row>
    <row r="81" spans="2:39" s="2" customFormat="1" x14ac:dyDescent="0.2">
      <c r="B81" s="4"/>
      <c r="C81" s="4"/>
      <c r="D81" s="4"/>
      <c r="E81" s="4"/>
      <c r="F81" s="778"/>
      <c r="G81" s="778"/>
      <c r="H81" s="778"/>
      <c r="I81" s="778"/>
      <c r="J81" s="778"/>
      <c r="K81" s="778"/>
      <c r="L81" s="778"/>
      <c r="M81" s="778"/>
      <c r="U81" s="66" t="s">
        <v>32</v>
      </c>
      <c r="V81" s="40" t="str">
        <f ca="1">Planung!$L23</f>
        <v>Mainz 05</v>
      </c>
      <c r="W81" s="778" t="str">
        <f ca="1">Planung!$N23</f>
        <v>Manchester City</v>
      </c>
      <c r="X81" s="831">
        <f ca="1">IF(AND($AA81=1,Vorrunde!$I29&lt;&gt;"",Vorrunde!$K29&lt;&gt;"",ABS(Vorrunde!$I29-Vorrunde!$K29)&gt;1),Vorrunde!$I29,"")</f>
        <v>9</v>
      </c>
      <c r="Y81" s="35">
        <f ca="1">IF(AND($AA81=1,Vorrunde!$I29&lt;&gt;"",Vorrunde!$K29&lt;&gt;"",ABS(Vorrunde!$I29-Vorrunde!$K29)&gt;1),Vorrunde!$K29,"")</f>
        <v>25</v>
      </c>
      <c r="Z81" s="34" t="str">
        <f t="shared" ca="1" si="70"/>
        <v>Mainz 05Manchester City</v>
      </c>
      <c r="AA81" s="831">
        <f ca="1">IF(AND(V81&lt;&gt;"",W81&lt;&gt;"",V81&lt;&gt;W81,Vorrunde!$R29&lt;&gt;"",Vorrunde!$T29&lt;&gt;""),1,0)</f>
        <v>1</v>
      </c>
      <c r="AB81" s="831" t="str">
        <f ca="1">IF(AA81&gt;0,AH81&amp;Sprache!$E$109&amp;AI81,"")</f>
        <v>23 : 50</v>
      </c>
      <c r="AC81" s="141" t="str">
        <f ca="1">IF(AA81&gt;0,AJ81&amp;Sprache!$E$109&amp;AK81,"")</f>
        <v>0 : 2</v>
      </c>
      <c r="AD81" s="145">
        <f ca="1">IF(AND($AA81=1,Vorrunde!$L29&lt;&gt;"",Vorrunde!$N29&lt;&gt;"",ABS(Vorrunde!$L29-Vorrunde!$N29)&gt;1),Vorrunde!$L29,"")</f>
        <v>14</v>
      </c>
      <c r="AE81" s="141">
        <f ca="1">IF(AND($AA81=1,Vorrunde!$L29&lt;&gt;"",Vorrunde!$N29&lt;&gt;"",ABS(Vorrunde!$L29-Vorrunde!$N29)&gt;1),Vorrunde!$N29,"")</f>
        <v>25</v>
      </c>
      <c r="AF81" s="145" t="str">
        <f ca="1">IF(AND($AA81=1,Vorrunde!$O29&lt;&gt;"",Vorrunde!$Q29&lt;&gt;"",ABS(Vorrunde!$O29-Vorrunde!$Q29)&gt;1),Vorrunde!$O29,"")</f>
        <v/>
      </c>
      <c r="AG81" s="141" t="str">
        <f ca="1">IF(AND($AA81=1,Vorrunde!$O29&lt;&gt;"",Vorrunde!$Q29&lt;&gt;"",ABS(Vorrunde!$O29-Vorrunde!$Q29)&gt;1),Vorrunde!$Q29,"")</f>
        <v/>
      </c>
      <c r="AH81" s="145">
        <f t="shared" ca="1" si="68"/>
        <v>23</v>
      </c>
      <c r="AI81" s="141">
        <f t="shared" ca="1" si="69"/>
        <v>50</v>
      </c>
      <c r="AJ81" s="145">
        <f ca="1">IF(Vorrunde!$R29="",0,Vorrunde!$R29)</f>
        <v>0</v>
      </c>
      <c r="AK81" s="141">
        <f ca="1">IF(Vorrunde!$T29="",0,Vorrunde!$T29)</f>
        <v>2</v>
      </c>
      <c r="AL81" s="145">
        <f ca="1">IF($AA81=0,"",IF($AJ81&gt;$AK81,Einstellungen!$C$4,IF($AJ81=$AK81,1,0)))</f>
        <v>0</v>
      </c>
      <c r="AM81" s="141">
        <f ca="1">IF($AA81=0,"",IF($AJ81&lt;$AK81,Einstellungen!$C$4,IF($AJ81=$AK81,1,0)))</f>
        <v>2</v>
      </c>
    </row>
    <row r="82" spans="2:39" s="2" customFormat="1" x14ac:dyDescent="0.2">
      <c r="B82" s="4"/>
      <c r="C82" s="4"/>
      <c r="D82" s="4"/>
      <c r="E82" s="4"/>
      <c r="F82" s="778"/>
      <c r="G82" s="778"/>
      <c r="H82" s="778"/>
      <c r="I82" s="778"/>
      <c r="J82" s="778"/>
      <c r="K82" s="778"/>
      <c r="L82" s="778"/>
      <c r="M82" s="778"/>
      <c r="U82" s="66" t="s">
        <v>33</v>
      </c>
      <c r="V82" s="40" t="str">
        <f ca="1">Planung!$L24</f>
        <v>Kickers Rodendorf</v>
      </c>
      <c r="W82" s="778" t="str">
        <f ca="1">Planung!$N24</f>
        <v>FSV Rauen</v>
      </c>
      <c r="X82" s="831">
        <f ca="1">IF(AND($AA82=1,Vorrunde!$I30&lt;&gt;"",Vorrunde!$K30&lt;&gt;"",ABS(Vorrunde!$I30-Vorrunde!$K30)&gt;1),Vorrunde!$I30,"")</f>
        <v>25</v>
      </c>
      <c r="Y82" s="35">
        <f ca="1">IF(AND($AA82=1,Vorrunde!$I30&lt;&gt;"",Vorrunde!$K30&lt;&gt;"",ABS(Vorrunde!$I30-Vorrunde!$K30)&gt;1),Vorrunde!$K30,"")</f>
        <v>2</v>
      </c>
      <c r="Z82" s="34" t="str">
        <f t="shared" ca="1" si="70"/>
        <v>Kickers RodendorfFSV Rauen</v>
      </c>
      <c r="AA82" s="831">
        <f ca="1">IF(AND(V82&lt;&gt;"",W82&lt;&gt;"",V82&lt;&gt;W82,Vorrunde!$R30&lt;&gt;"",Vorrunde!$T30&lt;&gt;""),1,0)</f>
        <v>1</v>
      </c>
      <c r="AB82" s="831" t="str">
        <f ca="1">IF(AA82&gt;0,AH82&amp;Sprache!$E$109&amp;AI82,"")</f>
        <v>50 : 23</v>
      </c>
      <c r="AC82" s="141" t="str">
        <f ca="1">IF(AA82&gt;0,AJ82&amp;Sprache!$E$109&amp;AK82,"")</f>
        <v>2 : 0</v>
      </c>
      <c r="AD82" s="145">
        <f ca="1">IF(AND($AA82=1,Vorrunde!$L30&lt;&gt;"",Vorrunde!$N30&lt;&gt;"",ABS(Vorrunde!$L30-Vorrunde!$N30)&gt;1),Vorrunde!$L30,"")</f>
        <v>25</v>
      </c>
      <c r="AE82" s="141">
        <f ca="1">IF(AND($AA82=1,Vorrunde!$L30&lt;&gt;"",Vorrunde!$N30&lt;&gt;"",ABS(Vorrunde!$L30-Vorrunde!$N30)&gt;1),Vorrunde!$N30,"")</f>
        <v>21</v>
      </c>
      <c r="AF82" s="145" t="str">
        <f ca="1">IF(AND($AA82=1,Vorrunde!$O30&lt;&gt;"",Vorrunde!$Q30&lt;&gt;"",ABS(Vorrunde!$O30-Vorrunde!$Q30)&gt;1),Vorrunde!$O30,"")</f>
        <v/>
      </c>
      <c r="AG82" s="141" t="str">
        <f ca="1">IF(AND($AA82=1,Vorrunde!$O30&lt;&gt;"",Vorrunde!$Q30&lt;&gt;"",ABS(Vorrunde!$O30-Vorrunde!$Q30)&gt;1),Vorrunde!$Q30,"")</f>
        <v/>
      </c>
      <c r="AH82" s="145">
        <f t="shared" ca="1" si="68"/>
        <v>50</v>
      </c>
      <c r="AI82" s="141">
        <f t="shared" ca="1" si="69"/>
        <v>23</v>
      </c>
      <c r="AJ82" s="145">
        <f ca="1">IF(Vorrunde!$R30="",0,Vorrunde!$R30)</f>
        <v>2</v>
      </c>
      <c r="AK82" s="141">
        <f ca="1">IF(Vorrunde!$T30="",0,Vorrunde!$T30)</f>
        <v>0</v>
      </c>
      <c r="AL82" s="145">
        <f ca="1">IF($AA82=0,"",IF($AJ82&gt;$AK82,Einstellungen!$C$4,IF($AJ82=$AK82,1,0)))</f>
        <v>2</v>
      </c>
      <c r="AM82" s="141">
        <f ca="1">IF($AA82=0,"",IF($AJ82&lt;$AK82,Einstellungen!$C$4,IF($AJ82=$AK82,1,0)))</f>
        <v>0</v>
      </c>
    </row>
    <row r="83" spans="2:39" s="2" customFormat="1" x14ac:dyDescent="0.2">
      <c r="B83" s="4"/>
      <c r="C83" s="4"/>
      <c r="D83" s="4"/>
      <c r="E83" s="4"/>
      <c r="F83" s="778"/>
      <c r="G83" s="778"/>
      <c r="H83" s="778"/>
      <c r="I83" s="778"/>
      <c r="J83" s="778"/>
      <c r="K83" s="778"/>
      <c r="L83" s="778"/>
      <c r="M83" s="778"/>
      <c r="U83" s="66" t="s">
        <v>34</v>
      </c>
      <c r="V83" s="40" t="str">
        <f ca="1">Planung!$L25</f>
        <v>TSG Saalberg eV</v>
      </c>
      <c r="W83" s="778" t="str">
        <f ca="1">Planung!$N25</f>
        <v>RB Leipzig</v>
      </c>
      <c r="X83" s="831">
        <f ca="1">IF(AND($AA83=1,Vorrunde!$I31&lt;&gt;"",Vorrunde!$K31&lt;&gt;"",ABS(Vorrunde!$I31-Vorrunde!$K31)&gt;1),Vorrunde!$I31,"")</f>
        <v>25</v>
      </c>
      <c r="Y83" s="35">
        <f ca="1">IF(AND($AA83=1,Vorrunde!$I31&lt;&gt;"",Vorrunde!$K31&lt;&gt;"",ABS(Vorrunde!$I31-Vorrunde!$K31)&gt;1),Vorrunde!$K31,"")</f>
        <v>2</v>
      </c>
      <c r="Z83" s="34" t="str">
        <f t="shared" ca="1" si="70"/>
        <v>TSG Saalberg eVRB Leipzig</v>
      </c>
      <c r="AA83" s="831">
        <f ca="1">IF(AND(V83&lt;&gt;"",W83&lt;&gt;"",V83&lt;&gt;W83,Vorrunde!$R31&lt;&gt;"",Vorrunde!$T31&lt;&gt;""),1,0)</f>
        <v>1</v>
      </c>
      <c r="AB83" s="831" t="str">
        <f ca="1">IF(AA83&gt;0,AH83&amp;Sprache!$E$109&amp;AI83,"")</f>
        <v>50 : 24</v>
      </c>
      <c r="AC83" s="141" t="str">
        <f ca="1">IF(AA83&gt;0,AJ83&amp;Sprache!$E$109&amp;AK83,"")</f>
        <v>2 : 0</v>
      </c>
      <c r="AD83" s="145">
        <f ca="1">IF(AND($AA83=1,Vorrunde!$L31&lt;&gt;"",Vorrunde!$N31&lt;&gt;"",ABS(Vorrunde!$L31-Vorrunde!$N31)&gt;1),Vorrunde!$L31,"")</f>
        <v>25</v>
      </c>
      <c r="AE83" s="141">
        <f ca="1">IF(AND($AA83=1,Vorrunde!$L31&lt;&gt;"",Vorrunde!$N31&lt;&gt;"",ABS(Vorrunde!$L31-Vorrunde!$N31)&gt;1),Vorrunde!$N31,"")</f>
        <v>22</v>
      </c>
      <c r="AF83" s="145" t="str">
        <f ca="1">IF(AND($AA83=1,Vorrunde!$O31&lt;&gt;"",Vorrunde!$Q31&lt;&gt;"",ABS(Vorrunde!$O31-Vorrunde!$Q31)&gt;1),Vorrunde!$O31,"")</f>
        <v/>
      </c>
      <c r="AG83" s="141" t="str">
        <f ca="1">IF(AND($AA83=1,Vorrunde!$O31&lt;&gt;"",Vorrunde!$Q31&lt;&gt;"",ABS(Vorrunde!$O31-Vorrunde!$Q31)&gt;1),Vorrunde!$Q31,"")</f>
        <v/>
      </c>
      <c r="AH83" s="145">
        <f t="shared" ca="1" si="68"/>
        <v>50</v>
      </c>
      <c r="AI83" s="141">
        <f t="shared" ca="1" si="69"/>
        <v>24</v>
      </c>
      <c r="AJ83" s="145">
        <f ca="1">IF(Vorrunde!$R31="",0,Vorrunde!$R31)</f>
        <v>2</v>
      </c>
      <c r="AK83" s="141">
        <f ca="1">IF(Vorrunde!$T31="",0,Vorrunde!$T31)</f>
        <v>0</v>
      </c>
      <c r="AL83" s="145">
        <f ca="1">IF($AA83=0,"",IF($AJ83&gt;$AK83,Einstellungen!$C$4,IF($AJ83=$AK83,1,0)))</f>
        <v>2</v>
      </c>
      <c r="AM83" s="141">
        <f ca="1">IF($AA83=0,"",IF($AJ83&lt;$AK83,Einstellungen!$C$4,IF($AJ83=$AK83,1,0)))</f>
        <v>0</v>
      </c>
    </row>
    <row r="84" spans="2:39" s="2" customFormat="1" x14ac:dyDescent="0.2">
      <c r="B84" s="4"/>
      <c r="C84" s="4"/>
      <c r="D84" s="4"/>
      <c r="E84" s="4"/>
      <c r="F84" s="778"/>
      <c r="G84" s="778"/>
      <c r="H84" s="778"/>
      <c r="I84" s="778"/>
      <c r="J84" s="778"/>
      <c r="K84" s="778"/>
      <c r="L84" s="778"/>
      <c r="M84" s="778"/>
      <c r="U84" s="66" t="s">
        <v>35</v>
      </c>
      <c r="V84" s="40" t="str">
        <f ca="1">Planung!$L26</f>
        <v>Eintracht Frankfurt</v>
      </c>
      <c r="W84" s="778" t="str">
        <f ca="1">Planung!$N26</f>
        <v>VFB Essenheim</v>
      </c>
      <c r="X84" s="831">
        <f ca="1">IF(AND($AA84=1,Vorrunde!$I32&lt;&gt;"",Vorrunde!$K32&lt;&gt;"",ABS(Vorrunde!$I32-Vorrunde!$K32)&gt;1),Vorrunde!$I32,"")</f>
        <v>12</v>
      </c>
      <c r="Y84" s="35">
        <f ca="1">IF(AND($AA84=1,Vorrunde!$I32&lt;&gt;"",Vorrunde!$K32&lt;&gt;"",ABS(Vorrunde!$I32-Vorrunde!$K32)&gt;1),Vorrunde!$K32,"")</f>
        <v>25</v>
      </c>
      <c r="Z84" s="34" t="str">
        <f t="shared" ca="1" si="70"/>
        <v>Eintracht FrankfurtVFB Essenheim</v>
      </c>
      <c r="AA84" s="831">
        <f ca="1">IF(AND(V84&lt;&gt;"",W84&lt;&gt;"",V84&lt;&gt;W84,Vorrunde!$R32&lt;&gt;"",Vorrunde!$T32&lt;&gt;""),1,0)</f>
        <v>1</v>
      </c>
      <c r="AB84" s="831" t="str">
        <f ca="1">IF(AA84&gt;0,AH84&amp;Sprache!$E$109&amp;AI84,"")</f>
        <v>37 : 37</v>
      </c>
      <c r="AC84" s="141" t="str">
        <f ca="1">IF(AA84&gt;0,AJ84&amp;Sprache!$E$109&amp;AK84,"")</f>
        <v>1 : 1</v>
      </c>
      <c r="AD84" s="145">
        <f ca="1">IF(AND($AA84=1,Vorrunde!$L32&lt;&gt;"",Vorrunde!$N32&lt;&gt;"",ABS(Vorrunde!$L32-Vorrunde!$N32)&gt;1),Vorrunde!$L32,"")</f>
        <v>25</v>
      </c>
      <c r="AE84" s="141">
        <f ca="1">IF(AND($AA84=1,Vorrunde!$L32&lt;&gt;"",Vorrunde!$N32&lt;&gt;"",ABS(Vorrunde!$L32-Vorrunde!$N32)&gt;1),Vorrunde!$N32,"")</f>
        <v>12</v>
      </c>
      <c r="AF84" s="145" t="str">
        <f ca="1">IF(AND($AA84=1,Vorrunde!$O32&lt;&gt;"",Vorrunde!$Q32&lt;&gt;"",ABS(Vorrunde!$O32-Vorrunde!$Q32)&gt;1),Vorrunde!$O32,"")</f>
        <v/>
      </c>
      <c r="AG84" s="141" t="str">
        <f ca="1">IF(AND($AA84=1,Vorrunde!$O32&lt;&gt;"",Vorrunde!$Q32&lt;&gt;"",ABS(Vorrunde!$O32-Vorrunde!$Q32)&gt;1),Vorrunde!$Q32,"")</f>
        <v/>
      </c>
      <c r="AH84" s="145">
        <f t="shared" ca="1" si="68"/>
        <v>37</v>
      </c>
      <c r="AI84" s="141">
        <f t="shared" ca="1" si="69"/>
        <v>37</v>
      </c>
      <c r="AJ84" s="145">
        <f ca="1">IF(Vorrunde!$R32="",0,Vorrunde!$R32)</f>
        <v>1</v>
      </c>
      <c r="AK84" s="141">
        <f ca="1">IF(Vorrunde!$T32="",0,Vorrunde!$T32)</f>
        <v>1</v>
      </c>
      <c r="AL84" s="145">
        <f ca="1">IF($AA84=0,"",IF($AJ84&gt;$AK84,Einstellungen!$C$4,IF($AJ84=$AK84,1,0)))</f>
        <v>1</v>
      </c>
      <c r="AM84" s="141">
        <f ca="1">IF($AA84=0,"",IF($AJ84&lt;$AK84,Einstellungen!$C$4,IF($AJ84=$AK84,1,0)))</f>
        <v>1</v>
      </c>
    </row>
    <row r="85" spans="2:39" s="2" customFormat="1" x14ac:dyDescent="0.2">
      <c r="B85" s="4"/>
      <c r="C85" s="4"/>
      <c r="D85" s="4"/>
      <c r="E85" s="4"/>
      <c r="F85" s="778"/>
      <c r="G85" s="778"/>
      <c r="H85" s="778"/>
      <c r="I85" s="778"/>
      <c r="J85" s="778"/>
      <c r="K85" s="778"/>
      <c r="L85" s="778"/>
      <c r="M85" s="778"/>
      <c r="U85" s="66" t="s">
        <v>36</v>
      </c>
      <c r="V85" s="40" t="str">
        <f ca="1">Planung!$L27</f>
        <v>SSV Wildbach</v>
      </c>
      <c r="W85" s="778" t="str">
        <f ca="1">Planung!$N27</f>
        <v>FC Grönlingen</v>
      </c>
      <c r="X85" s="831">
        <f ca="1">IF(AND($AA85=1,Vorrunde!$I33&lt;&gt;"",Vorrunde!$K33&lt;&gt;"",ABS(Vorrunde!$I33-Vorrunde!$K33)&gt;1),Vorrunde!$I33,"")</f>
        <v>19</v>
      </c>
      <c r="Y85" s="35">
        <f ca="1">IF(AND($AA85=1,Vorrunde!$I33&lt;&gt;"",Vorrunde!$K33&lt;&gt;"",ABS(Vorrunde!$I33-Vorrunde!$K33)&gt;1),Vorrunde!$K33,"")</f>
        <v>25</v>
      </c>
      <c r="Z85" s="34" t="str">
        <f t="shared" ca="1" si="70"/>
        <v>SSV WildbachFC Grönlingen</v>
      </c>
      <c r="AA85" s="831">
        <f ca="1">IF(AND(V85&lt;&gt;"",W85&lt;&gt;"",V85&lt;&gt;W85,Vorrunde!$R33&lt;&gt;"",Vorrunde!$T33&lt;&gt;""),1,0)</f>
        <v>1</v>
      </c>
      <c r="AB85" s="831" t="str">
        <f ca="1">IF(AA85&gt;0,AH85&amp;Sprache!$E$109&amp;AI85,"")</f>
        <v>44 : 42</v>
      </c>
      <c r="AC85" s="141" t="str">
        <f ca="1">IF(AA85&gt;0,AJ85&amp;Sprache!$E$109&amp;AK85,"")</f>
        <v>1 : 1</v>
      </c>
      <c r="AD85" s="145">
        <f ca="1">IF(AND($AA85=1,Vorrunde!$L33&lt;&gt;"",Vorrunde!$N33&lt;&gt;"",ABS(Vorrunde!$L33-Vorrunde!$N33)&gt;1),Vorrunde!$L33,"")</f>
        <v>25</v>
      </c>
      <c r="AE85" s="141">
        <f ca="1">IF(AND($AA85=1,Vorrunde!$L33&lt;&gt;"",Vorrunde!$N33&lt;&gt;"",ABS(Vorrunde!$L33-Vorrunde!$N33)&gt;1),Vorrunde!$N33,"")</f>
        <v>17</v>
      </c>
      <c r="AF85" s="145" t="str">
        <f ca="1">IF(AND($AA85=1,Vorrunde!$O33&lt;&gt;"",Vorrunde!$Q33&lt;&gt;"",ABS(Vorrunde!$O33-Vorrunde!$Q33)&gt;1),Vorrunde!$O33,"")</f>
        <v/>
      </c>
      <c r="AG85" s="141" t="str">
        <f ca="1">IF(AND($AA85=1,Vorrunde!$O33&lt;&gt;"",Vorrunde!$Q33&lt;&gt;"",ABS(Vorrunde!$O33-Vorrunde!$Q33)&gt;1),Vorrunde!$Q33,"")</f>
        <v/>
      </c>
      <c r="AH85" s="145">
        <f t="shared" ca="1" si="68"/>
        <v>44</v>
      </c>
      <c r="AI85" s="141">
        <f t="shared" ca="1" si="69"/>
        <v>42</v>
      </c>
      <c r="AJ85" s="145">
        <f ca="1">IF(Vorrunde!$R33="",0,Vorrunde!$R33)</f>
        <v>1</v>
      </c>
      <c r="AK85" s="141">
        <f ca="1">IF(Vorrunde!$T33="",0,Vorrunde!$T33)</f>
        <v>1</v>
      </c>
      <c r="AL85" s="145">
        <f ca="1">IF($AA85=0,"",IF($AJ85&gt;$AK85,Einstellungen!$C$4,IF($AJ85=$AK85,1,0)))</f>
        <v>1</v>
      </c>
      <c r="AM85" s="141">
        <f ca="1">IF($AA85=0,"",IF($AJ85&lt;$AK85,Einstellungen!$C$4,IF($AJ85=$AK85,1,0)))</f>
        <v>1</v>
      </c>
    </row>
    <row r="86" spans="2:39" s="2" customFormat="1" x14ac:dyDescent="0.2">
      <c r="B86" s="4"/>
      <c r="C86" s="4"/>
      <c r="D86" s="4"/>
      <c r="E86" s="4"/>
      <c r="F86" s="778"/>
      <c r="G86" s="778"/>
      <c r="H86" s="778"/>
      <c r="I86" s="778"/>
      <c r="J86" s="778"/>
      <c r="K86" s="778"/>
      <c r="L86" s="778"/>
      <c r="M86" s="778"/>
      <c r="U86" s="66" t="s">
        <v>37</v>
      </c>
      <c r="V86" s="40" t="str">
        <f ca="1">Planung!$L28</f>
        <v>Borussia Dortmund</v>
      </c>
      <c r="W86" s="778" t="str">
        <f ca="1">Planung!$N28</f>
        <v>1. FC Nürnberg</v>
      </c>
      <c r="X86" s="831">
        <f ca="1">IF(AND($AA86=1,Vorrunde!$I34&lt;&gt;"",Vorrunde!$K34&lt;&gt;"",ABS(Vorrunde!$I34-Vorrunde!$K34)&gt;1),Vorrunde!$I34,"")</f>
        <v>17</v>
      </c>
      <c r="Y86" s="35">
        <f ca="1">IF(AND($AA86=1,Vorrunde!$I34&lt;&gt;"",Vorrunde!$K34&lt;&gt;"",ABS(Vorrunde!$I34-Vorrunde!$K34)&gt;1),Vorrunde!$K34,"")</f>
        <v>25</v>
      </c>
      <c r="Z86" s="34" t="str">
        <f t="shared" ca="1" si="70"/>
        <v>Borussia Dortmund1. FC Nürnberg</v>
      </c>
      <c r="AA86" s="831">
        <f ca="1">IF(AND(V86&lt;&gt;"",W86&lt;&gt;"",V86&lt;&gt;W86,Vorrunde!$R34&lt;&gt;"",Vorrunde!$T34&lt;&gt;""),1,0)</f>
        <v>1</v>
      </c>
      <c r="AB86" s="831" t="str">
        <f ca="1">IF(AA86&gt;0,AH86&amp;Sprache!$E$109&amp;AI86,"")</f>
        <v>42 : 41</v>
      </c>
      <c r="AC86" s="141" t="str">
        <f ca="1">IF(AA86&gt;0,AJ86&amp;Sprache!$E$109&amp;AK86,"")</f>
        <v>1 : 1</v>
      </c>
      <c r="AD86" s="145">
        <f ca="1">IF(AND($AA86=1,Vorrunde!$L34&lt;&gt;"",Vorrunde!$N34&lt;&gt;"",ABS(Vorrunde!$L34-Vorrunde!$N34)&gt;1),Vorrunde!$L34,"")</f>
        <v>25</v>
      </c>
      <c r="AE86" s="141">
        <f ca="1">IF(AND($AA86=1,Vorrunde!$L34&lt;&gt;"",Vorrunde!$N34&lt;&gt;"",ABS(Vorrunde!$L34-Vorrunde!$N34)&gt;1),Vorrunde!$N34,"")</f>
        <v>16</v>
      </c>
      <c r="AF86" s="145" t="str">
        <f ca="1">IF(AND($AA86=1,Vorrunde!$O34&lt;&gt;"",Vorrunde!$Q34&lt;&gt;"",ABS(Vorrunde!$O34-Vorrunde!$Q34)&gt;1),Vorrunde!$O34,"")</f>
        <v/>
      </c>
      <c r="AG86" s="141" t="str">
        <f ca="1">IF(AND($AA86=1,Vorrunde!$O34&lt;&gt;"",Vorrunde!$Q34&lt;&gt;"",ABS(Vorrunde!$O34-Vorrunde!$Q34)&gt;1),Vorrunde!$Q34,"")</f>
        <v/>
      </c>
      <c r="AH86" s="145">
        <f t="shared" ca="1" si="68"/>
        <v>42</v>
      </c>
      <c r="AI86" s="141">
        <f t="shared" ca="1" si="69"/>
        <v>41</v>
      </c>
      <c r="AJ86" s="145">
        <f ca="1">IF(Vorrunde!$R34="",0,Vorrunde!$R34)</f>
        <v>1</v>
      </c>
      <c r="AK86" s="141">
        <f ca="1">IF(Vorrunde!$T34="",0,Vorrunde!$T34)</f>
        <v>1</v>
      </c>
      <c r="AL86" s="145">
        <f ca="1">IF($AA86=0,"",IF($AJ86&gt;$AK86,Einstellungen!$C$4,IF($AJ86=$AK86,1,0)))</f>
        <v>1</v>
      </c>
      <c r="AM86" s="141">
        <f ca="1">IF($AA86=0,"",IF($AJ86&lt;$AK86,Einstellungen!$C$4,IF($AJ86=$AK86,1,0)))</f>
        <v>1</v>
      </c>
    </row>
    <row r="87" spans="2:39" s="2" customFormat="1" x14ac:dyDescent="0.2">
      <c r="B87" s="4"/>
      <c r="C87" s="4"/>
      <c r="D87" s="4"/>
      <c r="E87" s="4"/>
      <c r="F87" s="778"/>
      <c r="G87" s="778"/>
      <c r="H87" s="778"/>
      <c r="I87" s="778"/>
      <c r="J87" s="778"/>
      <c r="K87" s="778"/>
      <c r="L87" s="778"/>
      <c r="M87" s="778"/>
      <c r="U87" s="66" t="s">
        <v>38</v>
      </c>
      <c r="V87" s="40" t="str">
        <f ca="1">Planung!$L29</f>
        <v>HSV</v>
      </c>
      <c r="W87" s="778" t="str">
        <f ca="1">Planung!$N29</f>
        <v>SV Oberredenburg</v>
      </c>
      <c r="X87" s="831">
        <f ca="1">IF(AND($AA87=1,Vorrunde!$I35&lt;&gt;"",Vorrunde!$K35&lt;&gt;"",ABS(Vorrunde!$I35-Vorrunde!$K35)&gt;1),Vorrunde!$I35,"")</f>
        <v>14</v>
      </c>
      <c r="Y87" s="35">
        <f ca="1">IF(AND($AA87=1,Vorrunde!$I35&lt;&gt;"",Vorrunde!$K35&lt;&gt;"",ABS(Vorrunde!$I35-Vorrunde!$K35)&gt;1),Vorrunde!$K35,"")</f>
        <v>25</v>
      </c>
      <c r="Z87" s="34" t="str">
        <f t="shared" ca="1" si="70"/>
        <v>HSVSV Oberredenburg</v>
      </c>
      <c r="AA87" s="831">
        <f ca="1">IF(AND(V87&lt;&gt;"",W87&lt;&gt;"",V87&lt;&gt;W87,Vorrunde!$R35&lt;&gt;"",Vorrunde!$T35&lt;&gt;""),1,0)</f>
        <v>1</v>
      </c>
      <c r="AB87" s="831" t="str">
        <f ca="1">IF(AA87&gt;0,AH87&amp;Sprache!$E$109&amp;AI87,"")</f>
        <v>39 : 44</v>
      </c>
      <c r="AC87" s="141" t="str">
        <f ca="1">IF(AA87&gt;0,AJ87&amp;Sprache!$E$109&amp;AK87,"")</f>
        <v>1 : 1</v>
      </c>
      <c r="AD87" s="145">
        <f ca="1">IF(AND($AA87=1,Vorrunde!$L35&lt;&gt;"",Vorrunde!$N35&lt;&gt;"",ABS(Vorrunde!$L35-Vorrunde!$N35)&gt;1),Vorrunde!$L35,"")</f>
        <v>25</v>
      </c>
      <c r="AE87" s="141">
        <f ca="1">IF(AND($AA87=1,Vorrunde!$L35&lt;&gt;"",Vorrunde!$N35&lt;&gt;"",ABS(Vorrunde!$L35-Vorrunde!$N35)&gt;1),Vorrunde!$N35,"")</f>
        <v>19</v>
      </c>
      <c r="AF87" s="145" t="str">
        <f ca="1">IF(AND($AA87=1,Vorrunde!$O35&lt;&gt;"",Vorrunde!$Q35&lt;&gt;"",ABS(Vorrunde!$O35-Vorrunde!$Q35)&gt;1),Vorrunde!$O35,"")</f>
        <v/>
      </c>
      <c r="AG87" s="141" t="str">
        <f ca="1">IF(AND($AA87=1,Vorrunde!$O35&lt;&gt;"",Vorrunde!$Q35&lt;&gt;"",ABS(Vorrunde!$O35-Vorrunde!$Q35)&gt;1),Vorrunde!$Q35,"")</f>
        <v/>
      </c>
      <c r="AH87" s="145">
        <f t="shared" ca="1" si="68"/>
        <v>39</v>
      </c>
      <c r="AI87" s="141">
        <f t="shared" ca="1" si="69"/>
        <v>44</v>
      </c>
      <c r="AJ87" s="145">
        <f ca="1">IF(Vorrunde!$R35="",0,Vorrunde!$R35)</f>
        <v>1</v>
      </c>
      <c r="AK87" s="141">
        <f ca="1">IF(Vorrunde!$T35="",0,Vorrunde!$T35)</f>
        <v>1</v>
      </c>
      <c r="AL87" s="145">
        <f ca="1">IF($AA87=0,"",IF($AJ87&gt;$AK87,Einstellungen!$C$4,IF($AJ87=$AK87,1,0)))</f>
        <v>1</v>
      </c>
      <c r="AM87" s="141">
        <f ca="1">IF($AA87=0,"",IF($AJ87&lt;$AK87,Einstellungen!$C$4,IF($AJ87=$AK87,1,0)))</f>
        <v>1</v>
      </c>
    </row>
    <row r="88" spans="2:39" s="2" customFormat="1" x14ac:dyDescent="0.2">
      <c r="B88" s="4"/>
      <c r="C88" s="4"/>
      <c r="D88" s="4"/>
      <c r="E88" s="4"/>
      <c r="F88" s="778"/>
      <c r="G88" s="778"/>
      <c r="H88" s="778"/>
      <c r="I88" s="778"/>
      <c r="J88" s="778"/>
      <c r="K88" s="778"/>
      <c r="L88" s="778"/>
      <c r="M88" s="778"/>
      <c r="U88" s="66" t="s">
        <v>39</v>
      </c>
      <c r="V88" s="40" t="str">
        <f ca="1">Planung!$L30</f>
        <v>FC Barcelona</v>
      </c>
      <c r="W88" s="778" t="str">
        <f ca="1">Planung!$N30</f>
        <v>Maibach 1822 eV</v>
      </c>
      <c r="X88" s="831">
        <f ca="1">IF(AND($AA88=1,Vorrunde!$I36&lt;&gt;"",Vorrunde!$K36&lt;&gt;"",ABS(Vorrunde!$I36-Vorrunde!$K36)&gt;1),Vorrunde!$I36,"")</f>
        <v>20</v>
      </c>
      <c r="Y88" s="35">
        <f ca="1">IF(AND($AA88=1,Vorrunde!$I36&lt;&gt;"",Vorrunde!$K36&lt;&gt;"",ABS(Vorrunde!$I36-Vorrunde!$K36)&gt;1),Vorrunde!$K36,"")</f>
        <v>25</v>
      </c>
      <c r="Z88" s="34" t="str">
        <f t="shared" ca="1" si="70"/>
        <v>FC BarcelonaMaibach 1822 eV</v>
      </c>
      <c r="AA88" s="831">
        <f ca="1">IF(AND(V88&lt;&gt;"",W88&lt;&gt;"",V88&lt;&gt;W88,Vorrunde!$R36&lt;&gt;"",Vorrunde!$T36&lt;&gt;""),1,0)</f>
        <v>1</v>
      </c>
      <c r="AB88" s="831" t="str">
        <f ca="1">IF(AA88&gt;0,AH88&amp;Sprache!$E$109&amp;AI88,"")</f>
        <v>45 : 45</v>
      </c>
      <c r="AC88" s="141" t="str">
        <f ca="1">IF(AA88&gt;0,AJ88&amp;Sprache!$E$109&amp;AK88,"")</f>
        <v>1 : 1</v>
      </c>
      <c r="AD88" s="145">
        <f ca="1">IF(AND($AA88=1,Vorrunde!$L36&lt;&gt;"",Vorrunde!$N36&lt;&gt;"",ABS(Vorrunde!$L36-Vorrunde!$N36)&gt;1),Vorrunde!$L36,"")</f>
        <v>25</v>
      </c>
      <c r="AE88" s="141">
        <f ca="1">IF(AND($AA88=1,Vorrunde!$L36&lt;&gt;"",Vorrunde!$N36&lt;&gt;"",ABS(Vorrunde!$L36-Vorrunde!$N36)&gt;1),Vorrunde!$N36,"")</f>
        <v>20</v>
      </c>
      <c r="AF88" s="145" t="str">
        <f ca="1">IF(AND($AA88=1,Vorrunde!$O36&lt;&gt;"",Vorrunde!$Q36&lt;&gt;"",ABS(Vorrunde!$O36-Vorrunde!$Q36)&gt;1),Vorrunde!$O36,"")</f>
        <v/>
      </c>
      <c r="AG88" s="141" t="str">
        <f ca="1">IF(AND($AA88=1,Vorrunde!$O36&lt;&gt;"",Vorrunde!$Q36&lt;&gt;"",ABS(Vorrunde!$O36-Vorrunde!$Q36)&gt;1),Vorrunde!$Q36,"")</f>
        <v/>
      </c>
      <c r="AH88" s="145">
        <f t="shared" ca="1" si="68"/>
        <v>45</v>
      </c>
      <c r="AI88" s="141">
        <f t="shared" ca="1" si="69"/>
        <v>45</v>
      </c>
      <c r="AJ88" s="145">
        <f ca="1">IF(Vorrunde!$R36="",0,Vorrunde!$R36)</f>
        <v>1</v>
      </c>
      <c r="AK88" s="141">
        <f ca="1">IF(Vorrunde!$T36="",0,Vorrunde!$T36)</f>
        <v>1</v>
      </c>
      <c r="AL88" s="145">
        <f ca="1">IF($AA88=0,"",IF($AJ88&gt;$AK88,Einstellungen!$C$4,IF($AJ88=$AK88,1,0)))</f>
        <v>1</v>
      </c>
      <c r="AM88" s="141">
        <f ca="1">IF($AA88=0,"",IF($AJ88&lt;$AK88,Einstellungen!$C$4,IF($AJ88=$AK88,1,0)))</f>
        <v>1</v>
      </c>
    </row>
    <row r="89" spans="2:39" s="2" customFormat="1" x14ac:dyDescent="0.2">
      <c r="B89" s="4"/>
      <c r="C89" s="4"/>
      <c r="D89" s="4"/>
      <c r="E89" s="4"/>
      <c r="F89" s="778"/>
      <c r="G89" s="778"/>
      <c r="H89" s="778"/>
      <c r="I89" s="778"/>
      <c r="J89" s="778"/>
      <c r="K89" s="778"/>
      <c r="L89" s="778"/>
      <c r="M89" s="778"/>
      <c r="U89" s="66" t="s">
        <v>40</v>
      </c>
      <c r="V89" s="40" t="str">
        <f ca="1">Planung!$L31</f>
        <v>Inter Mailand</v>
      </c>
      <c r="W89" s="778" t="str">
        <f ca="1">Planung!$N31</f>
        <v>Manchester City</v>
      </c>
      <c r="X89" s="831">
        <f ca="1">IF(AND($AA89=1,Vorrunde!$I37&lt;&gt;"",Vorrunde!$K37&lt;&gt;"",ABS(Vorrunde!$I37-Vorrunde!$K37)&gt;1),Vorrunde!$I37,"")</f>
        <v>19</v>
      </c>
      <c r="Y89" s="35">
        <f ca="1">IF(AND($AA89=1,Vorrunde!$I37&lt;&gt;"",Vorrunde!$K37&lt;&gt;"",ABS(Vorrunde!$I37-Vorrunde!$K37)&gt;1),Vorrunde!$K37,"")</f>
        <v>25</v>
      </c>
      <c r="Z89" s="34" t="str">
        <f t="shared" ca="1" si="70"/>
        <v>Inter MailandManchester City</v>
      </c>
      <c r="AA89" s="831">
        <f ca="1">IF(AND(V89&lt;&gt;"",W89&lt;&gt;"",V89&lt;&gt;W89,Vorrunde!$R37&lt;&gt;"",Vorrunde!$T37&lt;&gt;""),1,0)</f>
        <v>1</v>
      </c>
      <c r="AB89" s="831" t="str">
        <f ca="1">IF(AA89&gt;0,AH89&amp;Sprache!$E$109&amp;AI89,"")</f>
        <v>44 : 46</v>
      </c>
      <c r="AC89" s="141" t="str">
        <f ca="1">IF(AA89&gt;0,AJ89&amp;Sprache!$E$109&amp;AK89,"")</f>
        <v>1 : 1</v>
      </c>
      <c r="AD89" s="145">
        <f ca="1">IF(AND($AA89=1,Vorrunde!$L37&lt;&gt;"",Vorrunde!$N37&lt;&gt;"",ABS(Vorrunde!$L37-Vorrunde!$N37)&gt;1),Vorrunde!$L37,"")</f>
        <v>25</v>
      </c>
      <c r="AE89" s="141">
        <f ca="1">IF(AND($AA89=1,Vorrunde!$L37&lt;&gt;"",Vorrunde!$N37&lt;&gt;"",ABS(Vorrunde!$L37-Vorrunde!$N37)&gt;1),Vorrunde!$N37,"")</f>
        <v>21</v>
      </c>
      <c r="AF89" s="145" t="str">
        <f ca="1">IF(AND($AA89=1,Vorrunde!$O37&lt;&gt;"",Vorrunde!$Q37&lt;&gt;"",ABS(Vorrunde!$O37-Vorrunde!$Q37)&gt;1),Vorrunde!$O37,"")</f>
        <v/>
      </c>
      <c r="AG89" s="141" t="str">
        <f ca="1">IF(AND($AA89=1,Vorrunde!$O37&lt;&gt;"",Vorrunde!$Q37&lt;&gt;"",ABS(Vorrunde!$O37-Vorrunde!$Q37)&gt;1),Vorrunde!$Q37,"")</f>
        <v/>
      </c>
      <c r="AH89" s="145">
        <f t="shared" ca="1" si="68"/>
        <v>44</v>
      </c>
      <c r="AI89" s="141">
        <f t="shared" ca="1" si="69"/>
        <v>46</v>
      </c>
      <c r="AJ89" s="145">
        <f ca="1">IF(Vorrunde!$R37="",0,Vorrunde!$R37)</f>
        <v>1</v>
      </c>
      <c r="AK89" s="141">
        <f ca="1">IF(Vorrunde!$T37="",0,Vorrunde!$T37)</f>
        <v>1</v>
      </c>
      <c r="AL89" s="145">
        <f ca="1">IF($AA89=0,"",IF($AJ89&gt;$AK89,Einstellungen!$C$4,IF($AJ89=$AK89,1,0)))</f>
        <v>1</v>
      </c>
      <c r="AM89" s="141">
        <f ca="1">IF($AA89=0,"",IF($AJ89&lt;$AK89,Einstellungen!$C$4,IF($AJ89=$AK89,1,0)))</f>
        <v>1</v>
      </c>
    </row>
    <row r="90" spans="2:39" s="2" customFormat="1" x14ac:dyDescent="0.2">
      <c r="B90" s="4"/>
      <c r="C90" s="4"/>
      <c r="D90" s="4"/>
      <c r="E90" s="4"/>
      <c r="F90" s="778"/>
      <c r="G90" s="778"/>
      <c r="H90" s="778"/>
      <c r="I90" s="778"/>
      <c r="J90" s="778"/>
      <c r="K90" s="778"/>
      <c r="L90" s="778"/>
      <c r="M90" s="778"/>
      <c r="U90" s="66" t="s">
        <v>41</v>
      </c>
      <c r="V90" s="40" t="str">
        <f ca="1">Planung!$L32</f>
        <v>Real Madrid</v>
      </c>
      <c r="W90" s="778" t="str">
        <f ca="1">Planung!$N32</f>
        <v>FSV Rauen</v>
      </c>
      <c r="X90" s="831">
        <f ca="1">IF(AND($AA90=1,Vorrunde!$I38&lt;&gt;"",Vorrunde!$K38&lt;&gt;"",ABS(Vorrunde!$I38-Vorrunde!$K38)&gt;1),Vorrunde!$I38,"")</f>
        <v>17</v>
      </c>
      <c r="Y90" s="35">
        <f ca="1">IF(AND($AA90=1,Vorrunde!$I38&lt;&gt;"",Vorrunde!$K38&lt;&gt;"",ABS(Vorrunde!$I38-Vorrunde!$K38)&gt;1),Vorrunde!$K38,"")</f>
        <v>25</v>
      </c>
      <c r="Z90" s="34" t="str">
        <f t="shared" ca="1" si="70"/>
        <v>Real MadridFSV Rauen</v>
      </c>
      <c r="AA90" s="831">
        <f ca="1">IF(AND(V90&lt;&gt;"",W90&lt;&gt;"",V90&lt;&gt;W90,Vorrunde!$R38&lt;&gt;"",Vorrunde!$T38&lt;&gt;""),1,0)</f>
        <v>1</v>
      </c>
      <c r="AB90" s="831" t="str">
        <f ca="1">IF(AA90&gt;0,AH90&amp;Sprache!$E$109&amp;AI90,"")</f>
        <v>42 : 47</v>
      </c>
      <c r="AC90" s="141" t="str">
        <f ca="1">IF(AA90&gt;0,AJ90&amp;Sprache!$E$109&amp;AK90,"")</f>
        <v>1 : 1</v>
      </c>
      <c r="AD90" s="145">
        <f ca="1">IF(AND($AA90=1,Vorrunde!$L38&lt;&gt;"",Vorrunde!$N38&lt;&gt;"",ABS(Vorrunde!$L38-Vorrunde!$N38)&gt;1),Vorrunde!$L38,"")</f>
        <v>25</v>
      </c>
      <c r="AE90" s="141">
        <f ca="1">IF(AND($AA90=1,Vorrunde!$L38&lt;&gt;"",Vorrunde!$N38&lt;&gt;"",ABS(Vorrunde!$L38-Vorrunde!$N38)&gt;1),Vorrunde!$N38,"")</f>
        <v>22</v>
      </c>
      <c r="AF90" s="145" t="str">
        <f ca="1">IF(AND($AA90=1,Vorrunde!$O38&lt;&gt;"",Vorrunde!$Q38&lt;&gt;"",ABS(Vorrunde!$O38-Vorrunde!$Q38)&gt;1),Vorrunde!$O38,"")</f>
        <v/>
      </c>
      <c r="AG90" s="141" t="str">
        <f ca="1">IF(AND($AA90=1,Vorrunde!$O38&lt;&gt;"",Vorrunde!$Q38&lt;&gt;"",ABS(Vorrunde!$O38-Vorrunde!$Q38)&gt;1),Vorrunde!$Q38,"")</f>
        <v/>
      </c>
      <c r="AH90" s="145">
        <f t="shared" ca="1" si="68"/>
        <v>42</v>
      </c>
      <c r="AI90" s="141">
        <f t="shared" ca="1" si="69"/>
        <v>47</v>
      </c>
      <c r="AJ90" s="145">
        <f ca="1">IF(Vorrunde!$R38="",0,Vorrunde!$R38)</f>
        <v>1</v>
      </c>
      <c r="AK90" s="141">
        <f ca="1">IF(Vorrunde!$T38="",0,Vorrunde!$T38)</f>
        <v>1</v>
      </c>
      <c r="AL90" s="145">
        <f ca="1">IF($AA90=0,"",IF($AJ90&gt;$AK90,Einstellungen!$C$4,IF($AJ90=$AK90,1,0)))</f>
        <v>1</v>
      </c>
      <c r="AM90" s="141">
        <f ca="1">IF($AA90=0,"",IF($AJ90&lt;$AK90,Einstellungen!$C$4,IF($AJ90=$AK90,1,0)))</f>
        <v>1</v>
      </c>
    </row>
    <row r="91" spans="2:39" s="2" customFormat="1" x14ac:dyDescent="0.2">
      <c r="B91" s="4"/>
      <c r="C91" s="4"/>
      <c r="D91" s="4"/>
      <c r="E91" s="4"/>
      <c r="F91" s="778"/>
      <c r="G91" s="778"/>
      <c r="H91" s="778"/>
      <c r="I91" s="778"/>
      <c r="J91" s="778"/>
      <c r="K91" s="778"/>
      <c r="L91" s="778"/>
      <c r="M91" s="778"/>
      <c r="U91" s="66" t="s">
        <v>42</v>
      </c>
      <c r="V91" s="40" t="str">
        <f ca="1">Planung!$L33</f>
        <v>Paris St. Germain</v>
      </c>
      <c r="W91" s="778" t="str">
        <f ca="1">Planung!$N33</f>
        <v>RB Leipzig</v>
      </c>
      <c r="X91" s="831">
        <f ca="1">IF(AND($AA91=1,Vorrunde!$I39&lt;&gt;"",Vorrunde!$K39&lt;&gt;"",ABS(Vorrunde!$I39-Vorrunde!$K39)&gt;1),Vorrunde!$I39,"")</f>
        <v>19</v>
      </c>
      <c r="Y91" s="35">
        <f ca="1">IF(AND($AA91=1,Vorrunde!$I39&lt;&gt;"",Vorrunde!$K39&lt;&gt;"",ABS(Vorrunde!$I39-Vorrunde!$K39)&gt;1),Vorrunde!$K39,"")</f>
        <v>25</v>
      </c>
      <c r="Z91" s="34" t="str">
        <f t="shared" ca="1" si="70"/>
        <v>Paris St. GermainRB Leipzig</v>
      </c>
      <c r="AA91" s="831">
        <f ca="1">IF(AND(V91&lt;&gt;"",W91&lt;&gt;"",V91&lt;&gt;W91,Vorrunde!$R39&lt;&gt;"",Vorrunde!$T39&lt;&gt;""),1,0)</f>
        <v>1</v>
      </c>
      <c r="AB91" s="831" t="str">
        <f ca="1">IF(AA91&gt;0,AH91&amp;Sprache!$E$109&amp;AI91,"")</f>
        <v>44 : 48</v>
      </c>
      <c r="AC91" s="141" t="str">
        <f ca="1">IF(AA91&gt;0,AJ91&amp;Sprache!$E$109&amp;AK91,"")</f>
        <v>1 : 1</v>
      </c>
      <c r="AD91" s="145">
        <f ca="1">IF(AND($AA91=1,Vorrunde!$L39&lt;&gt;"",Vorrunde!$N39&lt;&gt;"",ABS(Vorrunde!$L39-Vorrunde!$N39)&gt;1),Vorrunde!$L39,"")</f>
        <v>25</v>
      </c>
      <c r="AE91" s="141">
        <f ca="1">IF(AND($AA91=1,Vorrunde!$L39&lt;&gt;"",Vorrunde!$N39&lt;&gt;"",ABS(Vorrunde!$L39-Vorrunde!$N39)&gt;1),Vorrunde!$N39,"")</f>
        <v>23</v>
      </c>
      <c r="AF91" s="145" t="str">
        <f ca="1">IF(AND($AA91=1,Vorrunde!$O39&lt;&gt;"",Vorrunde!$Q39&lt;&gt;"",ABS(Vorrunde!$O39-Vorrunde!$Q39)&gt;1),Vorrunde!$O39,"")</f>
        <v/>
      </c>
      <c r="AG91" s="141" t="str">
        <f ca="1">IF(AND($AA91=1,Vorrunde!$O39&lt;&gt;"",Vorrunde!$Q39&lt;&gt;"",ABS(Vorrunde!$O39-Vorrunde!$Q39)&gt;1),Vorrunde!$Q39,"")</f>
        <v/>
      </c>
      <c r="AH91" s="145">
        <f t="shared" ca="1" si="68"/>
        <v>44</v>
      </c>
      <c r="AI91" s="141">
        <f t="shared" ca="1" si="69"/>
        <v>48</v>
      </c>
      <c r="AJ91" s="145">
        <f ca="1">IF(Vorrunde!$R39="",0,Vorrunde!$R39)</f>
        <v>1</v>
      </c>
      <c r="AK91" s="141">
        <f ca="1">IF(Vorrunde!$T39="",0,Vorrunde!$T39)</f>
        <v>1</v>
      </c>
      <c r="AL91" s="145">
        <f ca="1">IF($AA91=0,"",IF($AJ91&gt;$AK91,Einstellungen!$C$4,IF($AJ91=$AK91,1,0)))</f>
        <v>1</v>
      </c>
      <c r="AM91" s="141">
        <f ca="1">IF($AA91=0,"",IF($AJ91&lt;$AK91,Einstellungen!$C$4,IF($AJ91=$AK91,1,0)))</f>
        <v>1</v>
      </c>
    </row>
    <row r="92" spans="2:39" s="2" customFormat="1" x14ac:dyDescent="0.2">
      <c r="B92" s="4"/>
      <c r="C92" s="4"/>
      <c r="D92" s="4"/>
      <c r="E92" s="4"/>
      <c r="F92" s="778"/>
      <c r="G92" s="778"/>
      <c r="H92" s="778"/>
      <c r="I92" s="778"/>
      <c r="J92" s="778"/>
      <c r="K92" s="778"/>
      <c r="L92" s="778"/>
      <c r="M92" s="778"/>
      <c r="U92" s="66" t="s">
        <v>43</v>
      </c>
      <c r="V92" s="40" t="str">
        <f ca="1">Planung!$L34</f>
        <v>Eintracht Frankfurt</v>
      </c>
      <c r="W92" s="778" t="str">
        <f ca="1">Planung!$N34</f>
        <v>1. FC Riedwald</v>
      </c>
      <c r="X92" s="831">
        <f ca="1">IF(AND($AA92=1,Vorrunde!$I40&lt;&gt;"",Vorrunde!$K40&lt;&gt;"",ABS(Vorrunde!$I40-Vorrunde!$K40)&gt;1),Vorrunde!$I40,"")</f>
        <v>25</v>
      </c>
      <c r="Y92" s="35">
        <f ca="1">IF(AND($AA92=1,Vorrunde!$I40&lt;&gt;"",Vorrunde!$K40&lt;&gt;"",ABS(Vorrunde!$I40-Vorrunde!$K40)&gt;1),Vorrunde!$K40,"")</f>
        <v>17</v>
      </c>
      <c r="Z92" s="34" t="str">
        <f t="shared" ca="1" si="70"/>
        <v>Eintracht Frankfurt1. FC Riedwald</v>
      </c>
      <c r="AA92" s="831">
        <f ca="1">IF(AND(V92&lt;&gt;"",W92&lt;&gt;"",V92&lt;&gt;W92,Vorrunde!$R40&lt;&gt;"",Vorrunde!$T40&lt;&gt;""),1,0)</f>
        <v>1</v>
      </c>
      <c r="AB92" s="831" t="str">
        <f ca="1">IF(AA92&gt;0,AH92&amp;Sprache!$E$109&amp;AI92,"")</f>
        <v>50 : 34</v>
      </c>
      <c r="AC92" s="141" t="str">
        <f ca="1">IF(AA92&gt;0,AJ92&amp;Sprache!$E$109&amp;AK92,"")</f>
        <v>2 : 0</v>
      </c>
      <c r="AD92" s="145">
        <f ca="1">IF(AND($AA92=1,Vorrunde!$L40&lt;&gt;"",Vorrunde!$N40&lt;&gt;"",ABS(Vorrunde!$L40-Vorrunde!$N40)&gt;1),Vorrunde!$L40,"")</f>
        <v>25</v>
      </c>
      <c r="AE92" s="141">
        <f ca="1">IF(AND($AA92=1,Vorrunde!$L40&lt;&gt;"",Vorrunde!$N40&lt;&gt;"",ABS(Vorrunde!$L40-Vorrunde!$N40)&gt;1),Vorrunde!$N40,"")</f>
        <v>17</v>
      </c>
      <c r="AF92" s="145" t="str">
        <f ca="1">IF(AND($AA92=1,Vorrunde!$O40&lt;&gt;"",Vorrunde!$Q40&lt;&gt;"",ABS(Vorrunde!$O40-Vorrunde!$Q40)&gt;1),Vorrunde!$O40,"")</f>
        <v/>
      </c>
      <c r="AG92" s="141" t="str">
        <f ca="1">IF(AND($AA92=1,Vorrunde!$O40&lt;&gt;"",Vorrunde!$Q40&lt;&gt;"",ABS(Vorrunde!$O40-Vorrunde!$Q40)&gt;1),Vorrunde!$Q40,"")</f>
        <v/>
      </c>
      <c r="AH92" s="145">
        <f t="shared" ca="1" si="68"/>
        <v>50</v>
      </c>
      <c r="AI92" s="141">
        <f t="shared" ca="1" si="69"/>
        <v>34</v>
      </c>
      <c r="AJ92" s="145">
        <f ca="1">IF(Vorrunde!$R40="",0,Vorrunde!$R40)</f>
        <v>2</v>
      </c>
      <c r="AK92" s="141">
        <f ca="1">IF(Vorrunde!$T40="",0,Vorrunde!$T40)</f>
        <v>0</v>
      </c>
      <c r="AL92" s="145">
        <f ca="1">IF($AA92=0,"",IF($AJ92&gt;$AK92,Einstellungen!$C$4,IF($AJ92=$AK92,1,0)))</f>
        <v>2</v>
      </c>
      <c r="AM92" s="141">
        <f ca="1">IF($AA92=0,"",IF($AJ92&lt;$AK92,Einstellungen!$C$4,IF($AJ92=$AK92,1,0)))</f>
        <v>0</v>
      </c>
    </row>
    <row r="93" spans="2:39" s="2" customFormat="1" x14ac:dyDescent="0.2">
      <c r="B93" s="4"/>
      <c r="C93" s="4"/>
      <c r="D93" s="4"/>
      <c r="E93" s="4"/>
      <c r="F93" s="778"/>
      <c r="G93" s="778"/>
      <c r="H93" s="778"/>
      <c r="I93" s="778"/>
      <c r="J93" s="778"/>
      <c r="K93" s="778"/>
      <c r="L93" s="778"/>
      <c r="M93" s="778"/>
      <c r="U93" s="66" t="s">
        <v>44</v>
      </c>
      <c r="V93" s="40" t="str">
        <f ca="1">Planung!$L35</f>
        <v>SSV Wildbach</v>
      </c>
      <c r="W93" s="778" t="str">
        <f ca="1">Planung!$N35</f>
        <v>Mainz 05</v>
      </c>
      <c r="X93" s="831">
        <f ca="1">IF(AND($AA93=1,Vorrunde!$I41&lt;&gt;"",Vorrunde!$K41&lt;&gt;"",ABS(Vorrunde!$I41-Vorrunde!$K41)&gt;1),Vorrunde!$I41,"")</f>
        <v>14</v>
      </c>
      <c r="Y93" s="35">
        <f ca="1">IF(AND($AA93=1,Vorrunde!$I41&lt;&gt;"",Vorrunde!$K41&lt;&gt;"",ABS(Vorrunde!$I41-Vorrunde!$K41)&gt;1),Vorrunde!$K41,"")</f>
        <v>25</v>
      </c>
      <c r="Z93" s="34" t="str">
        <f t="shared" ca="1" si="70"/>
        <v>SSV WildbachMainz 05</v>
      </c>
      <c r="AA93" s="831">
        <f ca="1">IF(AND(V93&lt;&gt;"",W93&lt;&gt;"",V93&lt;&gt;W93,Vorrunde!$R41&lt;&gt;"",Vorrunde!$T41&lt;&gt;""),1,0)</f>
        <v>1</v>
      </c>
      <c r="AB93" s="831" t="str">
        <f ca="1">IF(AA93&gt;0,AH93&amp;Sprache!$E$109&amp;AI93,"")</f>
        <v>39 : 43</v>
      </c>
      <c r="AC93" s="141" t="str">
        <f ca="1">IF(AA93&gt;0,AJ93&amp;Sprache!$E$109&amp;AK93,"")</f>
        <v>1 : 1</v>
      </c>
      <c r="AD93" s="145">
        <f ca="1">IF(AND($AA93=1,Vorrunde!$L41&lt;&gt;"",Vorrunde!$N41&lt;&gt;"",ABS(Vorrunde!$L41-Vorrunde!$N41)&gt;1),Vorrunde!$L41,"")</f>
        <v>25</v>
      </c>
      <c r="AE93" s="141">
        <f ca="1">IF(AND($AA93=1,Vorrunde!$L41&lt;&gt;"",Vorrunde!$N41&lt;&gt;"",ABS(Vorrunde!$L41-Vorrunde!$N41)&gt;1),Vorrunde!$N41,"")</f>
        <v>18</v>
      </c>
      <c r="AF93" s="145" t="str">
        <f ca="1">IF(AND($AA93=1,Vorrunde!$O41&lt;&gt;"",Vorrunde!$Q41&lt;&gt;"",ABS(Vorrunde!$O41-Vorrunde!$Q41)&gt;1),Vorrunde!$O41,"")</f>
        <v/>
      </c>
      <c r="AG93" s="141" t="str">
        <f ca="1">IF(AND($AA93=1,Vorrunde!$O41&lt;&gt;"",Vorrunde!$Q41&lt;&gt;"",ABS(Vorrunde!$O41-Vorrunde!$Q41)&gt;1),Vorrunde!$Q41,"")</f>
        <v/>
      </c>
      <c r="AH93" s="145">
        <f t="shared" ca="1" si="68"/>
        <v>39</v>
      </c>
      <c r="AI93" s="141">
        <f t="shared" ca="1" si="69"/>
        <v>43</v>
      </c>
      <c r="AJ93" s="145">
        <f ca="1">IF(Vorrunde!$R41="",0,Vorrunde!$R41)</f>
        <v>1</v>
      </c>
      <c r="AK93" s="141">
        <f ca="1">IF(Vorrunde!$T41="",0,Vorrunde!$T41)</f>
        <v>1</v>
      </c>
      <c r="AL93" s="145">
        <f ca="1">IF($AA93=0,"",IF($AJ93&gt;$AK93,Einstellungen!$C$4,IF($AJ93=$AK93,1,0)))</f>
        <v>1</v>
      </c>
      <c r="AM93" s="141">
        <f ca="1">IF($AA93=0,"",IF($AJ93&lt;$AK93,Einstellungen!$C$4,IF($AJ93=$AK93,1,0)))</f>
        <v>1</v>
      </c>
    </row>
    <row r="94" spans="2:39" s="2" customFormat="1" x14ac:dyDescent="0.2">
      <c r="B94" s="4"/>
      <c r="C94" s="4"/>
      <c r="D94" s="4"/>
      <c r="E94" s="4"/>
      <c r="F94" s="778"/>
      <c r="G94" s="778"/>
      <c r="H94" s="778"/>
      <c r="I94" s="778"/>
      <c r="J94" s="778"/>
      <c r="K94" s="778"/>
      <c r="L94" s="778"/>
      <c r="M94" s="778"/>
      <c r="U94" s="66" t="s">
        <v>45</v>
      </c>
      <c r="V94" s="40" t="str">
        <f ca="1">Planung!$L36</f>
        <v>Borussia Dortmund</v>
      </c>
      <c r="W94" s="778" t="str">
        <f ca="1">Planung!$N36</f>
        <v>Kickers Rodendorf</v>
      </c>
      <c r="X94" s="831">
        <f ca="1">IF(AND($AA94=1,Vorrunde!$I42&lt;&gt;"",Vorrunde!$K42&lt;&gt;"",ABS(Vorrunde!$I42-Vorrunde!$K42)&gt;1),Vorrunde!$I42,"")</f>
        <v>20</v>
      </c>
      <c r="Y94" s="35">
        <f ca="1">IF(AND($AA94=1,Vorrunde!$I42&lt;&gt;"",Vorrunde!$K42&lt;&gt;"",ABS(Vorrunde!$I42-Vorrunde!$K42)&gt;1),Vorrunde!$K42,"")</f>
        <v>25</v>
      </c>
      <c r="Z94" s="34" t="str">
        <f t="shared" ca="1" si="70"/>
        <v>Borussia DortmundKickers Rodendorf</v>
      </c>
      <c r="AA94" s="831">
        <f ca="1">IF(AND(V94&lt;&gt;"",W94&lt;&gt;"",V94&lt;&gt;W94,Vorrunde!$R42&lt;&gt;"",Vorrunde!$T42&lt;&gt;""),1,0)</f>
        <v>1</v>
      </c>
      <c r="AB94" s="831" t="str">
        <f ca="1">IF(AA94&gt;0,AH94&amp;Sprache!$E$109&amp;AI94,"")</f>
        <v>45 : 44</v>
      </c>
      <c r="AC94" s="141" t="str">
        <f ca="1">IF(AA94&gt;0,AJ94&amp;Sprache!$E$109&amp;AK94,"")</f>
        <v>1 : 1</v>
      </c>
      <c r="AD94" s="145">
        <f ca="1">IF(AND($AA94=1,Vorrunde!$L42&lt;&gt;"",Vorrunde!$N42&lt;&gt;"",ABS(Vorrunde!$L42-Vorrunde!$N42)&gt;1),Vorrunde!$L42,"")</f>
        <v>25</v>
      </c>
      <c r="AE94" s="141">
        <f ca="1">IF(AND($AA94=1,Vorrunde!$L42&lt;&gt;"",Vorrunde!$N42&lt;&gt;"",ABS(Vorrunde!$L42-Vorrunde!$N42)&gt;1),Vorrunde!$N42,"")</f>
        <v>19</v>
      </c>
      <c r="AF94" s="145" t="str">
        <f ca="1">IF(AND($AA94=1,Vorrunde!$O42&lt;&gt;"",Vorrunde!$Q42&lt;&gt;"",ABS(Vorrunde!$O42-Vorrunde!$Q42)&gt;1),Vorrunde!$O42,"")</f>
        <v/>
      </c>
      <c r="AG94" s="141" t="str">
        <f ca="1">IF(AND($AA94=1,Vorrunde!$O42&lt;&gt;"",Vorrunde!$Q42&lt;&gt;"",ABS(Vorrunde!$O42-Vorrunde!$Q42)&gt;1),Vorrunde!$Q42,"")</f>
        <v/>
      </c>
      <c r="AH94" s="145">
        <f t="shared" ca="1" si="68"/>
        <v>45</v>
      </c>
      <c r="AI94" s="141">
        <f t="shared" ca="1" si="69"/>
        <v>44</v>
      </c>
      <c r="AJ94" s="145">
        <f ca="1">IF(Vorrunde!$R42="",0,Vorrunde!$R42)</f>
        <v>1</v>
      </c>
      <c r="AK94" s="141">
        <f ca="1">IF(Vorrunde!$T42="",0,Vorrunde!$T42)</f>
        <v>1</v>
      </c>
      <c r="AL94" s="145">
        <f ca="1">IF($AA94=0,"",IF($AJ94&gt;$AK94,Einstellungen!$C$4,IF($AJ94=$AK94,1,0)))</f>
        <v>1</v>
      </c>
      <c r="AM94" s="141">
        <f ca="1">IF($AA94=0,"",IF($AJ94&lt;$AK94,Einstellungen!$C$4,IF($AJ94=$AK94,1,0)))</f>
        <v>1</v>
      </c>
    </row>
    <row r="95" spans="2:39" s="2" customFormat="1" x14ac:dyDescent="0.2">
      <c r="B95" s="4"/>
      <c r="C95" s="4"/>
      <c r="D95" s="4"/>
      <c r="E95" s="4"/>
      <c r="F95" s="778"/>
      <c r="G95" s="778"/>
      <c r="H95" s="778"/>
      <c r="I95" s="778"/>
      <c r="J95" s="778"/>
      <c r="K95" s="778"/>
      <c r="L95" s="778"/>
      <c r="M95" s="778"/>
      <c r="U95" s="66" t="s">
        <v>46</v>
      </c>
      <c r="V95" s="40" t="str">
        <f ca="1">Planung!$L37</f>
        <v>HSV</v>
      </c>
      <c r="W95" s="778" t="str">
        <f ca="1">Planung!$N37</f>
        <v>TSG Saalberg eV</v>
      </c>
      <c r="X95" s="831">
        <f ca="1">IF(AND($AA95=1,Vorrunde!$I43&lt;&gt;"",Vorrunde!$K43&lt;&gt;"",ABS(Vorrunde!$I43-Vorrunde!$K43)&gt;1),Vorrunde!$I43,"")</f>
        <v>19</v>
      </c>
      <c r="Y95" s="35">
        <f ca="1">IF(AND($AA95=1,Vorrunde!$I43&lt;&gt;"",Vorrunde!$K43&lt;&gt;"",ABS(Vorrunde!$I43-Vorrunde!$K43)&gt;1),Vorrunde!$K43,"")</f>
        <v>25</v>
      </c>
      <c r="Z95" s="34" t="str">
        <f t="shared" ca="1" si="70"/>
        <v>HSVTSG Saalberg eV</v>
      </c>
      <c r="AA95" s="831">
        <f ca="1">IF(AND(V95&lt;&gt;"",W95&lt;&gt;"",V95&lt;&gt;W95,Vorrunde!$R43&lt;&gt;"",Vorrunde!$T43&lt;&gt;""),1,0)</f>
        <v>1</v>
      </c>
      <c r="AB95" s="831" t="str">
        <f ca="1">IF(AA95&gt;0,AH95&amp;Sprache!$E$109&amp;AI95,"")</f>
        <v>44 : 45</v>
      </c>
      <c r="AC95" s="141" t="str">
        <f ca="1">IF(AA95&gt;0,AJ95&amp;Sprache!$E$109&amp;AK95,"")</f>
        <v>1 : 1</v>
      </c>
      <c r="AD95" s="145">
        <f ca="1">IF(AND($AA95=1,Vorrunde!$L43&lt;&gt;"",Vorrunde!$N43&lt;&gt;"",ABS(Vorrunde!$L43-Vorrunde!$N43)&gt;1),Vorrunde!$L43,"")</f>
        <v>25</v>
      </c>
      <c r="AE95" s="141">
        <f ca="1">IF(AND($AA95=1,Vorrunde!$L43&lt;&gt;"",Vorrunde!$N43&lt;&gt;"",ABS(Vorrunde!$L43-Vorrunde!$N43)&gt;1),Vorrunde!$N43,"")</f>
        <v>20</v>
      </c>
      <c r="AF95" s="145" t="str">
        <f ca="1">IF(AND($AA95=1,Vorrunde!$O43&lt;&gt;"",Vorrunde!$Q43&lt;&gt;"",ABS(Vorrunde!$O43-Vorrunde!$Q43)&gt;1),Vorrunde!$O43,"")</f>
        <v/>
      </c>
      <c r="AG95" s="141" t="str">
        <f ca="1">IF(AND($AA95=1,Vorrunde!$O43&lt;&gt;"",Vorrunde!$Q43&lt;&gt;"",ABS(Vorrunde!$O43-Vorrunde!$Q43)&gt;1),Vorrunde!$Q43,"")</f>
        <v/>
      </c>
      <c r="AH95" s="145">
        <f t="shared" ca="1" si="68"/>
        <v>44</v>
      </c>
      <c r="AI95" s="141">
        <f t="shared" ca="1" si="69"/>
        <v>45</v>
      </c>
      <c r="AJ95" s="145">
        <f ca="1">IF(Vorrunde!$R43="",0,Vorrunde!$R43)</f>
        <v>1</v>
      </c>
      <c r="AK95" s="141">
        <f ca="1">IF(Vorrunde!$T43="",0,Vorrunde!$T43)</f>
        <v>1</v>
      </c>
      <c r="AL95" s="145">
        <f ca="1">IF($AA95=0,"",IF($AJ95&gt;$AK95,Einstellungen!$C$4,IF($AJ95=$AK95,1,0)))</f>
        <v>1</v>
      </c>
      <c r="AM95" s="141">
        <f ca="1">IF($AA95=0,"",IF($AJ95&lt;$AK95,Einstellungen!$C$4,IF($AJ95=$AK95,1,0)))</f>
        <v>1</v>
      </c>
    </row>
    <row r="96" spans="2:39" s="2" customFormat="1" x14ac:dyDescent="0.2">
      <c r="B96" s="4"/>
      <c r="C96" s="4"/>
      <c r="D96" s="4"/>
      <c r="E96" s="4"/>
      <c r="F96" s="778"/>
      <c r="G96" s="778"/>
      <c r="H96" s="778"/>
      <c r="I96" s="778"/>
      <c r="J96" s="778"/>
      <c r="K96" s="778"/>
      <c r="L96" s="778"/>
      <c r="M96" s="778"/>
      <c r="U96" s="66" t="s">
        <v>47</v>
      </c>
      <c r="V96" s="40" t="str">
        <f ca="1">Planung!$L38</f>
        <v>Maibach 1822 eV</v>
      </c>
      <c r="W96" s="778" t="str">
        <f ca="1">Planung!$N38</f>
        <v>VFB Essenheim</v>
      </c>
      <c r="X96" s="831">
        <f ca="1">IF(AND($AA96=1,Vorrunde!$I44&lt;&gt;"",Vorrunde!$K44&lt;&gt;"",ABS(Vorrunde!$I44-Vorrunde!$K44)&gt;1),Vorrunde!$I44,"")</f>
        <v>17</v>
      </c>
      <c r="Y96" s="35">
        <f ca="1">IF(AND($AA96=1,Vorrunde!$I44&lt;&gt;"",Vorrunde!$K44&lt;&gt;"",ABS(Vorrunde!$I44-Vorrunde!$K44)&gt;1),Vorrunde!$K44,"")</f>
        <v>25</v>
      </c>
      <c r="Z96" s="34" t="str">
        <f t="shared" ca="1" si="70"/>
        <v>Maibach 1822 eVVFB Essenheim</v>
      </c>
      <c r="AA96" s="831">
        <f ca="1">IF(AND(V96&lt;&gt;"",W96&lt;&gt;"",V96&lt;&gt;W96,Vorrunde!$R44&lt;&gt;"",Vorrunde!$T44&lt;&gt;""),1,0)</f>
        <v>1</v>
      </c>
      <c r="AB96" s="831" t="str">
        <f ca="1">IF(AA96&gt;0,AH96&amp;Sprache!$E$109&amp;AI96,"")</f>
        <v>42 : 46</v>
      </c>
      <c r="AC96" s="141" t="str">
        <f ca="1">IF(AA96&gt;0,AJ96&amp;Sprache!$E$109&amp;AK96,"")</f>
        <v>1 : 1</v>
      </c>
      <c r="AD96" s="145">
        <f ca="1">IF(AND($AA96=1,Vorrunde!$L44&lt;&gt;"",Vorrunde!$N44&lt;&gt;"",ABS(Vorrunde!$L44-Vorrunde!$N44)&gt;1),Vorrunde!$L44,"")</f>
        <v>25</v>
      </c>
      <c r="AE96" s="141">
        <f ca="1">IF(AND($AA96=1,Vorrunde!$L44&lt;&gt;"",Vorrunde!$N44&lt;&gt;"",ABS(Vorrunde!$L44-Vorrunde!$N44)&gt;1),Vorrunde!$N44,"")</f>
        <v>21</v>
      </c>
      <c r="AF96" s="145" t="str">
        <f ca="1">IF(AND($AA96=1,Vorrunde!$O44&lt;&gt;"",Vorrunde!$Q44&lt;&gt;"",ABS(Vorrunde!$O44-Vorrunde!$Q44)&gt;1),Vorrunde!$O44,"")</f>
        <v/>
      </c>
      <c r="AG96" s="141" t="str">
        <f ca="1">IF(AND($AA96=1,Vorrunde!$O44&lt;&gt;"",Vorrunde!$Q44&lt;&gt;"",ABS(Vorrunde!$O44-Vorrunde!$Q44)&gt;1),Vorrunde!$Q44,"")</f>
        <v/>
      </c>
      <c r="AH96" s="145">
        <f t="shared" ca="1" si="68"/>
        <v>42</v>
      </c>
      <c r="AI96" s="141">
        <f t="shared" ca="1" si="69"/>
        <v>46</v>
      </c>
      <c r="AJ96" s="145">
        <f ca="1">IF(Vorrunde!$R44="",0,Vorrunde!$R44)</f>
        <v>1</v>
      </c>
      <c r="AK96" s="141">
        <f ca="1">IF(Vorrunde!$T44="",0,Vorrunde!$T44)</f>
        <v>1</v>
      </c>
      <c r="AL96" s="145">
        <f ca="1">IF($AA96=0,"",IF($AJ96&gt;$AK96,Einstellungen!$C$4,IF($AJ96=$AK96,1,0)))</f>
        <v>1</v>
      </c>
      <c r="AM96" s="141">
        <f ca="1">IF($AA96=0,"",IF($AJ96&lt;$AK96,Einstellungen!$C$4,IF($AJ96=$AK96,1,0)))</f>
        <v>1</v>
      </c>
    </row>
    <row r="97" spans="2:39" s="2" customFormat="1" x14ac:dyDescent="0.2">
      <c r="B97" s="4"/>
      <c r="C97" s="4"/>
      <c r="D97" s="4"/>
      <c r="E97" s="4"/>
      <c r="F97" s="778"/>
      <c r="G97" s="778"/>
      <c r="H97" s="778"/>
      <c r="I97" s="778"/>
      <c r="J97" s="778"/>
      <c r="K97" s="778"/>
      <c r="L97" s="778"/>
      <c r="M97" s="778"/>
      <c r="U97" s="66" t="s">
        <v>48</v>
      </c>
      <c r="V97" s="40" t="str">
        <f ca="1">Planung!$L39</f>
        <v>Manchester City</v>
      </c>
      <c r="W97" s="778" t="str">
        <f ca="1">Planung!$N39</f>
        <v>FC Grönlingen</v>
      </c>
      <c r="X97" s="831">
        <f ca="1">IF(AND($AA97=1,Vorrunde!$I45&lt;&gt;"",Vorrunde!$K45&lt;&gt;"",ABS(Vorrunde!$I45-Vorrunde!$K45)&gt;1),Vorrunde!$I45,"")</f>
        <v>14</v>
      </c>
      <c r="Y97" s="35">
        <f ca="1">IF(AND($AA97=1,Vorrunde!$I45&lt;&gt;"",Vorrunde!$K45&lt;&gt;"",ABS(Vorrunde!$I45-Vorrunde!$K45)&gt;1),Vorrunde!$K45,"")</f>
        <v>25</v>
      </c>
      <c r="Z97" s="34" t="str">
        <f t="shared" ca="1" si="70"/>
        <v>Manchester CityFC Grönlingen</v>
      </c>
      <c r="AA97" s="831">
        <f ca="1">IF(AND(V97&lt;&gt;"",W97&lt;&gt;"",V97&lt;&gt;W97,Vorrunde!$R45&lt;&gt;"",Vorrunde!$T45&lt;&gt;""),1,0)</f>
        <v>1</v>
      </c>
      <c r="AB97" s="831" t="str">
        <f ca="1">IF(AA97&gt;0,AH97&amp;Sprache!$E$109&amp;AI97,"")</f>
        <v>39 : 47</v>
      </c>
      <c r="AC97" s="141" t="str">
        <f ca="1">IF(AA97&gt;0,AJ97&amp;Sprache!$E$109&amp;AK97,"")</f>
        <v>1 : 1</v>
      </c>
      <c r="AD97" s="145">
        <f ca="1">IF(AND($AA97=1,Vorrunde!$L45&lt;&gt;"",Vorrunde!$N45&lt;&gt;"",ABS(Vorrunde!$L45-Vorrunde!$N45)&gt;1),Vorrunde!$L45,"")</f>
        <v>25</v>
      </c>
      <c r="AE97" s="141">
        <f ca="1">IF(AND($AA97=1,Vorrunde!$L45&lt;&gt;"",Vorrunde!$N45&lt;&gt;"",ABS(Vorrunde!$L45-Vorrunde!$N45)&gt;1),Vorrunde!$N45,"")</f>
        <v>22</v>
      </c>
      <c r="AF97" s="145" t="str">
        <f ca="1">IF(AND($AA97=1,Vorrunde!$O45&lt;&gt;"",Vorrunde!$Q45&lt;&gt;"",ABS(Vorrunde!$O45-Vorrunde!$Q45)&gt;1),Vorrunde!$O45,"")</f>
        <v/>
      </c>
      <c r="AG97" s="141" t="str">
        <f ca="1">IF(AND($AA97=1,Vorrunde!$O45&lt;&gt;"",Vorrunde!$Q45&lt;&gt;"",ABS(Vorrunde!$O45-Vorrunde!$Q45)&gt;1),Vorrunde!$Q45,"")</f>
        <v/>
      </c>
      <c r="AH97" s="145">
        <f t="shared" ca="1" si="68"/>
        <v>39</v>
      </c>
      <c r="AI97" s="141">
        <f t="shared" ca="1" si="69"/>
        <v>47</v>
      </c>
      <c r="AJ97" s="145">
        <f ca="1">IF(Vorrunde!$R45="",0,Vorrunde!$R45)</f>
        <v>1</v>
      </c>
      <c r="AK97" s="141">
        <f ca="1">IF(Vorrunde!$T45="",0,Vorrunde!$T45)</f>
        <v>1</v>
      </c>
      <c r="AL97" s="145">
        <f ca="1">IF($AA97=0,"",IF($AJ97&gt;$AK97,Einstellungen!$C$4,IF($AJ97=$AK97,1,0)))</f>
        <v>1</v>
      </c>
      <c r="AM97" s="141">
        <f ca="1">IF($AA97=0,"",IF($AJ97&lt;$AK97,Einstellungen!$C$4,IF($AJ97=$AK97,1,0)))</f>
        <v>1</v>
      </c>
    </row>
    <row r="98" spans="2:39" s="2" customFormat="1" x14ac:dyDescent="0.2">
      <c r="B98" s="4"/>
      <c r="C98" s="4"/>
      <c r="D98" s="4"/>
      <c r="E98" s="4"/>
      <c r="F98" s="778"/>
      <c r="G98" s="778"/>
      <c r="H98" s="778"/>
      <c r="I98" s="778"/>
      <c r="J98" s="778"/>
      <c r="K98" s="778"/>
      <c r="L98" s="778"/>
      <c r="M98" s="778"/>
      <c r="U98" s="66" t="s">
        <v>49</v>
      </c>
      <c r="V98" s="40" t="str">
        <f ca="1">Planung!$L40</f>
        <v>FSV Rauen</v>
      </c>
      <c r="W98" s="778" t="str">
        <f ca="1">Planung!$N40</f>
        <v>1. FC Nürnberg</v>
      </c>
      <c r="X98" s="831">
        <f ca="1">IF(AND($AA98=1,Vorrunde!$I46&lt;&gt;"",Vorrunde!$K46&lt;&gt;"",ABS(Vorrunde!$I46-Vorrunde!$K46)&gt;1),Vorrunde!$I46,"")</f>
        <v>25</v>
      </c>
      <c r="Y98" s="35">
        <f ca="1">IF(AND($AA98=1,Vorrunde!$I46&lt;&gt;"",Vorrunde!$K46&lt;&gt;"",ABS(Vorrunde!$I46-Vorrunde!$K46)&gt;1),Vorrunde!$K46,"")</f>
        <v>21</v>
      </c>
      <c r="Z98" s="34" t="str">
        <f t="shared" ca="1" si="70"/>
        <v>FSV Rauen1. FC Nürnberg</v>
      </c>
      <c r="AA98" s="831">
        <f ca="1">IF(AND(V98&lt;&gt;"",W98&lt;&gt;"",V98&lt;&gt;W98,Vorrunde!$R46&lt;&gt;"",Vorrunde!$T46&lt;&gt;""),1,0)</f>
        <v>1</v>
      </c>
      <c r="AB98" s="831" t="str">
        <f ca="1">IF(AA98&gt;0,AH98&amp;Sprache!$E$109&amp;AI98,"")</f>
        <v>50 : 34</v>
      </c>
      <c r="AC98" s="141" t="str">
        <f ca="1">IF(AA98&gt;0,AJ98&amp;Sprache!$E$109&amp;AK98,"")</f>
        <v>2 : 0</v>
      </c>
      <c r="AD98" s="145">
        <f ca="1">IF(AND($AA98=1,Vorrunde!$L46&lt;&gt;"",Vorrunde!$N46&lt;&gt;"",ABS(Vorrunde!$L46-Vorrunde!$N46)&gt;1),Vorrunde!$L46,"")</f>
        <v>25</v>
      </c>
      <c r="AE98" s="141">
        <f ca="1">IF(AND($AA98=1,Vorrunde!$L46&lt;&gt;"",Vorrunde!$N46&lt;&gt;"",ABS(Vorrunde!$L46-Vorrunde!$N46)&gt;1),Vorrunde!$N46,"")</f>
        <v>13</v>
      </c>
      <c r="AF98" s="145" t="str">
        <f ca="1">IF(AND($AA98=1,Vorrunde!$O46&lt;&gt;"",Vorrunde!$Q46&lt;&gt;"",ABS(Vorrunde!$O46-Vorrunde!$Q46)&gt;1),Vorrunde!$O46,"")</f>
        <v/>
      </c>
      <c r="AG98" s="141" t="str">
        <f ca="1">IF(AND($AA98=1,Vorrunde!$O46&lt;&gt;"",Vorrunde!$Q46&lt;&gt;"",ABS(Vorrunde!$O46-Vorrunde!$Q46)&gt;1),Vorrunde!$Q46,"")</f>
        <v/>
      </c>
      <c r="AH98" s="145">
        <f t="shared" ca="1" si="68"/>
        <v>50</v>
      </c>
      <c r="AI98" s="141">
        <f t="shared" ca="1" si="69"/>
        <v>34</v>
      </c>
      <c r="AJ98" s="145">
        <f ca="1">IF(Vorrunde!$R46="",0,Vorrunde!$R46)</f>
        <v>2</v>
      </c>
      <c r="AK98" s="141">
        <f ca="1">IF(Vorrunde!$T46="",0,Vorrunde!$T46)</f>
        <v>0</v>
      </c>
      <c r="AL98" s="145">
        <f ca="1">IF($AA98=0,"",IF($AJ98&gt;$AK98,Einstellungen!$C$4,IF($AJ98=$AK98,1,0)))</f>
        <v>2</v>
      </c>
      <c r="AM98" s="141">
        <f ca="1">IF($AA98=0,"",IF($AJ98&lt;$AK98,Einstellungen!$C$4,IF($AJ98=$AK98,1,0)))</f>
        <v>0</v>
      </c>
    </row>
    <row r="99" spans="2:39" s="2" customFormat="1" x14ac:dyDescent="0.2">
      <c r="B99" s="4"/>
      <c r="C99" s="4"/>
      <c r="D99" s="4"/>
      <c r="E99" s="4"/>
      <c r="F99" s="778"/>
      <c r="G99" s="778"/>
      <c r="H99" s="778"/>
      <c r="I99" s="778"/>
      <c r="J99" s="778"/>
      <c r="K99" s="778"/>
      <c r="L99" s="778"/>
      <c r="M99" s="778"/>
      <c r="U99" s="66" t="s">
        <v>50</v>
      </c>
      <c r="V99" s="40" t="str">
        <f ca="1">Planung!$L41</f>
        <v>RB Leipzig</v>
      </c>
      <c r="W99" s="778" t="str">
        <f ca="1">Planung!$N41</f>
        <v>SV Oberredenburg</v>
      </c>
      <c r="X99" s="831">
        <f ca="1">IF(AND($AA99=1,Vorrunde!$I47&lt;&gt;"",Vorrunde!$K47&lt;&gt;"",ABS(Vorrunde!$I47-Vorrunde!$K47)&gt;1),Vorrunde!$I47,"")</f>
        <v>25</v>
      </c>
      <c r="Y99" s="35">
        <f ca="1">IF(AND($AA99=1,Vorrunde!$I47&lt;&gt;"",Vorrunde!$K47&lt;&gt;"",ABS(Vorrunde!$I47-Vorrunde!$K47)&gt;1),Vorrunde!$K47,"")</f>
        <v>19</v>
      </c>
      <c r="Z99" s="34" t="str">
        <f t="shared" ca="1" si="70"/>
        <v>RB LeipzigSV Oberredenburg</v>
      </c>
      <c r="AA99" s="831">
        <f ca="1">IF(AND(V99&lt;&gt;"",W99&lt;&gt;"",V99&lt;&gt;W99,Vorrunde!$R47&lt;&gt;"",Vorrunde!$T47&lt;&gt;""),1,0)</f>
        <v>1</v>
      </c>
      <c r="AB99" s="831" t="str">
        <f ca="1">IF(AA99&gt;0,AH99&amp;Sprache!$E$109&amp;AI99,"")</f>
        <v>50 : 36</v>
      </c>
      <c r="AC99" s="141" t="str">
        <f ca="1">IF(AA99&gt;0,AJ99&amp;Sprache!$E$109&amp;AK99,"")</f>
        <v>2 : 0</v>
      </c>
      <c r="AD99" s="145">
        <f ca="1">IF(AND($AA99=1,Vorrunde!$L47&lt;&gt;"",Vorrunde!$N47&lt;&gt;"",ABS(Vorrunde!$L47-Vorrunde!$N47)&gt;1),Vorrunde!$L47,"")</f>
        <v>25</v>
      </c>
      <c r="AE99" s="141">
        <f ca="1">IF(AND($AA99=1,Vorrunde!$L47&lt;&gt;"",Vorrunde!$N47&lt;&gt;"",ABS(Vorrunde!$L47-Vorrunde!$N47)&gt;1),Vorrunde!$N47,"")</f>
        <v>17</v>
      </c>
      <c r="AF99" s="145" t="str">
        <f ca="1">IF(AND($AA99=1,Vorrunde!$O47&lt;&gt;"",Vorrunde!$Q47&lt;&gt;"",ABS(Vorrunde!$O47-Vorrunde!$Q47)&gt;1),Vorrunde!$O47,"")</f>
        <v/>
      </c>
      <c r="AG99" s="141" t="str">
        <f ca="1">IF(AND($AA99=1,Vorrunde!$O47&lt;&gt;"",Vorrunde!$Q47&lt;&gt;"",ABS(Vorrunde!$O47-Vorrunde!$Q47)&gt;1),Vorrunde!$Q47,"")</f>
        <v/>
      </c>
      <c r="AH99" s="145">
        <f t="shared" ca="1" si="68"/>
        <v>50</v>
      </c>
      <c r="AI99" s="141">
        <f t="shared" ca="1" si="69"/>
        <v>36</v>
      </c>
      <c r="AJ99" s="145">
        <f ca="1">IF(Vorrunde!$R47="",0,Vorrunde!$R47)</f>
        <v>2</v>
      </c>
      <c r="AK99" s="141">
        <f ca="1">IF(Vorrunde!$T47="",0,Vorrunde!$T47)</f>
        <v>0</v>
      </c>
      <c r="AL99" s="145">
        <f ca="1">IF($AA99=0,"",IF($AJ99&gt;$AK99,Einstellungen!$C$4,IF($AJ99=$AK99,1,0)))</f>
        <v>2</v>
      </c>
      <c r="AM99" s="141">
        <f ca="1">IF($AA99=0,"",IF($AJ99&lt;$AK99,Einstellungen!$C$4,IF($AJ99=$AK99,1,0)))</f>
        <v>0</v>
      </c>
    </row>
    <row r="100" spans="2:39" s="2" customFormat="1" x14ac:dyDescent="0.2">
      <c r="B100" s="4"/>
      <c r="C100" s="4"/>
      <c r="D100" s="4"/>
      <c r="E100" s="4"/>
      <c r="F100" s="778"/>
      <c r="G100" s="778"/>
      <c r="H100" s="778"/>
      <c r="I100" s="778"/>
      <c r="J100" s="778"/>
      <c r="K100" s="778"/>
      <c r="L100" s="778"/>
      <c r="M100" s="778"/>
      <c r="U100" s="66" t="s">
        <v>58</v>
      </c>
      <c r="V100" s="40" t="str">
        <f ca="1">Planung!$L42</f>
        <v>1. FC Riedwald</v>
      </c>
      <c r="W100" s="778" t="str">
        <f ca="1">Planung!$N42</f>
        <v>FC Barcelona</v>
      </c>
      <c r="X100" s="831">
        <f ca="1">IF(AND($AA100=1,Vorrunde!$I48&lt;&gt;"",Vorrunde!$K48&lt;&gt;"",ABS(Vorrunde!$I48-Vorrunde!$K48)&gt;1),Vorrunde!$I48,"")</f>
        <v>17</v>
      </c>
      <c r="Y100" s="35">
        <f ca="1">IF(AND($AA100=1,Vorrunde!$I48&lt;&gt;"",Vorrunde!$K48&lt;&gt;"",ABS(Vorrunde!$I48-Vorrunde!$K48)&gt;1),Vorrunde!$K48,"")</f>
        <v>25</v>
      </c>
      <c r="Z100" s="34" t="str">
        <f t="shared" ca="1" si="70"/>
        <v>1. FC RiedwaldFC Barcelona</v>
      </c>
      <c r="AA100" s="831">
        <f ca="1">IF(AND(V100&lt;&gt;"",W100&lt;&gt;"",V100&lt;&gt;W100,Vorrunde!$R48&lt;&gt;"",Vorrunde!$T48&lt;&gt;""),1,0)</f>
        <v>1</v>
      </c>
      <c r="AB100" s="831" t="str">
        <f ca="1">IF(AA100&gt;0,AH100&amp;Sprache!$E$109&amp;AI100,"")</f>
        <v>35 : 50</v>
      </c>
      <c r="AC100" s="141" t="str">
        <f ca="1">IF(AA100&gt;0,AJ100&amp;Sprache!$E$109&amp;AK100,"")</f>
        <v>0 : 2</v>
      </c>
      <c r="AD100" s="145">
        <f ca="1">IF(AND($AA100=1,Vorrunde!$L48&lt;&gt;"",Vorrunde!$N48&lt;&gt;"",ABS(Vorrunde!$L48-Vorrunde!$N48)&gt;1),Vorrunde!$L48,"")</f>
        <v>18</v>
      </c>
      <c r="AE100" s="141">
        <f ca="1">IF(AND($AA100=1,Vorrunde!$L48&lt;&gt;"",Vorrunde!$N48&lt;&gt;"",ABS(Vorrunde!$L48-Vorrunde!$N48)&gt;1),Vorrunde!$N48,"")</f>
        <v>25</v>
      </c>
      <c r="AF100" s="145" t="str">
        <f ca="1">IF(AND($AA100=1,Vorrunde!$O48&lt;&gt;"",Vorrunde!$Q48&lt;&gt;"",ABS(Vorrunde!$O48-Vorrunde!$Q48)&gt;1),Vorrunde!$O48,"")</f>
        <v/>
      </c>
      <c r="AG100" s="141" t="str">
        <f ca="1">IF(AND($AA100=1,Vorrunde!$O48&lt;&gt;"",Vorrunde!$Q48&lt;&gt;"",ABS(Vorrunde!$O48-Vorrunde!$Q48)&gt;1),Vorrunde!$Q48,"")</f>
        <v/>
      </c>
      <c r="AH100" s="145">
        <f t="shared" ca="1" si="68"/>
        <v>35</v>
      </c>
      <c r="AI100" s="141">
        <f t="shared" ca="1" si="69"/>
        <v>50</v>
      </c>
      <c r="AJ100" s="145">
        <f ca="1">IF(Vorrunde!$R48="",0,Vorrunde!$R48)</f>
        <v>0</v>
      </c>
      <c r="AK100" s="141">
        <f ca="1">IF(Vorrunde!$T48="",0,Vorrunde!$T48)</f>
        <v>2</v>
      </c>
      <c r="AL100" s="145">
        <f ca="1">IF($AA100=0,"",IF($AJ100&gt;$AK100,Einstellungen!$C$4,IF($AJ100=$AK100,1,0)))</f>
        <v>0</v>
      </c>
      <c r="AM100" s="141">
        <f ca="1">IF($AA100=0,"",IF($AJ100&lt;$AK100,Einstellungen!$C$4,IF($AJ100=$AK100,1,0)))</f>
        <v>2</v>
      </c>
    </row>
    <row r="101" spans="2:39" s="2" customFormat="1" x14ac:dyDescent="0.2">
      <c r="B101" s="4"/>
      <c r="C101" s="4"/>
      <c r="D101" s="4"/>
      <c r="E101" s="4"/>
      <c r="F101" s="778"/>
      <c r="G101" s="778"/>
      <c r="H101" s="778"/>
      <c r="I101" s="778"/>
      <c r="J101" s="778"/>
      <c r="K101" s="778"/>
      <c r="L101" s="778"/>
      <c r="M101" s="778"/>
      <c r="U101" s="66" t="s">
        <v>59</v>
      </c>
      <c r="V101" s="40" t="str">
        <f ca="1">Planung!$L43</f>
        <v>Mainz 05</v>
      </c>
      <c r="W101" s="778" t="str">
        <f ca="1">Planung!$N43</f>
        <v>Inter Mailand</v>
      </c>
      <c r="X101" s="831">
        <f ca="1">IF(AND($AA101=1,Vorrunde!$I49&lt;&gt;"",Vorrunde!$K49&lt;&gt;"",ABS(Vorrunde!$I49-Vorrunde!$K49)&gt;1),Vorrunde!$I49,"")</f>
        <v>14</v>
      </c>
      <c r="Y101" s="35">
        <f ca="1">IF(AND($AA101=1,Vorrunde!$I49&lt;&gt;"",Vorrunde!$K49&lt;&gt;"",ABS(Vorrunde!$I49-Vorrunde!$K49)&gt;1),Vorrunde!$K49,"")</f>
        <v>25</v>
      </c>
      <c r="Z101" s="34" t="str">
        <f t="shared" ca="1" si="70"/>
        <v>Mainz 05Inter Mailand</v>
      </c>
      <c r="AA101" s="831">
        <f ca="1">IF(AND(V101&lt;&gt;"",W101&lt;&gt;"",V101&lt;&gt;W101,Vorrunde!$R49&lt;&gt;"",Vorrunde!$T49&lt;&gt;""),1,0)</f>
        <v>1</v>
      </c>
      <c r="AB101" s="831" t="str">
        <f ca="1">IF(AA101&gt;0,AH101&amp;Sprache!$E$109&amp;AI101,"")</f>
        <v>33 : 50</v>
      </c>
      <c r="AC101" s="141" t="str">
        <f ca="1">IF(AA101&gt;0,AJ101&amp;Sprache!$E$109&amp;AK101,"")</f>
        <v>0 : 2</v>
      </c>
      <c r="AD101" s="145">
        <f ca="1">IF(AND($AA101=1,Vorrunde!$L49&lt;&gt;"",Vorrunde!$N49&lt;&gt;"",ABS(Vorrunde!$L49-Vorrunde!$N49)&gt;1),Vorrunde!$L49,"")</f>
        <v>19</v>
      </c>
      <c r="AE101" s="141">
        <f ca="1">IF(AND($AA101=1,Vorrunde!$L49&lt;&gt;"",Vorrunde!$N49&lt;&gt;"",ABS(Vorrunde!$L49-Vorrunde!$N49)&gt;1),Vorrunde!$N49,"")</f>
        <v>25</v>
      </c>
      <c r="AF101" s="145" t="str">
        <f ca="1">IF(AND($AA101=1,Vorrunde!$O49&lt;&gt;"",Vorrunde!$Q49&lt;&gt;"",ABS(Vorrunde!$O49-Vorrunde!$Q49)&gt;1),Vorrunde!$O49,"")</f>
        <v/>
      </c>
      <c r="AG101" s="141" t="str">
        <f ca="1">IF(AND($AA101=1,Vorrunde!$O49&lt;&gt;"",Vorrunde!$Q49&lt;&gt;"",ABS(Vorrunde!$O49-Vorrunde!$Q49)&gt;1),Vorrunde!$Q49,"")</f>
        <v/>
      </c>
      <c r="AH101" s="145">
        <f t="shared" ca="1" si="68"/>
        <v>33</v>
      </c>
      <c r="AI101" s="141">
        <f t="shared" ca="1" si="69"/>
        <v>50</v>
      </c>
      <c r="AJ101" s="145">
        <f ca="1">IF(Vorrunde!$R49="",0,Vorrunde!$R49)</f>
        <v>0</v>
      </c>
      <c r="AK101" s="141">
        <f ca="1">IF(Vorrunde!$T49="",0,Vorrunde!$T49)</f>
        <v>2</v>
      </c>
      <c r="AL101" s="145">
        <f ca="1">IF($AA101=0,"",IF($AJ101&gt;$AK101,Einstellungen!$C$4,IF($AJ101=$AK101,1,0)))</f>
        <v>0</v>
      </c>
      <c r="AM101" s="141">
        <f ca="1">IF($AA101=0,"",IF($AJ101&lt;$AK101,Einstellungen!$C$4,IF($AJ101=$AK101,1,0)))</f>
        <v>2</v>
      </c>
    </row>
    <row r="102" spans="2:39" s="2" customFormat="1" x14ac:dyDescent="0.2">
      <c r="B102" s="4"/>
      <c r="C102" s="4"/>
      <c r="D102" s="4"/>
      <c r="E102" s="4"/>
      <c r="F102" s="778"/>
      <c r="G102" s="778"/>
      <c r="H102" s="778"/>
      <c r="I102" s="778"/>
      <c r="J102" s="778"/>
      <c r="K102" s="778"/>
      <c r="L102" s="778"/>
      <c r="M102" s="778"/>
      <c r="U102" s="66" t="s">
        <v>60</v>
      </c>
      <c r="V102" s="40" t="str">
        <f ca="1">Planung!$L44</f>
        <v>Kickers Rodendorf</v>
      </c>
      <c r="W102" s="778" t="str">
        <f ca="1">Planung!$N44</f>
        <v>Real Madrid</v>
      </c>
      <c r="X102" s="831">
        <f ca="1">IF(AND($AA102=1,Vorrunde!$I50&lt;&gt;"",Vorrunde!$K50&lt;&gt;"",ABS(Vorrunde!$I50-Vorrunde!$K50)&gt;1),Vorrunde!$I50,"")</f>
        <v>13</v>
      </c>
      <c r="Y102" s="35">
        <f ca="1">IF(AND($AA102=1,Vorrunde!$I50&lt;&gt;"",Vorrunde!$K50&lt;&gt;"",ABS(Vorrunde!$I50-Vorrunde!$K50)&gt;1),Vorrunde!$K50,"")</f>
        <v>25</v>
      </c>
      <c r="Z102" s="34" t="str">
        <f t="shared" ca="1" si="70"/>
        <v>Kickers RodendorfReal Madrid</v>
      </c>
      <c r="AA102" s="831">
        <f ca="1">IF(AND(V102&lt;&gt;"",W102&lt;&gt;"",V102&lt;&gt;W102,Vorrunde!$R50&lt;&gt;"",Vorrunde!$T50&lt;&gt;""),1,0)</f>
        <v>1</v>
      </c>
      <c r="AB102" s="831" t="str">
        <f ca="1">IF(AA102&gt;0,AH102&amp;Sprache!$E$109&amp;AI102,"")</f>
        <v>38 : 45</v>
      </c>
      <c r="AC102" s="141" t="str">
        <f ca="1">IF(AA102&gt;0,AJ102&amp;Sprache!$E$109&amp;AK102,"")</f>
        <v>1 : 1</v>
      </c>
      <c r="AD102" s="145">
        <f ca="1">IF(AND($AA102=1,Vorrunde!$L50&lt;&gt;"",Vorrunde!$N50&lt;&gt;"",ABS(Vorrunde!$L50-Vorrunde!$N50)&gt;1),Vorrunde!$L50,"")</f>
        <v>25</v>
      </c>
      <c r="AE102" s="141">
        <f ca="1">IF(AND($AA102=1,Vorrunde!$L50&lt;&gt;"",Vorrunde!$N50&lt;&gt;"",ABS(Vorrunde!$L50-Vorrunde!$N50)&gt;1),Vorrunde!$N50,"")</f>
        <v>20</v>
      </c>
      <c r="AF102" s="145" t="str">
        <f ca="1">IF(AND($AA102=1,Vorrunde!$O50&lt;&gt;"",Vorrunde!$Q50&lt;&gt;"",ABS(Vorrunde!$O50-Vorrunde!$Q50)&gt;1),Vorrunde!$O50,"")</f>
        <v/>
      </c>
      <c r="AG102" s="141" t="str">
        <f ca="1">IF(AND($AA102=1,Vorrunde!$O50&lt;&gt;"",Vorrunde!$Q50&lt;&gt;"",ABS(Vorrunde!$O50-Vorrunde!$Q50)&gt;1),Vorrunde!$Q50,"")</f>
        <v/>
      </c>
      <c r="AH102" s="145">
        <f t="shared" ca="1" si="68"/>
        <v>38</v>
      </c>
      <c r="AI102" s="141">
        <f t="shared" ca="1" si="69"/>
        <v>45</v>
      </c>
      <c r="AJ102" s="145">
        <f ca="1">IF(Vorrunde!$R50="",0,Vorrunde!$R50)</f>
        <v>1</v>
      </c>
      <c r="AK102" s="141">
        <f ca="1">IF(Vorrunde!$T50="",0,Vorrunde!$T50)</f>
        <v>1</v>
      </c>
      <c r="AL102" s="145">
        <f ca="1">IF($AA102=0,"",IF($AJ102&gt;$AK102,Einstellungen!$C$4,IF($AJ102=$AK102,1,0)))</f>
        <v>1</v>
      </c>
      <c r="AM102" s="141">
        <f ca="1">IF($AA102=0,"",IF($AJ102&lt;$AK102,Einstellungen!$C$4,IF($AJ102=$AK102,1,0)))</f>
        <v>1</v>
      </c>
    </row>
    <row r="103" spans="2:39" s="2" customFormat="1" x14ac:dyDescent="0.2">
      <c r="B103" s="4"/>
      <c r="C103" s="4"/>
      <c r="D103" s="4"/>
      <c r="E103" s="4"/>
      <c r="F103" s="778"/>
      <c r="G103" s="778"/>
      <c r="H103" s="778"/>
      <c r="I103" s="778"/>
      <c r="J103" s="778"/>
      <c r="K103" s="778"/>
      <c r="L103" s="778"/>
      <c r="M103" s="778"/>
      <c r="U103" s="66" t="s">
        <v>61</v>
      </c>
      <c r="V103" s="40" t="str">
        <f ca="1">Planung!$L45</f>
        <v>TSG Saalberg eV</v>
      </c>
      <c r="W103" s="778" t="str">
        <f ca="1">Planung!$N45</f>
        <v>Paris St. Germain</v>
      </c>
      <c r="X103" s="831">
        <f ca="1">IF(AND($AA103=1,Vorrunde!$I51&lt;&gt;"",Vorrunde!$K51&lt;&gt;"",ABS(Vorrunde!$I51-Vorrunde!$K51)&gt;1),Vorrunde!$I51,"")</f>
        <v>18</v>
      </c>
      <c r="Y103" s="35">
        <f ca="1">IF(AND($AA103=1,Vorrunde!$I51&lt;&gt;"",Vorrunde!$K51&lt;&gt;"",ABS(Vorrunde!$I51-Vorrunde!$K51)&gt;1),Vorrunde!$K51,"")</f>
        <v>25</v>
      </c>
      <c r="Z103" s="34" t="str">
        <f t="shared" ca="1" si="70"/>
        <v>TSG Saalberg eVParis St. Germain</v>
      </c>
      <c r="AA103" s="831">
        <f ca="1">IF(AND(V103&lt;&gt;"",W103&lt;&gt;"",V103&lt;&gt;W103,Vorrunde!$R51&lt;&gt;"",Vorrunde!$T51&lt;&gt;""),1,0)</f>
        <v>1</v>
      </c>
      <c r="AB103" s="831" t="str">
        <f ca="1">IF(AA103&gt;0,AH103&amp;Sprache!$E$109&amp;AI103,"")</f>
        <v>43 : 46</v>
      </c>
      <c r="AC103" s="141" t="str">
        <f ca="1">IF(AA103&gt;0,AJ103&amp;Sprache!$E$109&amp;AK103,"")</f>
        <v>1 : 1</v>
      </c>
      <c r="AD103" s="145">
        <f ca="1">IF(AND($AA103=1,Vorrunde!$L51&lt;&gt;"",Vorrunde!$N51&lt;&gt;"",ABS(Vorrunde!$L51-Vorrunde!$N51)&gt;1),Vorrunde!$L51,"")</f>
        <v>25</v>
      </c>
      <c r="AE103" s="141">
        <f ca="1">IF(AND($AA103=1,Vorrunde!$L51&lt;&gt;"",Vorrunde!$N51&lt;&gt;"",ABS(Vorrunde!$L51-Vorrunde!$N51)&gt;1),Vorrunde!$N51,"")</f>
        <v>21</v>
      </c>
      <c r="AF103" s="145" t="str">
        <f ca="1">IF(AND($AA103=1,Vorrunde!$O51&lt;&gt;"",Vorrunde!$Q51&lt;&gt;"",ABS(Vorrunde!$O51-Vorrunde!$Q51)&gt;1),Vorrunde!$O51,"")</f>
        <v/>
      </c>
      <c r="AG103" s="141" t="str">
        <f ca="1">IF(AND($AA103=1,Vorrunde!$O51&lt;&gt;"",Vorrunde!$Q51&lt;&gt;"",ABS(Vorrunde!$O51-Vorrunde!$Q51)&gt;1),Vorrunde!$Q51,"")</f>
        <v/>
      </c>
      <c r="AH103" s="145">
        <f t="shared" ca="1" si="68"/>
        <v>43</v>
      </c>
      <c r="AI103" s="141">
        <f t="shared" ca="1" si="69"/>
        <v>46</v>
      </c>
      <c r="AJ103" s="145">
        <f ca="1">IF(Vorrunde!$R51="",0,Vorrunde!$R51)</f>
        <v>1</v>
      </c>
      <c r="AK103" s="141">
        <f ca="1">IF(Vorrunde!$T51="",0,Vorrunde!$T51)</f>
        <v>1</v>
      </c>
      <c r="AL103" s="145">
        <f ca="1">IF($AA103=0,"",IF($AJ103&gt;$AK103,Einstellungen!$C$4,IF($AJ103=$AK103,1,0)))</f>
        <v>1</v>
      </c>
      <c r="AM103" s="141">
        <f ca="1">IF($AA103=0,"",IF($AJ103&lt;$AK103,Einstellungen!$C$4,IF($AJ103=$AK103,1,0)))</f>
        <v>1</v>
      </c>
    </row>
    <row r="104" spans="2:39" s="2" customFormat="1" x14ac:dyDescent="0.2">
      <c r="B104" s="4"/>
      <c r="C104" s="4"/>
      <c r="D104" s="4"/>
      <c r="E104" s="4"/>
      <c r="F104" s="778"/>
      <c r="G104" s="778"/>
      <c r="H104" s="778"/>
      <c r="I104" s="778"/>
      <c r="J104" s="778"/>
      <c r="K104" s="778"/>
      <c r="L104" s="778"/>
      <c r="M104" s="778"/>
      <c r="U104" s="66" t="s">
        <v>62</v>
      </c>
      <c r="V104" s="40" t="str">
        <f ca="1">Planung!$L46</f>
        <v/>
      </c>
      <c r="W104" s="778" t="str">
        <f ca="1">Planung!$N46</f>
        <v/>
      </c>
      <c r="X104" s="831" t="str">
        <f ca="1">IF(AND($AA104=1,Vorrunde!$I52&lt;&gt;"",Vorrunde!$K52&lt;&gt;"",ABS(Vorrunde!$I52-Vorrunde!$K52)&gt;1),Vorrunde!$I52,"")</f>
        <v/>
      </c>
      <c r="Y104" s="35" t="str">
        <f ca="1">IF(AND($AA104=1,Vorrunde!$I52&lt;&gt;"",Vorrunde!$K52&lt;&gt;"",ABS(Vorrunde!$I52-Vorrunde!$K52)&gt;1),Vorrunde!$K52,"")</f>
        <v/>
      </c>
      <c r="Z104" s="34" t="str">
        <f t="shared" ca="1" si="70"/>
        <v/>
      </c>
      <c r="AA104" s="831">
        <f ca="1">IF(AND(V104&lt;&gt;"",W104&lt;&gt;"",V104&lt;&gt;W104,Vorrunde!$R52&lt;&gt;"",Vorrunde!$T52&lt;&gt;""),1,0)</f>
        <v>0</v>
      </c>
      <c r="AB104" s="831" t="str">
        <f ca="1">IF(AA104&gt;0,AH104&amp;Sprache!$E$109&amp;AI104,"")</f>
        <v/>
      </c>
      <c r="AC104" s="141" t="str">
        <f ca="1">IF(AA104&gt;0,AJ104&amp;Sprache!$E$109&amp;AK104,"")</f>
        <v/>
      </c>
      <c r="AD104" s="145" t="str">
        <f ca="1">IF(AND($AA104=1,Vorrunde!$L52&lt;&gt;"",Vorrunde!$N52&lt;&gt;"",ABS(Vorrunde!$L52-Vorrunde!$N52)&gt;1),Vorrunde!$L52,"")</f>
        <v/>
      </c>
      <c r="AE104" s="141" t="str">
        <f ca="1">IF(AND($AA104=1,Vorrunde!$L52&lt;&gt;"",Vorrunde!$N52&lt;&gt;"",ABS(Vorrunde!$L52-Vorrunde!$N52)&gt;1),Vorrunde!$N52,"")</f>
        <v/>
      </c>
      <c r="AF104" s="145" t="str">
        <f ca="1">IF(AND($AA104=1,Vorrunde!$O52&lt;&gt;"",Vorrunde!$Q52&lt;&gt;"",ABS(Vorrunde!$O52-Vorrunde!$Q52)&gt;1),Vorrunde!$O52,"")</f>
        <v/>
      </c>
      <c r="AG104" s="141" t="str">
        <f ca="1">IF(AND($AA104=1,Vorrunde!$O52&lt;&gt;"",Vorrunde!$Q52&lt;&gt;"",ABS(Vorrunde!$O52-Vorrunde!$Q52)&gt;1),Vorrunde!$Q52,"")</f>
        <v/>
      </c>
      <c r="AH104" s="145" t="str">
        <f t="shared" ca="1" si="68"/>
        <v/>
      </c>
      <c r="AI104" s="141" t="str">
        <f t="shared" ca="1" si="69"/>
        <v/>
      </c>
      <c r="AJ104" s="145">
        <f ca="1">IF(Vorrunde!$R52="",0,Vorrunde!$R52)</f>
        <v>0</v>
      </c>
      <c r="AK104" s="141">
        <f ca="1">IF(Vorrunde!$T52="",0,Vorrunde!$T52)</f>
        <v>0</v>
      </c>
      <c r="AL104" s="145" t="str">
        <f ca="1">IF($AA104=0,"",IF($AJ104&gt;$AK104,Einstellungen!$C$4,IF($AJ104=$AK104,1,0)))</f>
        <v/>
      </c>
      <c r="AM104" s="141" t="str">
        <f ca="1">IF($AA104=0,"",IF($AJ104&lt;$AK104,Einstellungen!$C$4,IF($AJ104=$AK104,1,0)))</f>
        <v/>
      </c>
    </row>
    <row r="105" spans="2:39" s="2" customFormat="1" x14ac:dyDescent="0.2">
      <c r="B105" s="4"/>
      <c r="C105" s="4"/>
      <c r="D105" s="4"/>
      <c r="E105" s="4"/>
      <c r="F105" s="778"/>
      <c r="G105" s="778"/>
      <c r="H105" s="778"/>
      <c r="I105" s="778"/>
      <c r="J105" s="778"/>
      <c r="K105" s="778"/>
      <c r="L105" s="778"/>
      <c r="M105" s="778"/>
      <c r="U105" s="66" t="s">
        <v>63</v>
      </c>
      <c r="V105" s="40" t="str">
        <f ca="1">Planung!$L47</f>
        <v/>
      </c>
      <c r="W105" s="778" t="str">
        <f ca="1">Planung!$N47</f>
        <v/>
      </c>
      <c r="X105" s="831" t="str">
        <f ca="1">IF(AND($AA105=1,Vorrunde!$I53&lt;&gt;"",Vorrunde!$K53&lt;&gt;"",ABS(Vorrunde!$I53-Vorrunde!$K53)&gt;1),Vorrunde!$I53,"")</f>
        <v/>
      </c>
      <c r="Y105" s="35" t="str">
        <f ca="1">IF(AND($AA105=1,Vorrunde!$I53&lt;&gt;"",Vorrunde!$K53&lt;&gt;"",ABS(Vorrunde!$I53-Vorrunde!$K53)&gt;1),Vorrunde!$K53,"")</f>
        <v/>
      </c>
      <c r="Z105" s="34" t="str">
        <f t="shared" ca="1" si="70"/>
        <v/>
      </c>
      <c r="AA105" s="831">
        <f ca="1">IF(AND(V105&lt;&gt;"",W105&lt;&gt;"",V105&lt;&gt;W105,Vorrunde!$R53&lt;&gt;"",Vorrunde!$T53&lt;&gt;""),1,0)</f>
        <v>0</v>
      </c>
      <c r="AB105" s="831" t="str">
        <f ca="1">IF(AA105&gt;0,AH105&amp;Sprache!$E$109&amp;AI105,"")</f>
        <v/>
      </c>
      <c r="AC105" s="141" t="str">
        <f ca="1">IF(AA105&gt;0,AJ105&amp;Sprache!$E$109&amp;AK105,"")</f>
        <v/>
      </c>
      <c r="AD105" s="145" t="str">
        <f ca="1">IF(AND($AA105=1,Vorrunde!$L53&lt;&gt;"",Vorrunde!$N53&lt;&gt;"",ABS(Vorrunde!$L53-Vorrunde!$N53)&gt;1),Vorrunde!$L53,"")</f>
        <v/>
      </c>
      <c r="AE105" s="141" t="str">
        <f ca="1">IF(AND($AA105=1,Vorrunde!$L53&lt;&gt;"",Vorrunde!$N53&lt;&gt;"",ABS(Vorrunde!$L53-Vorrunde!$N53)&gt;1),Vorrunde!$N53,"")</f>
        <v/>
      </c>
      <c r="AF105" s="145" t="str">
        <f ca="1">IF(AND($AA105=1,Vorrunde!$O53&lt;&gt;"",Vorrunde!$Q53&lt;&gt;"",ABS(Vorrunde!$O53-Vorrunde!$Q53)&gt;1),Vorrunde!$O53,"")</f>
        <v/>
      </c>
      <c r="AG105" s="141" t="str">
        <f ca="1">IF(AND($AA105=1,Vorrunde!$O53&lt;&gt;"",Vorrunde!$Q53&lt;&gt;"",ABS(Vorrunde!$O53-Vorrunde!$Q53)&gt;1),Vorrunde!$Q53,"")</f>
        <v/>
      </c>
      <c r="AH105" s="145" t="str">
        <f t="shared" ca="1" si="68"/>
        <v/>
      </c>
      <c r="AI105" s="141" t="str">
        <f t="shared" ca="1" si="69"/>
        <v/>
      </c>
      <c r="AJ105" s="145">
        <f ca="1">IF(Vorrunde!$R53="",0,Vorrunde!$R53)</f>
        <v>0</v>
      </c>
      <c r="AK105" s="141">
        <f ca="1">IF(Vorrunde!$T53="",0,Vorrunde!$T53)</f>
        <v>0</v>
      </c>
      <c r="AL105" s="145" t="str">
        <f ca="1">IF($AA105=0,"",IF($AJ105&gt;$AK105,Einstellungen!$C$4,IF($AJ105=$AK105,1,0)))</f>
        <v/>
      </c>
      <c r="AM105" s="141" t="str">
        <f ca="1">IF($AA105=0,"",IF($AJ105&lt;$AK105,Einstellungen!$C$4,IF($AJ105=$AK105,1,0)))</f>
        <v/>
      </c>
    </row>
    <row r="106" spans="2:39" s="2" customFormat="1" x14ac:dyDescent="0.2">
      <c r="B106" s="4"/>
      <c r="C106" s="4"/>
      <c r="D106" s="4"/>
      <c r="E106" s="4"/>
      <c r="F106" s="778"/>
      <c r="G106" s="778"/>
      <c r="H106" s="778"/>
      <c r="I106" s="778"/>
      <c r="J106" s="778"/>
      <c r="K106" s="778"/>
      <c r="L106" s="778"/>
      <c r="M106" s="778"/>
      <c r="U106" s="66" t="s">
        <v>64</v>
      </c>
      <c r="V106" s="40" t="str">
        <f ca="1">Planung!$L48</f>
        <v/>
      </c>
      <c r="W106" s="778" t="str">
        <f ca="1">Planung!$N48</f>
        <v/>
      </c>
      <c r="X106" s="831" t="str">
        <f ca="1">IF(AND($AA106=1,Vorrunde!$I54&lt;&gt;"",Vorrunde!$K54&lt;&gt;"",ABS(Vorrunde!$I54-Vorrunde!$K54)&gt;1),Vorrunde!$I54,"")</f>
        <v/>
      </c>
      <c r="Y106" s="35" t="str">
        <f ca="1">IF(AND($AA106=1,Vorrunde!$I54&lt;&gt;"",Vorrunde!$K54&lt;&gt;"",ABS(Vorrunde!$I54-Vorrunde!$K54)&gt;1),Vorrunde!$K54,"")</f>
        <v/>
      </c>
      <c r="Z106" s="34" t="str">
        <f t="shared" ca="1" si="70"/>
        <v/>
      </c>
      <c r="AA106" s="831">
        <f ca="1">IF(AND(V106&lt;&gt;"",W106&lt;&gt;"",V106&lt;&gt;W106,Vorrunde!$R54&lt;&gt;"",Vorrunde!$T54&lt;&gt;""),1,0)</f>
        <v>0</v>
      </c>
      <c r="AB106" s="831" t="str">
        <f ca="1">IF(AA106&gt;0,AH106&amp;Sprache!$E$109&amp;AI106,"")</f>
        <v/>
      </c>
      <c r="AC106" s="141" t="str">
        <f ca="1">IF(AA106&gt;0,AJ106&amp;Sprache!$E$109&amp;AK106,"")</f>
        <v/>
      </c>
      <c r="AD106" s="145" t="str">
        <f ca="1">IF(AND($AA106=1,Vorrunde!$L54&lt;&gt;"",Vorrunde!$N54&lt;&gt;"",ABS(Vorrunde!$L54-Vorrunde!$N54)&gt;1),Vorrunde!$L54,"")</f>
        <v/>
      </c>
      <c r="AE106" s="141" t="str">
        <f ca="1">IF(AND($AA106=1,Vorrunde!$L54&lt;&gt;"",Vorrunde!$N54&lt;&gt;"",ABS(Vorrunde!$L54-Vorrunde!$N54)&gt;1),Vorrunde!$N54,"")</f>
        <v/>
      </c>
      <c r="AF106" s="145" t="str">
        <f ca="1">IF(AND($AA106=1,Vorrunde!$O54&lt;&gt;"",Vorrunde!$Q54&lt;&gt;"",ABS(Vorrunde!$O54-Vorrunde!$Q54)&gt;1),Vorrunde!$O54,"")</f>
        <v/>
      </c>
      <c r="AG106" s="141" t="str">
        <f ca="1">IF(AND($AA106=1,Vorrunde!$O54&lt;&gt;"",Vorrunde!$Q54&lt;&gt;"",ABS(Vorrunde!$O54-Vorrunde!$Q54)&gt;1),Vorrunde!$Q54,"")</f>
        <v/>
      </c>
      <c r="AH106" s="145" t="str">
        <f t="shared" ca="1" si="68"/>
        <v/>
      </c>
      <c r="AI106" s="141" t="str">
        <f t="shared" ca="1" si="69"/>
        <v/>
      </c>
      <c r="AJ106" s="145">
        <f ca="1">IF(Vorrunde!$R54="",0,Vorrunde!$R54)</f>
        <v>0</v>
      </c>
      <c r="AK106" s="141">
        <f ca="1">IF(Vorrunde!$T54="",0,Vorrunde!$T54)</f>
        <v>0</v>
      </c>
      <c r="AL106" s="145" t="str">
        <f ca="1">IF($AA106=0,"",IF($AJ106&gt;$AK106,Einstellungen!$C$4,IF($AJ106=$AK106,1,0)))</f>
        <v/>
      </c>
      <c r="AM106" s="141" t="str">
        <f ca="1">IF($AA106=0,"",IF($AJ106&lt;$AK106,Einstellungen!$C$4,IF($AJ106=$AK106,1,0)))</f>
        <v/>
      </c>
    </row>
    <row r="107" spans="2:39" s="2" customFormat="1" x14ac:dyDescent="0.2">
      <c r="B107" s="4"/>
      <c r="C107" s="4"/>
      <c r="D107" s="4"/>
      <c r="E107" s="4"/>
      <c r="F107" s="778"/>
      <c r="G107" s="778"/>
      <c r="H107" s="778"/>
      <c r="I107" s="778"/>
      <c r="J107" s="778"/>
      <c r="K107" s="778"/>
      <c r="L107" s="778"/>
      <c r="M107" s="778"/>
      <c r="U107" s="66" t="s">
        <v>65</v>
      </c>
      <c r="V107" s="40" t="str">
        <f ca="1">Planung!$L49</f>
        <v/>
      </c>
      <c r="W107" s="778" t="str">
        <f ca="1">Planung!$N49</f>
        <v/>
      </c>
      <c r="X107" s="831" t="str">
        <f ca="1">IF(AND($AA107=1,Vorrunde!$I55&lt;&gt;"",Vorrunde!$K55&lt;&gt;"",ABS(Vorrunde!$I55-Vorrunde!$K55)&gt;1),Vorrunde!$I55,"")</f>
        <v/>
      </c>
      <c r="Y107" s="35" t="str">
        <f ca="1">IF(AND($AA107=1,Vorrunde!$I55&lt;&gt;"",Vorrunde!$K55&lt;&gt;"",ABS(Vorrunde!$I55-Vorrunde!$K55)&gt;1),Vorrunde!$K55,"")</f>
        <v/>
      </c>
      <c r="Z107" s="34" t="str">
        <f t="shared" ca="1" si="70"/>
        <v/>
      </c>
      <c r="AA107" s="831">
        <f ca="1">IF(AND(V107&lt;&gt;"",W107&lt;&gt;"",V107&lt;&gt;W107,Vorrunde!$R55&lt;&gt;"",Vorrunde!$T55&lt;&gt;""),1,0)</f>
        <v>0</v>
      </c>
      <c r="AB107" s="831" t="str">
        <f ca="1">IF(AA107&gt;0,AH107&amp;Sprache!$E$109&amp;AI107,"")</f>
        <v/>
      </c>
      <c r="AC107" s="141" t="str">
        <f ca="1">IF(AA107&gt;0,AJ107&amp;Sprache!$E$109&amp;AK107,"")</f>
        <v/>
      </c>
      <c r="AD107" s="145" t="str">
        <f ca="1">IF(AND($AA107=1,Vorrunde!$L55&lt;&gt;"",Vorrunde!$N55&lt;&gt;"",ABS(Vorrunde!$L55-Vorrunde!$N55)&gt;1),Vorrunde!$L55,"")</f>
        <v/>
      </c>
      <c r="AE107" s="141" t="str">
        <f ca="1">IF(AND($AA107=1,Vorrunde!$L55&lt;&gt;"",Vorrunde!$N55&lt;&gt;"",ABS(Vorrunde!$L55-Vorrunde!$N55)&gt;1),Vorrunde!$N55,"")</f>
        <v/>
      </c>
      <c r="AF107" s="145" t="str">
        <f ca="1">IF(AND($AA107=1,Vorrunde!$O55&lt;&gt;"",Vorrunde!$Q55&lt;&gt;"",ABS(Vorrunde!$O55-Vorrunde!$Q55)&gt;1),Vorrunde!$O55,"")</f>
        <v/>
      </c>
      <c r="AG107" s="141" t="str">
        <f ca="1">IF(AND($AA107=1,Vorrunde!$O55&lt;&gt;"",Vorrunde!$Q55&lt;&gt;"",ABS(Vorrunde!$O55-Vorrunde!$Q55)&gt;1),Vorrunde!$Q55,"")</f>
        <v/>
      </c>
      <c r="AH107" s="145" t="str">
        <f t="shared" ca="1" si="68"/>
        <v/>
      </c>
      <c r="AI107" s="141" t="str">
        <f t="shared" ca="1" si="69"/>
        <v/>
      </c>
      <c r="AJ107" s="145">
        <f ca="1">IF(Vorrunde!$R55="",0,Vorrunde!$R55)</f>
        <v>0</v>
      </c>
      <c r="AK107" s="141">
        <f ca="1">IF(Vorrunde!$T55="",0,Vorrunde!$T55)</f>
        <v>0</v>
      </c>
      <c r="AL107" s="145" t="str">
        <f ca="1">IF($AA107=0,"",IF($AJ107&gt;$AK107,Einstellungen!$C$4,IF($AJ107=$AK107,1,0)))</f>
        <v/>
      </c>
      <c r="AM107" s="141" t="str">
        <f ca="1">IF($AA107=0,"",IF($AJ107&lt;$AK107,Einstellungen!$C$4,IF($AJ107=$AK107,1,0)))</f>
        <v/>
      </c>
    </row>
    <row r="108" spans="2:39" s="2" customFormat="1" x14ac:dyDescent="0.2">
      <c r="B108" s="4"/>
      <c r="C108" s="4"/>
      <c r="D108" s="4"/>
      <c r="E108" s="4"/>
      <c r="F108" s="778"/>
      <c r="G108" s="778"/>
      <c r="H108" s="778"/>
      <c r="I108" s="778"/>
      <c r="J108" s="778"/>
      <c r="K108" s="778"/>
      <c r="L108" s="778"/>
      <c r="M108" s="778"/>
      <c r="U108" s="66" t="s">
        <v>66</v>
      </c>
      <c r="V108" s="40" t="str">
        <f ca="1">Planung!$L50</f>
        <v/>
      </c>
      <c r="W108" s="778" t="str">
        <f ca="1">Planung!$N50</f>
        <v/>
      </c>
      <c r="X108" s="831" t="str">
        <f ca="1">IF(AND($AA108=1,Vorrunde!$I56&lt;&gt;"",Vorrunde!$K56&lt;&gt;"",ABS(Vorrunde!$I56-Vorrunde!$K56)&gt;1),Vorrunde!$I56,"")</f>
        <v/>
      </c>
      <c r="Y108" s="35" t="str">
        <f ca="1">IF(AND($AA108=1,Vorrunde!$I56&lt;&gt;"",Vorrunde!$K56&lt;&gt;"",ABS(Vorrunde!$I56-Vorrunde!$K56)&gt;1),Vorrunde!$K56,"")</f>
        <v/>
      </c>
      <c r="Z108" s="34" t="str">
        <f t="shared" ca="1" si="70"/>
        <v/>
      </c>
      <c r="AA108" s="831">
        <f ca="1">IF(AND(V108&lt;&gt;"",W108&lt;&gt;"",V108&lt;&gt;W108,Vorrunde!$R56&lt;&gt;"",Vorrunde!$T56&lt;&gt;""),1,0)</f>
        <v>0</v>
      </c>
      <c r="AB108" s="831" t="str">
        <f ca="1">IF(AA108&gt;0,AH108&amp;Sprache!$E$109&amp;AI108,"")</f>
        <v/>
      </c>
      <c r="AC108" s="141" t="str">
        <f ca="1">IF(AA108&gt;0,AJ108&amp;Sprache!$E$109&amp;AK108,"")</f>
        <v/>
      </c>
      <c r="AD108" s="145" t="str">
        <f ca="1">IF(AND($AA108=1,Vorrunde!$L56&lt;&gt;"",Vorrunde!$N56&lt;&gt;"",ABS(Vorrunde!$L56-Vorrunde!$N56)&gt;1),Vorrunde!$L56,"")</f>
        <v/>
      </c>
      <c r="AE108" s="141" t="str">
        <f ca="1">IF(AND($AA108=1,Vorrunde!$L56&lt;&gt;"",Vorrunde!$N56&lt;&gt;"",ABS(Vorrunde!$L56-Vorrunde!$N56)&gt;1),Vorrunde!$N56,"")</f>
        <v/>
      </c>
      <c r="AF108" s="145" t="str">
        <f ca="1">IF(AND($AA108=1,Vorrunde!$O56&lt;&gt;"",Vorrunde!$Q56&lt;&gt;"",ABS(Vorrunde!$O56-Vorrunde!$Q56)&gt;1),Vorrunde!$O56,"")</f>
        <v/>
      </c>
      <c r="AG108" s="141" t="str">
        <f ca="1">IF(AND($AA108=1,Vorrunde!$O56&lt;&gt;"",Vorrunde!$Q56&lt;&gt;"",ABS(Vorrunde!$O56-Vorrunde!$Q56)&gt;1),Vorrunde!$Q56,"")</f>
        <v/>
      </c>
      <c r="AH108" s="145" t="str">
        <f t="shared" ca="1" si="68"/>
        <v/>
      </c>
      <c r="AI108" s="141" t="str">
        <f t="shared" ca="1" si="69"/>
        <v/>
      </c>
      <c r="AJ108" s="145">
        <f ca="1">IF(Vorrunde!$R56="",0,Vorrunde!$R56)</f>
        <v>0</v>
      </c>
      <c r="AK108" s="141">
        <f ca="1">IF(Vorrunde!$T56="",0,Vorrunde!$T56)</f>
        <v>0</v>
      </c>
      <c r="AL108" s="145" t="str">
        <f ca="1">IF($AA108=0,"",IF($AJ108&gt;$AK108,Einstellungen!$C$4,IF($AJ108=$AK108,1,0)))</f>
        <v/>
      </c>
      <c r="AM108" s="141" t="str">
        <f ca="1">IF($AA108=0,"",IF($AJ108&lt;$AK108,Einstellungen!$C$4,IF($AJ108=$AK108,1,0)))</f>
        <v/>
      </c>
    </row>
    <row r="109" spans="2:39" s="2" customFormat="1" x14ac:dyDescent="0.2">
      <c r="B109" s="4"/>
      <c r="C109" s="4"/>
      <c r="D109" s="4"/>
      <c r="E109" s="4"/>
      <c r="F109" s="778"/>
      <c r="G109" s="778"/>
      <c r="H109" s="778"/>
      <c r="I109" s="778"/>
      <c r="J109" s="778"/>
      <c r="K109" s="778"/>
      <c r="L109" s="778"/>
      <c r="M109" s="778"/>
      <c r="U109" s="66" t="s">
        <v>67</v>
      </c>
      <c r="V109" s="40" t="str">
        <f ca="1">Planung!$L51</f>
        <v/>
      </c>
      <c r="W109" s="778" t="str">
        <f ca="1">Planung!$N51</f>
        <v/>
      </c>
      <c r="X109" s="831" t="str">
        <f ca="1">IF(AND($AA109=1,Vorrunde!$I57&lt;&gt;"",Vorrunde!$K57&lt;&gt;"",ABS(Vorrunde!$I57-Vorrunde!$K57)&gt;1),Vorrunde!$I57,"")</f>
        <v/>
      </c>
      <c r="Y109" s="35" t="str">
        <f ca="1">IF(AND($AA109=1,Vorrunde!$I57&lt;&gt;"",Vorrunde!$K57&lt;&gt;"",ABS(Vorrunde!$I57-Vorrunde!$K57)&gt;1),Vorrunde!$K57,"")</f>
        <v/>
      </c>
      <c r="Z109" s="34" t="str">
        <f t="shared" ca="1" si="70"/>
        <v/>
      </c>
      <c r="AA109" s="831">
        <f ca="1">IF(AND(V109&lt;&gt;"",W109&lt;&gt;"",V109&lt;&gt;W109,Vorrunde!$R57&lt;&gt;"",Vorrunde!$T57&lt;&gt;""),1,0)</f>
        <v>0</v>
      </c>
      <c r="AB109" s="831" t="str">
        <f ca="1">IF(AA109&gt;0,AH109&amp;Sprache!$E$109&amp;AI109,"")</f>
        <v/>
      </c>
      <c r="AC109" s="141" t="str">
        <f ca="1">IF(AA109&gt;0,AJ109&amp;Sprache!$E$109&amp;AK109,"")</f>
        <v/>
      </c>
      <c r="AD109" s="145" t="str">
        <f ca="1">IF(AND($AA109=1,Vorrunde!$L57&lt;&gt;"",Vorrunde!$N57&lt;&gt;"",ABS(Vorrunde!$L57-Vorrunde!$N57)&gt;1),Vorrunde!$L57,"")</f>
        <v/>
      </c>
      <c r="AE109" s="141" t="str">
        <f ca="1">IF(AND($AA109=1,Vorrunde!$L57&lt;&gt;"",Vorrunde!$N57&lt;&gt;"",ABS(Vorrunde!$L57-Vorrunde!$N57)&gt;1),Vorrunde!$N57,"")</f>
        <v/>
      </c>
      <c r="AF109" s="145" t="str">
        <f ca="1">IF(AND($AA109=1,Vorrunde!$O57&lt;&gt;"",Vorrunde!$Q57&lt;&gt;"",ABS(Vorrunde!$O57-Vorrunde!$Q57)&gt;1),Vorrunde!$O57,"")</f>
        <v/>
      </c>
      <c r="AG109" s="141" t="str">
        <f ca="1">IF(AND($AA109=1,Vorrunde!$O57&lt;&gt;"",Vorrunde!$Q57&lt;&gt;"",ABS(Vorrunde!$O57-Vorrunde!$Q57)&gt;1),Vorrunde!$Q57,"")</f>
        <v/>
      </c>
      <c r="AH109" s="145" t="str">
        <f t="shared" ca="1" si="68"/>
        <v/>
      </c>
      <c r="AI109" s="141" t="str">
        <f t="shared" ca="1" si="69"/>
        <v/>
      </c>
      <c r="AJ109" s="145">
        <f ca="1">IF(Vorrunde!$R57="",0,Vorrunde!$R57)</f>
        <v>0</v>
      </c>
      <c r="AK109" s="141">
        <f ca="1">IF(Vorrunde!$T57="",0,Vorrunde!$T57)</f>
        <v>0</v>
      </c>
      <c r="AL109" s="145" t="str">
        <f ca="1">IF($AA109=0,"",IF($AJ109&gt;$AK109,Einstellungen!$C$4,IF($AJ109=$AK109,1,0)))</f>
        <v/>
      </c>
      <c r="AM109" s="141" t="str">
        <f ca="1">IF($AA109=0,"",IF($AJ109&lt;$AK109,Einstellungen!$C$4,IF($AJ109=$AK109,1,0)))</f>
        <v/>
      </c>
    </row>
    <row r="110" spans="2:39" s="2" customFormat="1" x14ac:dyDescent="0.2">
      <c r="B110" s="4"/>
      <c r="C110" s="4"/>
      <c r="D110" s="4"/>
      <c r="E110" s="4"/>
      <c r="F110" s="778"/>
      <c r="G110" s="778"/>
      <c r="H110" s="778"/>
      <c r="I110" s="778"/>
      <c r="J110" s="778"/>
      <c r="K110" s="778"/>
      <c r="L110" s="778"/>
      <c r="M110" s="778"/>
      <c r="U110" s="66" t="s">
        <v>68</v>
      </c>
      <c r="V110" s="40" t="str">
        <f ca="1">Planung!$L52</f>
        <v/>
      </c>
      <c r="W110" s="778" t="str">
        <f ca="1">Planung!$N52</f>
        <v/>
      </c>
      <c r="X110" s="831" t="str">
        <f ca="1">IF(AND($AA110=1,Vorrunde!$I58&lt;&gt;"",Vorrunde!$K58&lt;&gt;"",ABS(Vorrunde!$I58-Vorrunde!$K58)&gt;1),Vorrunde!$I58,"")</f>
        <v/>
      </c>
      <c r="Y110" s="35" t="str">
        <f ca="1">IF(AND($AA110=1,Vorrunde!$I58&lt;&gt;"",Vorrunde!$K58&lt;&gt;"",ABS(Vorrunde!$I58-Vorrunde!$K58)&gt;1),Vorrunde!$K58,"")</f>
        <v/>
      </c>
      <c r="Z110" s="34" t="str">
        <f t="shared" ca="1" si="70"/>
        <v/>
      </c>
      <c r="AA110" s="831">
        <f ca="1">IF(AND(V110&lt;&gt;"",W110&lt;&gt;"",V110&lt;&gt;W110,Vorrunde!$R58&lt;&gt;"",Vorrunde!$T58&lt;&gt;""),1,0)</f>
        <v>0</v>
      </c>
      <c r="AB110" s="831" t="str">
        <f ca="1">IF(AA110&gt;0,AH110&amp;Sprache!$E$109&amp;AI110,"")</f>
        <v/>
      </c>
      <c r="AC110" s="141" t="str">
        <f ca="1">IF(AA110&gt;0,AJ110&amp;Sprache!$E$109&amp;AK110,"")</f>
        <v/>
      </c>
      <c r="AD110" s="145" t="str">
        <f ca="1">IF(AND($AA110=1,Vorrunde!$L58&lt;&gt;"",Vorrunde!$N58&lt;&gt;"",ABS(Vorrunde!$L58-Vorrunde!$N58)&gt;1),Vorrunde!$L58,"")</f>
        <v/>
      </c>
      <c r="AE110" s="141" t="str">
        <f ca="1">IF(AND($AA110=1,Vorrunde!$L58&lt;&gt;"",Vorrunde!$N58&lt;&gt;"",ABS(Vorrunde!$L58-Vorrunde!$N58)&gt;1),Vorrunde!$N58,"")</f>
        <v/>
      </c>
      <c r="AF110" s="145" t="str">
        <f ca="1">IF(AND($AA110=1,Vorrunde!$O58&lt;&gt;"",Vorrunde!$Q58&lt;&gt;"",ABS(Vorrunde!$O58-Vorrunde!$Q58)&gt;1),Vorrunde!$O58,"")</f>
        <v/>
      </c>
      <c r="AG110" s="141" t="str">
        <f ca="1">IF(AND($AA110=1,Vorrunde!$O58&lt;&gt;"",Vorrunde!$Q58&lt;&gt;"",ABS(Vorrunde!$O58-Vorrunde!$Q58)&gt;1),Vorrunde!$Q58,"")</f>
        <v/>
      </c>
      <c r="AH110" s="145" t="str">
        <f t="shared" ca="1" si="68"/>
        <v/>
      </c>
      <c r="AI110" s="141" t="str">
        <f t="shared" ca="1" si="69"/>
        <v/>
      </c>
      <c r="AJ110" s="145">
        <f ca="1">IF(Vorrunde!$R58="",0,Vorrunde!$R58)</f>
        <v>0</v>
      </c>
      <c r="AK110" s="141">
        <f ca="1">IF(Vorrunde!$T58="",0,Vorrunde!$T58)</f>
        <v>0</v>
      </c>
      <c r="AL110" s="145" t="str">
        <f ca="1">IF($AA110=0,"",IF($AJ110&gt;$AK110,Einstellungen!$C$4,IF($AJ110=$AK110,1,0)))</f>
        <v/>
      </c>
      <c r="AM110" s="141" t="str">
        <f ca="1">IF($AA110=0,"",IF($AJ110&lt;$AK110,Einstellungen!$C$4,IF($AJ110=$AK110,1,0)))</f>
        <v/>
      </c>
    </row>
    <row r="111" spans="2:39" s="2" customFormat="1" x14ac:dyDescent="0.2">
      <c r="B111" s="4"/>
      <c r="C111" s="4"/>
      <c r="D111" s="4"/>
      <c r="E111" s="4"/>
      <c r="F111" s="778"/>
      <c r="G111" s="778"/>
      <c r="H111" s="778"/>
      <c r="I111" s="778"/>
      <c r="J111" s="778"/>
      <c r="K111" s="778"/>
      <c r="L111" s="778"/>
      <c r="M111" s="778"/>
      <c r="U111" s="66" t="s">
        <v>69</v>
      </c>
      <c r="V111" s="40" t="str">
        <f ca="1">Planung!$L53</f>
        <v/>
      </c>
      <c r="W111" s="778" t="str">
        <f ca="1">Planung!$N53</f>
        <v/>
      </c>
      <c r="X111" s="831" t="str">
        <f ca="1">IF(AND($AA111=1,Vorrunde!$I59&lt;&gt;"",Vorrunde!$K59&lt;&gt;"",ABS(Vorrunde!$I59-Vorrunde!$K59)&gt;1),Vorrunde!$I59,"")</f>
        <v/>
      </c>
      <c r="Y111" s="35" t="str">
        <f ca="1">IF(AND($AA111=1,Vorrunde!$I59&lt;&gt;"",Vorrunde!$K59&lt;&gt;"",ABS(Vorrunde!$I59-Vorrunde!$K59)&gt;1),Vorrunde!$K59,"")</f>
        <v/>
      </c>
      <c r="Z111" s="34" t="str">
        <f t="shared" ca="1" si="70"/>
        <v/>
      </c>
      <c r="AA111" s="831">
        <f ca="1">IF(AND(V111&lt;&gt;"",W111&lt;&gt;"",V111&lt;&gt;W111,Vorrunde!$R59&lt;&gt;"",Vorrunde!$T59&lt;&gt;""),1,0)</f>
        <v>0</v>
      </c>
      <c r="AB111" s="831" t="str">
        <f ca="1">IF(AA111&gt;0,AH111&amp;Sprache!$E$109&amp;AI111,"")</f>
        <v/>
      </c>
      <c r="AC111" s="141" t="str">
        <f ca="1">IF(AA111&gt;0,AJ111&amp;Sprache!$E$109&amp;AK111,"")</f>
        <v/>
      </c>
      <c r="AD111" s="145" t="str">
        <f ca="1">IF(AND($AA111=1,Vorrunde!$L59&lt;&gt;"",Vorrunde!$N59&lt;&gt;"",ABS(Vorrunde!$L59-Vorrunde!$N59)&gt;1),Vorrunde!$L59,"")</f>
        <v/>
      </c>
      <c r="AE111" s="141" t="str">
        <f ca="1">IF(AND($AA111=1,Vorrunde!$L59&lt;&gt;"",Vorrunde!$N59&lt;&gt;"",ABS(Vorrunde!$L59-Vorrunde!$N59)&gt;1),Vorrunde!$N59,"")</f>
        <v/>
      </c>
      <c r="AF111" s="145" t="str">
        <f ca="1">IF(AND($AA111=1,Vorrunde!$O59&lt;&gt;"",Vorrunde!$Q59&lt;&gt;"",ABS(Vorrunde!$O59-Vorrunde!$Q59)&gt;1),Vorrunde!$O59,"")</f>
        <v/>
      </c>
      <c r="AG111" s="141" t="str">
        <f ca="1">IF(AND($AA111=1,Vorrunde!$O59&lt;&gt;"",Vorrunde!$Q59&lt;&gt;"",ABS(Vorrunde!$O59-Vorrunde!$Q59)&gt;1),Vorrunde!$Q59,"")</f>
        <v/>
      </c>
      <c r="AH111" s="145" t="str">
        <f t="shared" ca="1" si="68"/>
        <v/>
      </c>
      <c r="AI111" s="141" t="str">
        <f t="shared" ca="1" si="69"/>
        <v/>
      </c>
      <c r="AJ111" s="145">
        <f ca="1">IF(Vorrunde!$R59="",0,Vorrunde!$R59)</f>
        <v>0</v>
      </c>
      <c r="AK111" s="141">
        <f ca="1">IF(Vorrunde!$T59="",0,Vorrunde!$T59)</f>
        <v>0</v>
      </c>
      <c r="AL111" s="145" t="str">
        <f ca="1">IF($AA111=0,"",IF($AJ111&gt;$AK111,Einstellungen!$C$4,IF($AJ111=$AK111,1,0)))</f>
        <v/>
      </c>
      <c r="AM111" s="141" t="str">
        <f ca="1">IF($AA111=0,"",IF($AJ111&lt;$AK111,Einstellungen!$C$4,IF($AJ111=$AK111,1,0)))</f>
        <v/>
      </c>
    </row>
    <row r="112" spans="2:39" s="2" customFormat="1" x14ac:dyDescent="0.2">
      <c r="B112" s="4"/>
      <c r="C112" s="4"/>
      <c r="D112" s="4"/>
      <c r="E112" s="4"/>
      <c r="F112" s="778"/>
      <c r="G112" s="778"/>
      <c r="H112" s="778"/>
      <c r="I112" s="778"/>
      <c r="J112" s="778"/>
      <c r="K112" s="778"/>
      <c r="L112" s="778"/>
      <c r="M112" s="778"/>
      <c r="U112" s="66" t="s">
        <v>70</v>
      </c>
      <c r="V112" s="40" t="str">
        <f ca="1">Planung!$L54</f>
        <v/>
      </c>
      <c r="W112" s="778" t="str">
        <f ca="1">Planung!$N54</f>
        <v/>
      </c>
      <c r="X112" s="831" t="str">
        <f ca="1">IF(AND($AA112=1,Vorrunde!$I60&lt;&gt;"",Vorrunde!$K60&lt;&gt;"",ABS(Vorrunde!$I60-Vorrunde!$K60)&gt;1),Vorrunde!$I60,"")</f>
        <v/>
      </c>
      <c r="Y112" s="35" t="str">
        <f ca="1">IF(AND($AA112=1,Vorrunde!$I60&lt;&gt;"",Vorrunde!$K60&lt;&gt;"",ABS(Vorrunde!$I60-Vorrunde!$K60)&gt;1),Vorrunde!$K60,"")</f>
        <v/>
      </c>
      <c r="Z112" s="34" t="str">
        <f t="shared" ca="1" si="70"/>
        <v/>
      </c>
      <c r="AA112" s="831">
        <f ca="1">IF(AND(V112&lt;&gt;"",W112&lt;&gt;"",V112&lt;&gt;W112,Vorrunde!$R60&lt;&gt;"",Vorrunde!$T60&lt;&gt;""),1,0)</f>
        <v>0</v>
      </c>
      <c r="AB112" s="831" t="str">
        <f ca="1">IF(AA112&gt;0,AH112&amp;Sprache!$E$109&amp;AI112,"")</f>
        <v/>
      </c>
      <c r="AC112" s="141" t="str">
        <f ca="1">IF(AA112&gt;0,AJ112&amp;Sprache!$E$109&amp;AK112,"")</f>
        <v/>
      </c>
      <c r="AD112" s="145" t="str">
        <f ca="1">IF(AND($AA112=1,Vorrunde!$L60&lt;&gt;"",Vorrunde!$N60&lt;&gt;"",ABS(Vorrunde!$L60-Vorrunde!$N60)&gt;1),Vorrunde!$L60,"")</f>
        <v/>
      </c>
      <c r="AE112" s="141" t="str">
        <f ca="1">IF(AND($AA112=1,Vorrunde!$L60&lt;&gt;"",Vorrunde!$N60&lt;&gt;"",ABS(Vorrunde!$L60-Vorrunde!$N60)&gt;1),Vorrunde!$N60,"")</f>
        <v/>
      </c>
      <c r="AF112" s="145" t="str">
        <f ca="1">IF(AND($AA112=1,Vorrunde!$O60&lt;&gt;"",Vorrunde!$Q60&lt;&gt;"",ABS(Vorrunde!$O60-Vorrunde!$Q60)&gt;1),Vorrunde!$O60,"")</f>
        <v/>
      </c>
      <c r="AG112" s="141" t="str">
        <f ca="1">IF(AND($AA112=1,Vorrunde!$O60&lt;&gt;"",Vorrunde!$Q60&lt;&gt;"",ABS(Vorrunde!$O60-Vorrunde!$Q60)&gt;1),Vorrunde!$Q60,"")</f>
        <v/>
      </c>
      <c r="AH112" s="145" t="str">
        <f t="shared" ca="1" si="68"/>
        <v/>
      </c>
      <c r="AI112" s="141" t="str">
        <f t="shared" ca="1" si="69"/>
        <v/>
      </c>
      <c r="AJ112" s="145">
        <f ca="1">IF(Vorrunde!$R60="",0,Vorrunde!$R60)</f>
        <v>0</v>
      </c>
      <c r="AK112" s="141">
        <f ca="1">IF(Vorrunde!$T60="",0,Vorrunde!$T60)</f>
        <v>0</v>
      </c>
      <c r="AL112" s="145" t="str">
        <f ca="1">IF($AA112=0,"",IF($AJ112&gt;$AK112,Einstellungen!$C$4,IF($AJ112=$AK112,1,0)))</f>
        <v/>
      </c>
      <c r="AM112" s="141" t="str">
        <f ca="1">IF($AA112=0,"",IF($AJ112&lt;$AK112,Einstellungen!$C$4,IF($AJ112=$AK112,1,0)))</f>
        <v/>
      </c>
    </row>
    <row r="113" spans="2:39" s="2" customFormat="1" x14ac:dyDescent="0.2">
      <c r="B113" s="4"/>
      <c r="C113" s="4"/>
      <c r="D113" s="4"/>
      <c r="E113" s="4"/>
      <c r="F113" s="778"/>
      <c r="G113" s="778"/>
      <c r="H113" s="778"/>
      <c r="I113" s="778"/>
      <c r="J113" s="778"/>
      <c r="K113" s="778"/>
      <c r="L113" s="778"/>
      <c r="M113" s="778"/>
      <c r="U113" s="66" t="s">
        <v>71</v>
      </c>
      <c r="V113" s="40" t="str">
        <f ca="1">Planung!$L55</f>
        <v/>
      </c>
      <c r="W113" s="778" t="str">
        <f ca="1">Planung!$N55</f>
        <v/>
      </c>
      <c r="X113" s="831" t="str">
        <f ca="1">IF(AND($AA113=1,Vorrunde!$I61&lt;&gt;"",Vorrunde!$K61&lt;&gt;"",ABS(Vorrunde!$I61-Vorrunde!$K61)&gt;1),Vorrunde!$I61,"")</f>
        <v/>
      </c>
      <c r="Y113" s="35" t="str">
        <f ca="1">IF(AND($AA113=1,Vorrunde!$I61&lt;&gt;"",Vorrunde!$K61&lt;&gt;"",ABS(Vorrunde!$I61-Vorrunde!$K61)&gt;1),Vorrunde!$K61,"")</f>
        <v/>
      </c>
      <c r="Z113" s="34" t="str">
        <f t="shared" ca="1" si="70"/>
        <v/>
      </c>
      <c r="AA113" s="831">
        <f ca="1">IF(AND(V113&lt;&gt;"",W113&lt;&gt;"",V113&lt;&gt;W113,Vorrunde!$R61&lt;&gt;"",Vorrunde!$T61&lt;&gt;""),1,0)</f>
        <v>0</v>
      </c>
      <c r="AB113" s="831" t="str">
        <f ca="1">IF(AA113&gt;0,AH113&amp;Sprache!$E$109&amp;AI113,"")</f>
        <v/>
      </c>
      <c r="AC113" s="141" t="str">
        <f ca="1">IF(AA113&gt;0,AJ113&amp;Sprache!$E$109&amp;AK113,"")</f>
        <v/>
      </c>
      <c r="AD113" s="145" t="str">
        <f ca="1">IF(AND($AA113=1,Vorrunde!$L61&lt;&gt;"",Vorrunde!$N61&lt;&gt;"",ABS(Vorrunde!$L61-Vorrunde!$N61)&gt;1),Vorrunde!$L61,"")</f>
        <v/>
      </c>
      <c r="AE113" s="141" t="str">
        <f ca="1">IF(AND($AA113=1,Vorrunde!$L61&lt;&gt;"",Vorrunde!$N61&lt;&gt;"",ABS(Vorrunde!$L61-Vorrunde!$N61)&gt;1),Vorrunde!$N61,"")</f>
        <v/>
      </c>
      <c r="AF113" s="145" t="str">
        <f ca="1">IF(AND($AA113=1,Vorrunde!$O61&lt;&gt;"",Vorrunde!$Q61&lt;&gt;"",ABS(Vorrunde!$O61-Vorrunde!$Q61)&gt;1),Vorrunde!$O61,"")</f>
        <v/>
      </c>
      <c r="AG113" s="141" t="str">
        <f ca="1">IF(AND($AA113=1,Vorrunde!$O61&lt;&gt;"",Vorrunde!$Q61&lt;&gt;"",ABS(Vorrunde!$O61-Vorrunde!$Q61)&gt;1),Vorrunde!$Q61,"")</f>
        <v/>
      </c>
      <c r="AH113" s="145" t="str">
        <f t="shared" ca="1" si="68"/>
        <v/>
      </c>
      <c r="AI113" s="141" t="str">
        <f t="shared" ca="1" si="69"/>
        <v/>
      </c>
      <c r="AJ113" s="145">
        <f ca="1">IF(Vorrunde!$R61="",0,Vorrunde!$R61)</f>
        <v>0</v>
      </c>
      <c r="AK113" s="141">
        <f ca="1">IF(Vorrunde!$T61="",0,Vorrunde!$T61)</f>
        <v>0</v>
      </c>
      <c r="AL113" s="145" t="str">
        <f ca="1">IF($AA113=0,"",IF($AJ113&gt;$AK113,Einstellungen!$C$4,IF($AJ113=$AK113,1,0)))</f>
        <v/>
      </c>
      <c r="AM113" s="141" t="str">
        <f ca="1">IF($AA113=0,"",IF($AJ113&lt;$AK113,Einstellungen!$C$4,IF($AJ113=$AK113,1,0)))</f>
        <v/>
      </c>
    </row>
    <row r="114" spans="2:39" s="2" customFormat="1" x14ac:dyDescent="0.2">
      <c r="B114" s="4"/>
      <c r="C114" s="4"/>
      <c r="D114" s="4"/>
      <c r="E114" s="4"/>
      <c r="F114" s="778"/>
      <c r="G114" s="778"/>
      <c r="H114" s="778"/>
      <c r="I114" s="778"/>
      <c r="J114" s="778"/>
      <c r="K114" s="778"/>
      <c r="L114" s="778"/>
      <c r="M114" s="778"/>
      <c r="U114" s="66" t="s">
        <v>72</v>
      </c>
      <c r="V114" s="40" t="str">
        <f ca="1">Planung!$L56</f>
        <v/>
      </c>
      <c r="W114" s="778" t="str">
        <f ca="1">Planung!$N56</f>
        <v/>
      </c>
      <c r="X114" s="831" t="str">
        <f ca="1">IF(AND($AA114=1,Vorrunde!$I62&lt;&gt;"",Vorrunde!$K62&lt;&gt;"",ABS(Vorrunde!$I62-Vorrunde!$K62)&gt;1),Vorrunde!$I62,"")</f>
        <v/>
      </c>
      <c r="Y114" s="35" t="str">
        <f ca="1">IF(AND($AA114=1,Vorrunde!$I62&lt;&gt;"",Vorrunde!$K62&lt;&gt;"",ABS(Vorrunde!$I62-Vorrunde!$K62)&gt;1),Vorrunde!$K62,"")</f>
        <v/>
      </c>
      <c r="Z114" s="34" t="str">
        <f t="shared" ca="1" si="70"/>
        <v/>
      </c>
      <c r="AA114" s="831">
        <f ca="1">IF(AND(V114&lt;&gt;"",W114&lt;&gt;"",V114&lt;&gt;W114,Vorrunde!$R62&lt;&gt;"",Vorrunde!$T62&lt;&gt;""),1,0)</f>
        <v>0</v>
      </c>
      <c r="AB114" s="831" t="str">
        <f ca="1">IF(AA114&gt;0,AH114&amp;Sprache!$E$109&amp;AI114,"")</f>
        <v/>
      </c>
      <c r="AC114" s="141" t="str">
        <f ca="1">IF(AA114&gt;0,AJ114&amp;Sprache!$E$109&amp;AK114,"")</f>
        <v/>
      </c>
      <c r="AD114" s="145" t="str">
        <f ca="1">IF(AND($AA114=1,Vorrunde!$L62&lt;&gt;"",Vorrunde!$N62&lt;&gt;"",ABS(Vorrunde!$L62-Vorrunde!$N62)&gt;1),Vorrunde!$L62,"")</f>
        <v/>
      </c>
      <c r="AE114" s="141" t="str">
        <f ca="1">IF(AND($AA114=1,Vorrunde!$L62&lt;&gt;"",Vorrunde!$N62&lt;&gt;"",ABS(Vorrunde!$L62-Vorrunde!$N62)&gt;1),Vorrunde!$N62,"")</f>
        <v/>
      </c>
      <c r="AF114" s="145" t="str">
        <f ca="1">IF(AND($AA114=1,Vorrunde!$O62&lt;&gt;"",Vorrunde!$Q62&lt;&gt;"",ABS(Vorrunde!$O62-Vorrunde!$Q62)&gt;1),Vorrunde!$O62,"")</f>
        <v/>
      </c>
      <c r="AG114" s="141" t="str">
        <f ca="1">IF(AND($AA114=1,Vorrunde!$O62&lt;&gt;"",Vorrunde!$Q62&lt;&gt;"",ABS(Vorrunde!$O62-Vorrunde!$Q62)&gt;1),Vorrunde!$Q62,"")</f>
        <v/>
      </c>
      <c r="AH114" s="145" t="str">
        <f t="shared" ca="1" si="68"/>
        <v/>
      </c>
      <c r="AI114" s="141" t="str">
        <f t="shared" ca="1" si="69"/>
        <v/>
      </c>
      <c r="AJ114" s="145">
        <f ca="1">IF(Vorrunde!$R62="",0,Vorrunde!$R62)</f>
        <v>0</v>
      </c>
      <c r="AK114" s="141">
        <f ca="1">IF(Vorrunde!$T62="",0,Vorrunde!$T62)</f>
        <v>0</v>
      </c>
      <c r="AL114" s="145" t="str">
        <f ca="1">IF($AA114=0,"",IF($AJ114&gt;$AK114,Einstellungen!$C$4,IF($AJ114=$AK114,1,0)))</f>
        <v/>
      </c>
      <c r="AM114" s="141" t="str">
        <f ca="1">IF($AA114=0,"",IF($AJ114&lt;$AK114,Einstellungen!$C$4,IF($AJ114=$AK114,1,0)))</f>
        <v/>
      </c>
    </row>
    <row r="115" spans="2:39" s="2" customFormat="1" x14ac:dyDescent="0.2">
      <c r="B115" s="4"/>
      <c r="C115" s="4"/>
      <c r="D115" s="4"/>
      <c r="E115" s="4"/>
      <c r="F115" s="778"/>
      <c r="G115" s="778"/>
      <c r="H115" s="778"/>
      <c r="I115" s="778"/>
      <c r="J115" s="778"/>
      <c r="K115" s="778"/>
      <c r="L115" s="778"/>
      <c r="M115" s="778"/>
      <c r="U115" s="66" t="s">
        <v>73</v>
      </c>
      <c r="V115" s="40" t="str">
        <f ca="1">Planung!$L57</f>
        <v/>
      </c>
      <c r="W115" s="778" t="str">
        <f ca="1">Planung!$N57</f>
        <v/>
      </c>
      <c r="X115" s="831" t="str">
        <f ca="1">IF(AND($AA115=1,Vorrunde!$I63&lt;&gt;"",Vorrunde!$K63&lt;&gt;"",ABS(Vorrunde!$I63-Vorrunde!$K63)&gt;1),Vorrunde!$I63,"")</f>
        <v/>
      </c>
      <c r="Y115" s="35" t="str">
        <f ca="1">IF(AND($AA115=1,Vorrunde!$I63&lt;&gt;"",Vorrunde!$K63&lt;&gt;"",ABS(Vorrunde!$I63-Vorrunde!$K63)&gt;1),Vorrunde!$K63,"")</f>
        <v/>
      </c>
      <c r="Z115" s="34" t="str">
        <f t="shared" ca="1" si="70"/>
        <v/>
      </c>
      <c r="AA115" s="831">
        <f ca="1">IF(AND(V115&lt;&gt;"",W115&lt;&gt;"",V115&lt;&gt;W115,Vorrunde!$R63&lt;&gt;"",Vorrunde!$T63&lt;&gt;""),1,0)</f>
        <v>0</v>
      </c>
      <c r="AB115" s="831" t="str">
        <f ca="1">IF(AA115&gt;0,AH115&amp;Sprache!$E$109&amp;AI115,"")</f>
        <v/>
      </c>
      <c r="AC115" s="141" t="str">
        <f ca="1">IF(AA115&gt;0,AJ115&amp;Sprache!$E$109&amp;AK115,"")</f>
        <v/>
      </c>
      <c r="AD115" s="145" t="str">
        <f ca="1">IF(AND($AA115=1,Vorrunde!$L63&lt;&gt;"",Vorrunde!$N63&lt;&gt;"",ABS(Vorrunde!$L63-Vorrunde!$N63)&gt;1),Vorrunde!$L63,"")</f>
        <v/>
      </c>
      <c r="AE115" s="141" t="str">
        <f ca="1">IF(AND($AA115=1,Vorrunde!$L63&lt;&gt;"",Vorrunde!$N63&lt;&gt;"",ABS(Vorrunde!$L63-Vorrunde!$N63)&gt;1),Vorrunde!$N63,"")</f>
        <v/>
      </c>
      <c r="AF115" s="145" t="str">
        <f ca="1">IF(AND($AA115=1,Vorrunde!$O63&lt;&gt;"",Vorrunde!$Q63&lt;&gt;"",ABS(Vorrunde!$O63-Vorrunde!$Q63)&gt;1),Vorrunde!$O63,"")</f>
        <v/>
      </c>
      <c r="AG115" s="141" t="str">
        <f ca="1">IF(AND($AA115=1,Vorrunde!$O63&lt;&gt;"",Vorrunde!$Q63&lt;&gt;"",ABS(Vorrunde!$O63-Vorrunde!$Q63)&gt;1),Vorrunde!$Q63,"")</f>
        <v/>
      </c>
      <c r="AH115" s="145" t="str">
        <f t="shared" ca="1" si="68"/>
        <v/>
      </c>
      <c r="AI115" s="141" t="str">
        <f t="shared" ca="1" si="69"/>
        <v/>
      </c>
      <c r="AJ115" s="145">
        <f ca="1">IF(Vorrunde!$R63="",0,Vorrunde!$R63)</f>
        <v>0</v>
      </c>
      <c r="AK115" s="141">
        <f ca="1">IF(Vorrunde!$T63="",0,Vorrunde!$T63)</f>
        <v>0</v>
      </c>
      <c r="AL115" s="145" t="str">
        <f ca="1">IF($AA115=0,"",IF($AJ115&gt;$AK115,Einstellungen!$C$4,IF($AJ115=$AK115,1,0)))</f>
        <v/>
      </c>
      <c r="AM115" s="141" t="str">
        <f ca="1">IF($AA115=0,"",IF($AJ115&lt;$AK115,Einstellungen!$C$4,IF($AJ115=$AK115,1,0)))</f>
        <v/>
      </c>
    </row>
    <row r="116" spans="2:39" s="2" customFormat="1" x14ac:dyDescent="0.2">
      <c r="B116" s="4"/>
      <c r="C116" s="4"/>
      <c r="D116" s="4"/>
      <c r="E116" s="4"/>
      <c r="F116" s="778"/>
      <c r="G116" s="778"/>
      <c r="H116" s="778"/>
      <c r="I116" s="778"/>
      <c r="J116" s="778"/>
      <c r="K116" s="778"/>
      <c r="L116" s="778"/>
      <c r="M116" s="778"/>
      <c r="U116" s="66" t="s">
        <v>74</v>
      </c>
      <c r="V116" s="40" t="str">
        <f ca="1">Planung!$L58</f>
        <v/>
      </c>
      <c r="W116" s="778" t="str">
        <f ca="1">Planung!$N58</f>
        <v/>
      </c>
      <c r="X116" s="831" t="str">
        <f ca="1">IF(AND($AA116=1,Vorrunde!$I64&lt;&gt;"",Vorrunde!$K64&lt;&gt;"",ABS(Vorrunde!$I64-Vorrunde!$K64)&gt;1),Vorrunde!$I64,"")</f>
        <v/>
      </c>
      <c r="Y116" s="35" t="str">
        <f ca="1">IF(AND($AA116=1,Vorrunde!$I64&lt;&gt;"",Vorrunde!$K64&lt;&gt;"",ABS(Vorrunde!$I64-Vorrunde!$K64)&gt;1),Vorrunde!$K64,"")</f>
        <v/>
      </c>
      <c r="Z116" s="34" t="str">
        <f t="shared" ca="1" si="70"/>
        <v/>
      </c>
      <c r="AA116" s="831">
        <f ca="1">IF(AND(V116&lt;&gt;"",W116&lt;&gt;"",V116&lt;&gt;W116,Vorrunde!$R64&lt;&gt;"",Vorrunde!$T64&lt;&gt;""),1,0)</f>
        <v>0</v>
      </c>
      <c r="AB116" s="831" t="str">
        <f ca="1">IF(AA116&gt;0,AH116&amp;Sprache!$E$109&amp;AI116,"")</f>
        <v/>
      </c>
      <c r="AC116" s="141" t="str">
        <f ca="1">IF(AA116&gt;0,AJ116&amp;Sprache!$E$109&amp;AK116,"")</f>
        <v/>
      </c>
      <c r="AD116" s="145" t="str">
        <f ca="1">IF(AND($AA116=1,Vorrunde!$L64&lt;&gt;"",Vorrunde!$N64&lt;&gt;"",ABS(Vorrunde!$L64-Vorrunde!$N64)&gt;1),Vorrunde!$L64,"")</f>
        <v/>
      </c>
      <c r="AE116" s="141" t="str">
        <f ca="1">IF(AND($AA116=1,Vorrunde!$L64&lt;&gt;"",Vorrunde!$N64&lt;&gt;"",ABS(Vorrunde!$L64-Vorrunde!$N64)&gt;1),Vorrunde!$N64,"")</f>
        <v/>
      </c>
      <c r="AF116" s="145" t="str">
        <f ca="1">IF(AND($AA116=1,Vorrunde!$O64&lt;&gt;"",Vorrunde!$Q64&lt;&gt;"",ABS(Vorrunde!$O64-Vorrunde!$Q64)&gt;1),Vorrunde!$O64,"")</f>
        <v/>
      </c>
      <c r="AG116" s="141" t="str">
        <f ca="1">IF(AND($AA116=1,Vorrunde!$O64&lt;&gt;"",Vorrunde!$Q64&lt;&gt;"",ABS(Vorrunde!$O64-Vorrunde!$Q64)&gt;1),Vorrunde!$Q64,"")</f>
        <v/>
      </c>
      <c r="AH116" s="145" t="str">
        <f t="shared" ca="1" si="68"/>
        <v/>
      </c>
      <c r="AI116" s="141" t="str">
        <f t="shared" ca="1" si="69"/>
        <v/>
      </c>
      <c r="AJ116" s="145">
        <f ca="1">IF(Vorrunde!$R64="",0,Vorrunde!$R64)</f>
        <v>0</v>
      </c>
      <c r="AK116" s="141">
        <f ca="1">IF(Vorrunde!$T64="",0,Vorrunde!$T64)</f>
        <v>0</v>
      </c>
      <c r="AL116" s="145" t="str">
        <f ca="1">IF($AA116=0,"",IF($AJ116&gt;$AK116,Einstellungen!$C$4,IF($AJ116=$AK116,1,0)))</f>
        <v/>
      </c>
      <c r="AM116" s="141" t="str">
        <f ca="1">IF($AA116=0,"",IF($AJ116&lt;$AK116,Einstellungen!$C$4,IF($AJ116=$AK116,1,0)))</f>
        <v/>
      </c>
    </row>
    <row r="117" spans="2:39" s="2" customFormat="1" x14ac:dyDescent="0.2">
      <c r="B117" s="4"/>
      <c r="C117" s="4"/>
      <c r="D117" s="4"/>
      <c r="E117" s="4"/>
      <c r="F117" s="778"/>
      <c r="G117" s="778"/>
      <c r="H117" s="778"/>
      <c r="I117" s="778"/>
      <c r="J117" s="778"/>
      <c r="K117" s="778"/>
      <c r="L117" s="778"/>
      <c r="M117" s="778"/>
      <c r="U117" s="66" t="s">
        <v>75</v>
      </c>
      <c r="V117" s="40" t="str">
        <f ca="1">Planung!$L59</f>
        <v/>
      </c>
      <c r="W117" s="778" t="str">
        <f ca="1">Planung!$N59</f>
        <v/>
      </c>
      <c r="X117" s="831" t="str">
        <f ca="1">IF(AND($AA117=1,Vorrunde!$I65&lt;&gt;"",Vorrunde!$K65&lt;&gt;"",ABS(Vorrunde!$I65-Vorrunde!$K65)&gt;1),Vorrunde!$I65,"")</f>
        <v/>
      </c>
      <c r="Y117" s="35" t="str">
        <f ca="1">IF(AND($AA117=1,Vorrunde!$I65&lt;&gt;"",Vorrunde!$K65&lt;&gt;"",ABS(Vorrunde!$I65-Vorrunde!$K65)&gt;1),Vorrunde!$K65,"")</f>
        <v/>
      </c>
      <c r="Z117" s="34" t="str">
        <f t="shared" ca="1" si="70"/>
        <v/>
      </c>
      <c r="AA117" s="831">
        <f ca="1">IF(AND(V117&lt;&gt;"",W117&lt;&gt;"",V117&lt;&gt;W117,Vorrunde!$R65&lt;&gt;"",Vorrunde!$T65&lt;&gt;""),1,0)</f>
        <v>0</v>
      </c>
      <c r="AB117" s="831" t="str">
        <f ca="1">IF(AA117&gt;0,AH117&amp;Sprache!$E$109&amp;AI117,"")</f>
        <v/>
      </c>
      <c r="AC117" s="141" t="str">
        <f ca="1">IF(AA117&gt;0,AJ117&amp;Sprache!$E$109&amp;AK117,"")</f>
        <v/>
      </c>
      <c r="AD117" s="145" t="str">
        <f ca="1">IF(AND($AA117=1,Vorrunde!$L65&lt;&gt;"",Vorrunde!$N65&lt;&gt;"",ABS(Vorrunde!$L65-Vorrunde!$N65)&gt;1),Vorrunde!$L65,"")</f>
        <v/>
      </c>
      <c r="AE117" s="141" t="str">
        <f ca="1">IF(AND($AA117=1,Vorrunde!$L65&lt;&gt;"",Vorrunde!$N65&lt;&gt;"",ABS(Vorrunde!$L65-Vorrunde!$N65)&gt;1),Vorrunde!$N65,"")</f>
        <v/>
      </c>
      <c r="AF117" s="145" t="str">
        <f ca="1">IF(AND($AA117=1,Vorrunde!$O65&lt;&gt;"",Vorrunde!$Q65&lt;&gt;"",ABS(Vorrunde!$O65-Vorrunde!$Q65)&gt;1),Vorrunde!$O65,"")</f>
        <v/>
      </c>
      <c r="AG117" s="141" t="str">
        <f ca="1">IF(AND($AA117=1,Vorrunde!$O65&lt;&gt;"",Vorrunde!$Q65&lt;&gt;"",ABS(Vorrunde!$O65-Vorrunde!$Q65)&gt;1),Vorrunde!$Q65,"")</f>
        <v/>
      </c>
      <c r="AH117" s="145" t="str">
        <f t="shared" ca="1" si="68"/>
        <v/>
      </c>
      <c r="AI117" s="141" t="str">
        <f t="shared" ca="1" si="69"/>
        <v/>
      </c>
      <c r="AJ117" s="145">
        <f ca="1">IF(Vorrunde!$R65="",0,Vorrunde!$R65)</f>
        <v>0</v>
      </c>
      <c r="AK117" s="141">
        <f ca="1">IF(Vorrunde!$T65="",0,Vorrunde!$T65)</f>
        <v>0</v>
      </c>
      <c r="AL117" s="145" t="str">
        <f ca="1">IF($AA117=0,"",IF($AJ117&gt;$AK117,Einstellungen!$C$4,IF($AJ117=$AK117,1,0)))</f>
        <v/>
      </c>
      <c r="AM117" s="141" t="str">
        <f ca="1">IF($AA117=0,"",IF($AJ117&lt;$AK117,Einstellungen!$C$4,IF($AJ117=$AK117,1,0)))</f>
        <v/>
      </c>
    </row>
    <row r="118" spans="2:39" s="2" customFormat="1" x14ac:dyDescent="0.2">
      <c r="B118" s="4"/>
      <c r="C118" s="4"/>
      <c r="D118" s="4"/>
      <c r="E118" s="4"/>
      <c r="F118" s="778"/>
      <c r="G118" s="778"/>
      <c r="H118" s="778"/>
      <c r="I118" s="778"/>
      <c r="J118" s="778"/>
      <c r="K118" s="778"/>
      <c r="L118" s="778"/>
      <c r="M118" s="778"/>
      <c r="U118" s="66" t="s">
        <v>76</v>
      </c>
      <c r="V118" s="40" t="str">
        <f ca="1">Planung!$L60</f>
        <v/>
      </c>
      <c r="W118" s="778" t="str">
        <f ca="1">Planung!$N60</f>
        <v/>
      </c>
      <c r="X118" s="831" t="str">
        <f ca="1">IF(AND($AA118=1,Vorrunde!$I66&lt;&gt;"",Vorrunde!$K66&lt;&gt;"",ABS(Vorrunde!$I66-Vorrunde!$K66)&gt;1),Vorrunde!$I66,"")</f>
        <v/>
      </c>
      <c r="Y118" s="35" t="str">
        <f ca="1">IF(AND($AA118=1,Vorrunde!$I66&lt;&gt;"",Vorrunde!$K66&lt;&gt;"",ABS(Vorrunde!$I66-Vorrunde!$K66)&gt;1),Vorrunde!$K66,"")</f>
        <v/>
      </c>
      <c r="Z118" s="34" t="str">
        <f t="shared" ca="1" si="70"/>
        <v/>
      </c>
      <c r="AA118" s="831">
        <f ca="1">IF(AND(V118&lt;&gt;"",W118&lt;&gt;"",V118&lt;&gt;W118,Vorrunde!$R66&lt;&gt;"",Vorrunde!$T66&lt;&gt;""),1,0)</f>
        <v>0</v>
      </c>
      <c r="AB118" s="831" t="str">
        <f ca="1">IF(AA118&gt;0,AH118&amp;Sprache!$E$109&amp;AI118,"")</f>
        <v/>
      </c>
      <c r="AC118" s="141" t="str">
        <f ca="1">IF(AA118&gt;0,AJ118&amp;Sprache!$E$109&amp;AK118,"")</f>
        <v/>
      </c>
      <c r="AD118" s="145" t="str">
        <f ca="1">IF(AND($AA118=1,Vorrunde!$L66&lt;&gt;"",Vorrunde!$N66&lt;&gt;"",ABS(Vorrunde!$L66-Vorrunde!$N66)&gt;1),Vorrunde!$L66,"")</f>
        <v/>
      </c>
      <c r="AE118" s="141" t="str">
        <f ca="1">IF(AND($AA118=1,Vorrunde!$L66&lt;&gt;"",Vorrunde!$N66&lt;&gt;"",ABS(Vorrunde!$L66-Vorrunde!$N66)&gt;1),Vorrunde!$N66,"")</f>
        <v/>
      </c>
      <c r="AF118" s="145" t="str">
        <f ca="1">IF(AND($AA118=1,Vorrunde!$O66&lt;&gt;"",Vorrunde!$Q66&lt;&gt;"",ABS(Vorrunde!$O66-Vorrunde!$Q66)&gt;1),Vorrunde!$O66,"")</f>
        <v/>
      </c>
      <c r="AG118" s="141" t="str">
        <f ca="1">IF(AND($AA118=1,Vorrunde!$O66&lt;&gt;"",Vorrunde!$Q66&lt;&gt;"",ABS(Vorrunde!$O66-Vorrunde!$Q66)&gt;1),Vorrunde!$Q66,"")</f>
        <v/>
      </c>
      <c r="AH118" s="145" t="str">
        <f t="shared" ca="1" si="68"/>
        <v/>
      </c>
      <c r="AI118" s="141" t="str">
        <f t="shared" ca="1" si="69"/>
        <v/>
      </c>
      <c r="AJ118" s="145">
        <f ca="1">IF(Vorrunde!$R66="",0,Vorrunde!$R66)</f>
        <v>0</v>
      </c>
      <c r="AK118" s="141">
        <f ca="1">IF(Vorrunde!$T66="",0,Vorrunde!$T66)</f>
        <v>0</v>
      </c>
      <c r="AL118" s="145" t="str">
        <f ca="1">IF($AA118=0,"",IF($AJ118&gt;$AK118,Einstellungen!$C$4,IF($AJ118=$AK118,1,0)))</f>
        <v/>
      </c>
      <c r="AM118" s="141" t="str">
        <f ca="1">IF($AA118=0,"",IF($AJ118&lt;$AK118,Einstellungen!$C$4,IF($AJ118=$AK118,1,0)))</f>
        <v/>
      </c>
    </row>
    <row r="119" spans="2:39" s="2" customFormat="1" x14ac:dyDescent="0.2">
      <c r="B119" s="4"/>
      <c r="C119" s="4"/>
      <c r="D119" s="4"/>
      <c r="E119" s="4"/>
      <c r="F119" s="778"/>
      <c r="G119" s="778"/>
      <c r="H119" s="778"/>
      <c r="I119" s="778"/>
      <c r="J119" s="778"/>
      <c r="K119" s="778"/>
      <c r="L119" s="778"/>
      <c r="M119" s="778"/>
      <c r="U119" s="66" t="s">
        <v>77</v>
      </c>
      <c r="V119" s="40" t="str">
        <f ca="1">Planung!$L61</f>
        <v/>
      </c>
      <c r="W119" s="778" t="str">
        <f ca="1">Planung!$N61</f>
        <v/>
      </c>
      <c r="X119" s="831" t="str">
        <f ca="1">IF(AND($AA119=1,Vorrunde!$I67&lt;&gt;"",Vorrunde!$K67&lt;&gt;"",ABS(Vorrunde!$I67-Vorrunde!$K67)&gt;1),Vorrunde!$I67,"")</f>
        <v/>
      </c>
      <c r="Y119" s="35" t="str">
        <f ca="1">IF(AND($AA119=1,Vorrunde!$I67&lt;&gt;"",Vorrunde!$K67&lt;&gt;"",ABS(Vorrunde!$I67-Vorrunde!$K67)&gt;1),Vorrunde!$K67,"")</f>
        <v/>
      </c>
      <c r="Z119" s="34" t="str">
        <f t="shared" ca="1" si="70"/>
        <v/>
      </c>
      <c r="AA119" s="831">
        <f ca="1">IF(AND(V119&lt;&gt;"",W119&lt;&gt;"",V119&lt;&gt;W119,Vorrunde!$R67&lt;&gt;"",Vorrunde!$T67&lt;&gt;""),1,0)</f>
        <v>0</v>
      </c>
      <c r="AB119" s="831" t="str">
        <f ca="1">IF(AA119&gt;0,AH119&amp;Sprache!$E$109&amp;AI119,"")</f>
        <v/>
      </c>
      <c r="AC119" s="141" t="str">
        <f ca="1">IF(AA119&gt;0,AJ119&amp;Sprache!$E$109&amp;AK119,"")</f>
        <v/>
      </c>
      <c r="AD119" s="145" t="str">
        <f ca="1">IF(AND($AA119=1,Vorrunde!$L67&lt;&gt;"",Vorrunde!$N67&lt;&gt;"",ABS(Vorrunde!$L67-Vorrunde!$N67)&gt;1),Vorrunde!$L67,"")</f>
        <v/>
      </c>
      <c r="AE119" s="141" t="str">
        <f ca="1">IF(AND($AA119=1,Vorrunde!$L67&lt;&gt;"",Vorrunde!$N67&lt;&gt;"",ABS(Vorrunde!$L67-Vorrunde!$N67)&gt;1),Vorrunde!$N67,"")</f>
        <v/>
      </c>
      <c r="AF119" s="145" t="str">
        <f ca="1">IF(AND($AA119=1,Vorrunde!$O67&lt;&gt;"",Vorrunde!$Q67&lt;&gt;"",ABS(Vorrunde!$O67-Vorrunde!$Q67)&gt;1),Vorrunde!$O67,"")</f>
        <v/>
      </c>
      <c r="AG119" s="141" t="str">
        <f ca="1">IF(AND($AA119=1,Vorrunde!$O67&lt;&gt;"",Vorrunde!$Q67&lt;&gt;"",ABS(Vorrunde!$O67-Vorrunde!$Q67)&gt;1),Vorrunde!$Q67,"")</f>
        <v/>
      </c>
      <c r="AH119" s="145" t="str">
        <f t="shared" ca="1" si="68"/>
        <v/>
      </c>
      <c r="AI119" s="141" t="str">
        <f t="shared" ca="1" si="69"/>
        <v/>
      </c>
      <c r="AJ119" s="145">
        <f ca="1">IF(Vorrunde!$R67="",0,Vorrunde!$R67)</f>
        <v>0</v>
      </c>
      <c r="AK119" s="141">
        <f ca="1">IF(Vorrunde!$T67="",0,Vorrunde!$T67)</f>
        <v>0</v>
      </c>
      <c r="AL119" s="145" t="str">
        <f ca="1">IF($AA119=0,"",IF($AJ119&gt;$AK119,Einstellungen!$C$4,IF($AJ119=$AK119,1,0)))</f>
        <v/>
      </c>
      <c r="AM119" s="141" t="str">
        <f ca="1">IF($AA119=0,"",IF($AJ119&lt;$AK119,Einstellungen!$C$4,IF($AJ119=$AK119,1,0)))</f>
        <v/>
      </c>
    </row>
    <row r="120" spans="2:39" s="2" customFormat="1" x14ac:dyDescent="0.2">
      <c r="B120" s="4"/>
      <c r="C120" s="4"/>
      <c r="D120" s="4"/>
      <c r="E120" s="4"/>
      <c r="F120" s="778"/>
      <c r="G120" s="778"/>
      <c r="H120" s="778"/>
      <c r="I120" s="778"/>
      <c r="J120" s="778"/>
      <c r="K120" s="778"/>
      <c r="L120" s="778"/>
      <c r="M120" s="778"/>
      <c r="U120" s="66" t="s">
        <v>78</v>
      </c>
      <c r="V120" s="40" t="str">
        <f ca="1">Planung!$L62</f>
        <v/>
      </c>
      <c r="W120" s="778" t="str">
        <f ca="1">Planung!$N62</f>
        <v/>
      </c>
      <c r="X120" s="831" t="str">
        <f ca="1">IF(AND($AA120=1,Vorrunde!$I68&lt;&gt;"",Vorrunde!$K68&lt;&gt;"",ABS(Vorrunde!$I68-Vorrunde!$K68)&gt;1),Vorrunde!$I68,"")</f>
        <v/>
      </c>
      <c r="Y120" s="35" t="str">
        <f ca="1">IF(AND($AA120=1,Vorrunde!$I68&lt;&gt;"",Vorrunde!$K68&lt;&gt;"",ABS(Vorrunde!$I68-Vorrunde!$K68)&gt;1),Vorrunde!$K68,"")</f>
        <v/>
      </c>
      <c r="Z120" s="34" t="str">
        <f t="shared" ca="1" si="70"/>
        <v/>
      </c>
      <c r="AA120" s="831">
        <f ca="1">IF(AND(V120&lt;&gt;"",W120&lt;&gt;"",V120&lt;&gt;W120,Vorrunde!$R68&lt;&gt;"",Vorrunde!$T68&lt;&gt;""),1,0)</f>
        <v>0</v>
      </c>
      <c r="AB120" s="831" t="str">
        <f ca="1">IF(AA120&gt;0,AH120&amp;Sprache!$E$109&amp;AI120,"")</f>
        <v/>
      </c>
      <c r="AC120" s="141" t="str">
        <f ca="1">IF(AA120&gt;0,AJ120&amp;Sprache!$E$109&amp;AK120,"")</f>
        <v/>
      </c>
      <c r="AD120" s="145" t="str">
        <f ca="1">IF(AND($AA120=1,Vorrunde!$L68&lt;&gt;"",Vorrunde!$N68&lt;&gt;"",ABS(Vorrunde!$L68-Vorrunde!$N68)&gt;1),Vorrunde!$L68,"")</f>
        <v/>
      </c>
      <c r="AE120" s="141" t="str">
        <f ca="1">IF(AND($AA120=1,Vorrunde!$L68&lt;&gt;"",Vorrunde!$N68&lt;&gt;"",ABS(Vorrunde!$L68-Vorrunde!$N68)&gt;1),Vorrunde!$N68,"")</f>
        <v/>
      </c>
      <c r="AF120" s="145" t="str">
        <f ca="1">IF(AND($AA120=1,Vorrunde!$O68&lt;&gt;"",Vorrunde!$Q68&lt;&gt;"",ABS(Vorrunde!$O68-Vorrunde!$Q68)&gt;1),Vorrunde!$O68,"")</f>
        <v/>
      </c>
      <c r="AG120" s="141" t="str">
        <f ca="1">IF(AND($AA120=1,Vorrunde!$O68&lt;&gt;"",Vorrunde!$Q68&lt;&gt;"",ABS(Vorrunde!$O68-Vorrunde!$Q68)&gt;1),Vorrunde!$Q68,"")</f>
        <v/>
      </c>
      <c r="AH120" s="145" t="str">
        <f t="shared" ca="1" si="68"/>
        <v/>
      </c>
      <c r="AI120" s="141" t="str">
        <f t="shared" ca="1" si="69"/>
        <v/>
      </c>
      <c r="AJ120" s="145">
        <f ca="1">IF(Vorrunde!$R68="",0,Vorrunde!$R68)</f>
        <v>0</v>
      </c>
      <c r="AK120" s="141">
        <f ca="1">IF(Vorrunde!$T68="",0,Vorrunde!$T68)</f>
        <v>0</v>
      </c>
      <c r="AL120" s="145" t="str">
        <f ca="1">IF($AA120=0,"",IF($AJ120&gt;$AK120,Einstellungen!$C$4,IF($AJ120=$AK120,1,0)))</f>
        <v/>
      </c>
      <c r="AM120" s="141" t="str">
        <f ca="1">IF($AA120=0,"",IF($AJ120&lt;$AK120,Einstellungen!$C$4,IF($AJ120=$AK120,1,0)))</f>
        <v/>
      </c>
    </row>
    <row r="121" spans="2:39" s="2" customFormat="1" x14ac:dyDescent="0.2">
      <c r="B121" s="4"/>
      <c r="C121" s="4"/>
      <c r="D121" s="4"/>
      <c r="E121" s="4"/>
      <c r="F121" s="778"/>
      <c r="G121" s="778"/>
      <c r="H121" s="778"/>
      <c r="I121" s="778"/>
      <c r="J121" s="778"/>
      <c r="K121" s="778"/>
      <c r="L121" s="778"/>
      <c r="M121" s="778"/>
      <c r="U121" s="66" t="s">
        <v>79</v>
      </c>
      <c r="V121" s="40" t="str">
        <f ca="1">Planung!$L63</f>
        <v/>
      </c>
      <c r="W121" s="778" t="str">
        <f ca="1">Planung!$N63</f>
        <v/>
      </c>
      <c r="X121" s="831" t="str">
        <f ca="1">IF(AND($AA121=1,Vorrunde!$I69&lt;&gt;"",Vorrunde!$K69&lt;&gt;"",ABS(Vorrunde!$I69-Vorrunde!$K69)&gt;1),Vorrunde!$I69,"")</f>
        <v/>
      </c>
      <c r="Y121" s="35" t="str">
        <f ca="1">IF(AND($AA121=1,Vorrunde!$I69&lt;&gt;"",Vorrunde!$K69&lt;&gt;"",ABS(Vorrunde!$I69-Vorrunde!$K69)&gt;1),Vorrunde!$K69,"")</f>
        <v/>
      </c>
      <c r="Z121" s="34" t="str">
        <f t="shared" ca="1" si="70"/>
        <v/>
      </c>
      <c r="AA121" s="831">
        <f ca="1">IF(AND(V121&lt;&gt;"",W121&lt;&gt;"",V121&lt;&gt;W121,Vorrunde!$R69&lt;&gt;"",Vorrunde!$T69&lt;&gt;""),1,0)</f>
        <v>0</v>
      </c>
      <c r="AB121" s="831" t="str">
        <f ca="1">IF(AA121&gt;0,AH121&amp;Sprache!$E$109&amp;AI121,"")</f>
        <v/>
      </c>
      <c r="AC121" s="141" t="str">
        <f ca="1">IF(AA121&gt;0,AJ121&amp;Sprache!$E$109&amp;AK121,"")</f>
        <v/>
      </c>
      <c r="AD121" s="145" t="str">
        <f ca="1">IF(AND($AA121=1,Vorrunde!$L69&lt;&gt;"",Vorrunde!$N69&lt;&gt;"",ABS(Vorrunde!$L69-Vorrunde!$N69)&gt;1),Vorrunde!$L69,"")</f>
        <v/>
      </c>
      <c r="AE121" s="141" t="str">
        <f ca="1">IF(AND($AA121=1,Vorrunde!$L69&lt;&gt;"",Vorrunde!$N69&lt;&gt;"",ABS(Vorrunde!$L69-Vorrunde!$N69)&gt;1),Vorrunde!$N69,"")</f>
        <v/>
      </c>
      <c r="AF121" s="145" t="str">
        <f ca="1">IF(AND($AA121=1,Vorrunde!$O69&lt;&gt;"",Vorrunde!$Q69&lt;&gt;"",ABS(Vorrunde!$O69-Vorrunde!$Q69)&gt;1),Vorrunde!$O69,"")</f>
        <v/>
      </c>
      <c r="AG121" s="141" t="str">
        <f ca="1">IF(AND($AA121=1,Vorrunde!$O69&lt;&gt;"",Vorrunde!$Q69&lt;&gt;"",ABS(Vorrunde!$O69-Vorrunde!$Q69)&gt;1),Vorrunde!$Q69,"")</f>
        <v/>
      </c>
      <c r="AH121" s="145" t="str">
        <f t="shared" ca="1" si="68"/>
        <v/>
      </c>
      <c r="AI121" s="141" t="str">
        <f t="shared" ca="1" si="69"/>
        <v/>
      </c>
      <c r="AJ121" s="145">
        <f ca="1">IF(Vorrunde!$R69="",0,Vorrunde!$R69)</f>
        <v>0</v>
      </c>
      <c r="AK121" s="141">
        <f ca="1">IF(Vorrunde!$T69="",0,Vorrunde!$T69)</f>
        <v>0</v>
      </c>
      <c r="AL121" s="145" t="str">
        <f ca="1">IF($AA121=0,"",IF($AJ121&gt;$AK121,Einstellungen!$C$4,IF($AJ121=$AK121,1,0)))</f>
        <v/>
      </c>
      <c r="AM121" s="141" t="str">
        <f ca="1">IF($AA121=0,"",IF($AJ121&lt;$AK121,Einstellungen!$C$4,IF($AJ121=$AK121,1,0)))</f>
        <v/>
      </c>
    </row>
    <row r="122" spans="2:39" s="2" customFormat="1" x14ac:dyDescent="0.2">
      <c r="B122" s="4"/>
      <c r="C122" s="4"/>
      <c r="D122" s="4"/>
      <c r="E122" s="4"/>
      <c r="F122" s="778"/>
      <c r="G122" s="778"/>
      <c r="H122" s="778"/>
      <c r="I122" s="778"/>
      <c r="J122" s="778"/>
      <c r="K122" s="778"/>
      <c r="L122" s="778"/>
      <c r="M122" s="778"/>
      <c r="U122" s="66" t="s">
        <v>80</v>
      </c>
      <c r="V122" s="40" t="str">
        <f ca="1">Planung!$L64</f>
        <v/>
      </c>
      <c r="W122" s="778" t="str">
        <f ca="1">Planung!$N64</f>
        <v/>
      </c>
      <c r="X122" s="831" t="str">
        <f ca="1">IF(AND($AA122=1,Vorrunde!$I70&lt;&gt;"",Vorrunde!$K70&lt;&gt;"",ABS(Vorrunde!$I70-Vorrunde!$K70)&gt;1),Vorrunde!$I70,"")</f>
        <v/>
      </c>
      <c r="Y122" s="35" t="str">
        <f ca="1">IF(AND($AA122=1,Vorrunde!$I70&lt;&gt;"",Vorrunde!$K70&lt;&gt;"",ABS(Vorrunde!$I70-Vorrunde!$K70)&gt;1),Vorrunde!$K70,"")</f>
        <v/>
      </c>
      <c r="Z122" s="34" t="str">
        <f t="shared" ca="1" si="70"/>
        <v/>
      </c>
      <c r="AA122" s="831">
        <f ca="1">IF(AND(V122&lt;&gt;"",W122&lt;&gt;"",V122&lt;&gt;W122,Vorrunde!$R70&lt;&gt;"",Vorrunde!$T70&lt;&gt;""),1,0)</f>
        <v>0</v>
      </c>
      <c r="AB122" s="831" t="str">
        <f ca="1">IF(AA122&gt;0,AH122&amp;Sprache!$E$109&amp;AI122,"")</f>
        <v/>
      </c>
      <c r="AC122" s="141" t="str">
        <f ca="1">IF(AA122&gt;0,AJ122&amp;Sprache!$E$109&amp;AK122,"")</f>
        <v/>
      </c>
      <c r="AD122" s="145" t="str">
        <f ca="1">IF(AND($AA122=1,Vorrunde!$L70&lt;&gt;"",Vorrunde!$N70&lt;&gt;"",ABS(Vorrunde!$L70-Vorrunde!$N70)&gt;1),Vorrunde!$L70,"")</f>
        <v/>
      </c>
      <c r="AE122" s="141" t="str">
        <f ca="1">IF(AND($AA122=1,Vorrunde!$L70&lt;&gt;"",Vorrunde!$N70&lt;&gt;"",ABS(Vorrunde!$L70-Vorrunde!$N70)&gt;1),Vorrunde!$N70,"")</f>
        <v/>
      </c>
      <c r="AF122" s="145" t="str">
        <f ca="1">IF(AND($AA122=1,Vorrunde!$O70&lt;&gt;"",Vorrunde!$Q70&lt;&gt;"",ABS(Vorrunde!$O70-Vorrunde!$Q70)&gt;1),Vorrunde!$O70,"")</f>
        <v/>
      </c>
      <c r="AG122" s="141" t="str">
        <f ca="1">IF(AND($AA122=1,Vorrunde!$O70&lt;&gt;"",Vorrunde!$Q70&lt;&gt;"",ABS(Vorrunde!$O70-Vorrunde!$Q70)&gt;1),Vorrunde!$Q70,"")</f>
        <v/>
      </c>
      <c r="AH122" s="145" t="str">
        <f t="shared" ca="1" si="68"/>
        <v/>
      </c>
      <c r="AI122" s="141" t="str">
        <f t="shared" ca="1" si="69"/>
        <v/>
      </c>
      <c r="AJ122" s="145">
        <f ca="1">IF(Vorrunde!$R70="",0,Vorrunde!$R70)</f>
        <v>0</v>
      </c>
      <c r="AK122" s="141">
        <f ca="1">IF(Vorrunde!$T70="",0,Vorrunde!$T70)</f>
        <v>0</v>
      </c>
      <c r="AL122" s="145" t="str">
        <f ca="1">IF($AA122=0,"",IF($AJ122&gt;$AK122,Einstellungen!$C$4,IF($AJ122=$AK122,1,0)))</f>
        <v/>
      </c>
      <c r="AM122" s="141" t="str">
        <f ca="1">IF($AA122=0,"",IF($AJ122&lt;$AK122,Einstellungen!$C$4,IF($AJ122=$AK122,1,0)))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Planung!$L65</f>
        <v/>
      </c>
      <c r="W123" s="778" t="str">
        <f ca="1">Planung!$N65</f>
        <v/>
      </c>
      <c r="X123" s="831" t="str">
        <f ca="1">IF(AND($AA123=1,Vorrunde!$I71&lt;&gt;"",Vorrunde!$K71&lt;&gt;"",ABS(Vorrunde!$I71-Vorrunde!$K71)&gt;1),Vorrunde!$I71,"")</f>
        <v/>
      </c>
      <c r="Y123" s="35" t="str">
        <f ca="1">IF(AND($AA123=1,Vorrunde!$I71&lt;&gt;"",Vorrunde!$K71&lt;&gt;"",ABS(Vorrunde!$I71-Vorrunde!$K71)&gt;1),Vorrunde!$K71,"")</f>
        <v/>
      </c>
      <c r="Z123" s="34" t="str">
        <f t="shared" ca="1" si="70"/>
        <v/>
      </c>
      <c r="AA123" s="831">
        <f ca="1">IF(AND(V123&lt;&gt;"",W123&lt;&gt;"",V123&lt;&gt;W123,Vorrunde!$R71&lt;&gt;"",Vorrunde!$T71&lt;&gt;""),1,0)</f>
        <v>0</v>
      </c>
      <c r="AB123" s="831" t="str">
        <f ca="1">IF(AA123&gt;0,AH123&amp;Sprache!$E$109&amp;AI123,"")</f>
        <v/>
      </c>
      <c r="AC123" s="141" t="str">
        <f ca="1">IF(AA123&gt;0,AJ123&amp;Sprache!$E$109&amp;AK123,"")</f>
        <v/>
      </c>
      <c r="AD123" s="145" t="str">
        <f ca="1">IF(AND($AA123=1,Vorrunde!$L71&lt;&gt;"",Vorrunde!$N71&lt;&gt;"",ABS(Vorrunde!$L71-Vorrunde!$N71)&gt;1),Vorrunde!$L71,"")</f>
        <v/>
      </c>
      <c r="AE123" s="141" t="str">
        <f ca="1">IF(AND($AA123=1,Vorrunde!$L71&lt;&gt;"",Vorrunde!$N71&lt;&gt;"",ABS(Vorrunde!$L71-Vorrunde!$N71)&gt;1),Vorrunde!$N71,"")</f>
        <v/>
      </c>
      <c r="AF123" s="145" t="str">
        <f ca="1">IF(AND($AA123=1,Vorrunde!$O71&lt;&gt;"",Vorrunde!$Q71&lt;&gt;"",ABS(Vorrunde!$O71-Vorrunde!$Q71)&gt;1),Vorrunde!$O71,"")</f>
        <v/>
      </c>
      <c r="AG123" s="141" t="str">
        <f ca="1">IF(AND($AA123=1,Vorrunde!$O71&lt;&gt;"",Vorrunde!$Q71&lt;&gt;"",ABS(Vorrunde!$O71-Vorrunde!$Q71)&gt;1),Vorrunde!$Q71,"")</f>
        <v/>
      </c>
      <c r="AH123" s="145" t="str">
        <f t="shared" ca="1" si="68"/>
        <v/>
      </c>
      <c r="AI123" s="141" t="str">
        <f t="shared" ca="1" si="69"/>
        <v/>
      </c>
      <c r="AJ123" s="145">
        <f ca="1">IF(Vorrunde!$R71="",0,Vorrunde!$R71)</f>
        <v>0</v>
      </c>
      <c r="AK123" s="141">
        <f ca="1">IF(Vorrunde!$T71="",0,Vorrunde!$T71)</f>
        <v>0</v>
      </c>
      <c r="AL123" s="145" t="str">
        <f ca="1">IF($AA123=0,"",IF($AJ123&gt;$AK123,Einstellungen!$C$4,IF($AJ123=$AK123,1,0)))</f>
        <v/>
      </c>
      <c r="AM123" s="141" t="str">
        <f ca="1">IF($AA123=0,"",IF($AJ123&lt;$AK123,Einstellungen!$C$4,IF($AJ123=$AK123,1,0)))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IF(AA64&gt;0,AI64&amp;Sprache!$E$109&amp;AH64,"")</f>
        <v>69 : 57</v>
      </c>
      <c r="AC136" s="608" t="str">
        <f ca="1">IF(AA64&gt;0,AK64&amp;Sprache!$E$109&amp;AJ64,"")</f>
        <v>2 : 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IF(AA65&gt;0,AI65&amp;Sprache!$E$109&amp;AH65,"")</f>
        <v>50 : 36</v>
      </c>
      <c r="AC137" s="609" t="str">
        <f ca="1">IF(AA65&gt;0,AK65&amp;Sprache!$E$109&amp;AJ65,"")</f>
        <v>2 : 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IF(AA66&gt;0,AI66&amp;Sprache!$E$109&amp;AH66,"")</f>
        <v>50 : 40</v>
      </c>
      <c r="AC138" s="609" t="str">
        <f ca="1">IF(AA66&gt;0,AK66&amp;Sprache!$E$109&amp;AJ66,"")</f>
        <v>2 : 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IF(AA67&gt;0,AI67&amp;Sprache!$E$109&amp;AH67,"")</f>
        <v>50 : 39</v>
      </c>
      <c r="AC139" s="609" t="str">
        <f ca="1">IF(AA67&gt;0,AK67&amp;Sprache!$E$109&amp;AJ67,"")</f>
        <v>2 : 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IF(AA68&gt;0,AI68&amp;Sprache!$E$109&amp;AH68,"")</f>
        <v>44 : 50</v>
      </c>
      <c r="AC140" s="609" t="str">
        <f ca="1">IF(AA68&gt;0,AK68&amp;Sprache!$E$109&amp;AJ68,"")</f>
        <v>0 : 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IF(AA69&gt;0,AI69&amp;Sprache!$E$109&amp;AH69,"")</f>
        <v>50 : 40</v>
      </c>
      <c r="AC141" s="609" t="str">
        <f ca="1">IF(AA69&gt;0,AK69&amp;Sprache!$E$109&amp;AJ69,"")</f>
        <v>2 : 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IF(AA70&gt;0,AI70&amp;Sprache!$E$109&amp;AH70,"")</f>
        <v>61 : 70</v>
      </c>
      <c r="AC142" s="609" t="str">
        <f ca="1">IF(AA70&gt;0,AK70&amp;Sprache!$E$109&amp;AJ70,"")</f>
        <v>1 : 2</v>
      </c>
      <c r="AD142" s="145"/>
      <c r="AE142" s="612"/>
      <c r="AF142" s="612"/>
      <c r="AG142" s="612"/>
      <c r="AH142" s="612"/>
    </row>
    <row r="143" spans="2:39" x14ac:dyDescent="0.2">
      <c r="Y143" s="66" t="s">
        <v>17</v>
      </c>
      <c r="Z143" s="34" t="str">
        <f t="shared" ca="1" si="72"/>
        <v>RB LeipzigHSV</v>
      </c>
      <c r="AA143" s="778">
        <f t="shared" ca="1" si="71"/>
        <v>1</v>
      </c>
      <c r="AB143" s="828" t="str">
        <f ca="1">IF(AA71&gt;0,AI71&amp;Sprache!$E$109&amp;AH71,"")</f>
        <v>67 : 66</v>
      </c>
      <c r="AC143" s="609" t="str">
        <f ca="1">IF(AA71&gt;0,AK71&amp;Sprache!$E$109&amp;AJ71,"")</f>
        <v>2 : 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IF(AA72&gt;0,AI72&amp;Sprache!$E$109&amp;AH72,"")</f>
        <v>69 : 65</v>
      </c>
      <c r="AC144" s="609" t="str">
        <f ca="1">IF(AA72&gt;0,AK72&amp;Sprache!$E$109&amp;AJ72,"")</f>
        <v>2 : 1</v>
      </c>
      <c r="AD144" s="145"/>
      <c r="AE144" s="612"/>
      <c r="AF144" s="612"/>
      <c r="AG144" s="612"/>
      <c r="AH144" s="612"/>
    </row>
    <row r="145" spans="25:34" x14ac:dyDescent="0.2">
      <c r="Y145" s="66" t="s">
        <v>24</v>
      </c>
      <c r="Z145" s="34" t="str">
        <f t="shared" ca="1" si="72"/>
        <v>Mainz 05FC Grönlingen</v>
      </c>
      <c r="AA145" s="778">
        <f t="shared" ca="1" si="71"/>
        <v>1</v>
      </c>
      <c r="AB145" s="828" t="str">
        <f ca="1">IF(AA73&gt;0,AI73&amp;Sprache!$E$109&amp;AH73,"")</f>
        <v>50 : 33</v>
      </c>
      <c r="AC145" s="609" t="str">
        <f ca="1">IF(AA73&gt;0,AK73&amp;Sprache!$E$109&amp;AJ73,"")</f>
        <v>2 : 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IF(AA74&gt;0,AI74&amp;Sprache!$E$109&amp;AH74,"")</f>
        <v>42 : 50</v>
      </c>
      <c r="AC146" s="609" t="str">
        <f ca="1">IF(AA74&gt;0,AK74&amp;Sprache!$E$109&amp;AJ74,"")</f>
        <v>0 : 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IF(AA75&gt;0,AI75&amp;Sprache!$E$109&amp;AH75,"")</f>
        <v>50 : 42</v>
      </c>
      <c r="AC147" s="609" t="str">
        <f ca="1">IF(AA75&gt;0,AK75&amp;Sprache!$E$109&amp;AJ75,"")</f>
        <v>2 : 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IF(AA76&gt;0,AI76&amp;Sprache!$E$109&amp;AH76,"")</f>
        <v>72 : 69</v>
      </c>
      <c r="AC148" s="609" t="str">
        <f ca="1">IF(AA76&gt;0,AK76&amp;Sprache!$E$109&amp;AJ76,"")</f>
        <v>2 : 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IF(AA77&gt;0,AI77&amp;Sprache!$E$109&amp;AH77,"")</f>
        <v>37 : 50</v>
      </c>
      <c r="AC149" s="609" t="str">
        <f ca="1">IF(AA77&gt;0,AK77&amp;Sprache!$E$109&amp;AJ77,"")</f>
        <v>0 : 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IF(AA78&gt;0,AI78&amp;Sprache!$E$109&amp;AH78,"")</f>
        <v>62 : 71</v>
      </c>
      <c r="AC150" s="609" t="str">
        <f ca="1">IF(AA78&gt;0,AK78&amp;Sprache!$E$109&amp;AJ78,"")</f>
        <v>1 : 2</v>
      </c>
      <c r="AD150" s="145"/>
      <c r="AE150" s="612"/>
      <c r="AF150" s="612"/>
      <c r="AG150" s="612"/>
      <c r="AH150" s="612"/>
    </row>
    <row r="151" spans="25:34" x14ac:dyDescent="0.2">
      <c r="Y151" s="66" t="s">
        <v>30</v>
      </c>
      <c r="Z151" s="34" t="str">
        <f t="shared" ca="1" si="72"/>
        <v>HSVParis St. Germain</v>
      </c>
      <c r="AA151" s="778">
        <f t="shared" ca="1" si="71"/>
        <v>1</v>
      </c>
      <c r="AB151" s="828" t="str">
        <f ca="1">IF(AA79&gt;0,AI79&amp;Sprache!$E$109&amp;AH79,"")</f>
        <v>30 : 50</v>
      </c>
      <c r="AC151" s="609" t="str">
        <f ca="1">IF(AA79&gt;0,AK79&amp;Sprache!$E$109&amp;AJ79,"")</f>
        <v>0 : 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IF(AA80&gt;0,AI80&amp;Sprache!$E$109&amp;AH80,"")</f>
        <v>39 : 50</v>
      </c>
      <c r="AC152" s="609" t="str">
        <f ca="1">IF(AA80&gt;0,AK80&amp;Sprache!$E$109&amp;AJ80,"")</f>
        <v>0 : 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IF(AA81&gt;0,AI81&amp;Sprache!$E$109&amp;AH81,"")</f>
        <v>50 : 23</v>
      </c>
      <c r="AC153" s="609" t="str">
        <f ca="1">IF(AA81&gt;0,AK81&amp;Sprache!$E$109&amp;AJ81,"")</f>
        <v>2 : 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IF(AA82&gt;0,AI82&amp;Sprache!$E$109&amp;AH82,"")</f>
        <v>23 : 50</v>
      </c>
      <c r="AC154" s="609" t="str">
        <f ca="1">IF(AA82&gt;0,AK82&amp;Sprache!$E$109&amp;AJ82,"")</f>
        <v>0 : 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IF(AA83&gt;0,AI83&amp;Sprache!$E$109&amp;AH83,"")</f>
        <v>24 : 50</v>
      </c>
      <c r="AC155" s="609" t="str">
        <f ca="1">IF(AA83&gt;0,AK83&amp;Sprache!$E$109&amp;AJ83,"")</f>
        <v>0 : 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IF(AA84&gt;0,AI84&amp;Sprache!$E$109&amp;AH84,"")</f>
        <v>37 : 37</v>
      </c>
      <c r="AC156" s="609" t="str">
        <f ca="1">IF(AA84&gt;0,AK84&amp;Sprache!$E$109&amp;AJ84,"")</f>
        <v>1 : 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IF(AA85&gt;0,AI85&amp;Sprache!$E$109&amp;AH85,"")</f>
        <v>42 : 44</v>
      </c>
      <c r="AC157" s="609" t="str">
        <f ca="1">IF(AA85&gt;0,AK85&amp;Sprache!$E$109&amp;AJ85,"")</f>
        <v>1 : 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IF(AA86&gt;0,AI86&amp;Sprache!$E$109&amp;AH86,"")</f>
        <v>41 : 42</v>
      </c>
      <c r="AC158" s="609" t="str">
        <f ca="1">IF(AA86&gt;0,AK86&amp;Sprache!$E$109&amp;AJ86,"")</f>
        <v>1 : 1</v>
      </c>
      <c r="AD158" s="145"/>
      <c r="AE158" s="612"/>
      <c r="AF158" s="612"/>
      <c r="AG158" s="612"/>
      <c r="AH158" s="612"/>
    </row>
    <row r="159" spans="25:34" x14ac:dyDescent="0.2">
      <c r="Y159" s="66" t="s">
        <v>38</v>
      </c>
      <c r="Z159" s="34" t="str">
        <f t="shared" ca="1" si="72"/>
        <v>SV OberredenburgHSV</v>
      </c>
      <c r="AA159" s="778">
        <f t="shared" ca="1" si="71"/>
        <v>1</v>
      </c>
      <c r="AB159" s="828" t="str">
        <f ca="1">IF(AA87&gt;0,AI87&amp;Sprache!$E$109&amp;AH87,"")</f>
        <v>44 : 39</v>
      </c>
      <c r="AC159" s="609" t="str">
        <f ca="1">IF(AA87&gt;0,AK87&amp;Sprache!$E$109&amp;AJ87,"")</f>
        <v>1 : 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IF(AA88&gt;0,AI88&amp;Sprache!$E$109&amp;AH88,"")</f>
        <v>45 : 45</v>
      </c>
      <c r="AC160" s="609" t="str">
        <f ca="1">IF(AA88&gt;0,AK88&amp;Sprache!$E$109&amp;AJ88,"")</f>
        <v>1 : 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IF(AA89&gt;0,AI89&amp;Sprache!$E$109&amp;AH89,"")</f>
        <v>46 : 44</v>
      </c>
      <c r="AC161" s="609" t="str">
        <f ca="1">IF(AA89&gt;0,AK89&amp;Sprache!$E$109&amp;AJ89,"")</f>
        <v>1 : 1</v>
      </c>
      <c r="AD161" s="145"/>
      <c r="AE161" s="612"/>
      <c r="AF161" s="612"/>
      <c r="AG161" s="612"/>
      <c r="AH161" s="612"/>
    </row>
    <row r="162" spans="25:34" x14ac:dyDescent="0.2">
      <c r="Y162" s="66" t="s">
        <v>41</v>
      </c>
      <c r="Z162" s="34" t="str">
        <f t="shared" ca="1" si="72"/>
        <v>FSV RauenReal Madrid</v>
      </c>
      <c r="AA162" s="778">
        <f t="shared" ca="1" si="71"/>
        <v>1</v>
      </c>
      <c r="AB162" s="828" t="str">
        <f ca="1">IF(AA90&gt;0,AI90&amp;Sprache!$E$109&amp;AH90,"")</f>
        <v>47 : 42</v>
      </c>
      <c r="AC162" s="609" t="str">
        <f ca="1">IF(AA90&gt;0,AK90&amp;Sprache!$E$109&amp;AJ90,"")</f>
        <v>1 : 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IF(AA91&gt;0,AI91&amp;Sprache!$E$109&amp;AH91,"")</f>
        <v>48 : 44</v>
      </c>
      <c r="AC163" s="609" t="str">
        <f ca="1">IF(AA91&gt;0,AK91&amp;Sprache!$E$109&amp;AJ91,"")</f>
        <v>1 : 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IF(AA92&gt;0,AI92&amp;Sprache!$E$109&amp;AH92,"")</f>
        <v>34 : 50</v>
      </c>
      <c r="AC164" s="609" t="str">
        <f ca="1">IF(AA92&gt;0,AK92&amp;Sprache!$E$109&amp;AJ92,"")</f>
        <v>0 : 2</v>
      </c>
      <c r="AD164" s="145"/>
      <c r="AE164" s="612"/>
      <c r="AF164" s="612"/>
      <c r="AG164" s="612"/>
      <c r="AH164" s="612"/>
    </row>
    <row r="165" spans="25:34" x14ac:dyDescent="0.2">
      <c r="Y165" s="66" t="s">
        <v>44</v>
      </c>
      <c r="Z165" s="34" t="str">
        <f t="shared" ca="1" si="72"/>
        <v>Mainz 05SSV Wildbach</v>
      </c>
      <c r="AA165" s="778">
        <f t="shared" ca="1" si="71"/>
        <v>1</v>
      </c>
      <c r="AB165" s="828" t="str">
        <f ca="1">IF(AA93&gt;0,AI93&amp;Sprache!$E$109&amp;AH93,"")</f>
        <v>43 : 39</v>
      </c>
      <c r="AC165" s="609" t="str">
        <f ca="1">IF(AA93&gt;0,AK93&amp;Sprache!$E$109&amp;AJ93,"")</f>
        <v>1 : 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IF(AA94&gt;0,AI94&amp;Sprache!$E$109&amp;AH94,"")</f>
        <v>44 : 45</v>
      </c>
      <c r="AC166" s="609" t="str">
        <f ca="1">IF(AA94&gt;0,AK94&amp;Sprache!$E$109&amp;AJ94,"")</f>
        <v>1 : 1</v>
      </c>
      <c r="AD166" s="145"/>
      <c r="AE166" s="612"/>
      <c r="AF166" s="612"/>
      <c r="AG166" s="612"/>
      <c r="AH166" s="612"/>
    </row>
    <row r="167" spans="25:34" x14ac:dyDescent="0.2">
      <c r="Y167" s="66" t="s">
        <v>46</v>
      </c>
      <c r="Z167" s="34" t="str">
        <f t="shared" ca="1" si="72"/>
        <v>TSG Saalberg eVHSV</v>
      </c>
      <c r="AA167" s="778">
        <f t="shared" ca="1" si="71"/>
        <v>1</v>
      </c>
      <c r="AB167" s="828" t="str">
        <f ca="1">IF(AA95&gt;0,AI95&amp;Sprache!$E$109&amp;AH95,"")</f>
        <v>45 : 44</v>
      </c>
      <c r="AC167" s="609" t="str">
        <f ca="1">IF(AA95&gt;0,AK95&amp;Sprache!$E$109&amp;AJ95,"")</f>
        <v>1 : 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IF(AA96&gt;0,AI96&amp;Sprache!$E$109&amp;AH96,"")</f>
        <v>46 : 42</v>
      </c>
      <c r="AC168" s="609" t="str">
        <f ca="1">IF(AA96&gt;0,AK96&amp;Sprache!$E$109&amp;AJ96,"")</f>
        <v>1 : 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IF(AA97&gt;0,AI97&amp;Sprache!$E$109&amp;AH97,"")</f>
        <v>47 : 39</v>
      </c>
      <c r="AC169" s="609" t="str">
        <f ca="1">IF(AA97&gt;0,AK97&amp;Sprache!$E$109&amp;AJ97,"")</f>
        <v>1 : 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IF(AA98&gt;0,AI98&amp;Sprache!$E$109&amp;AH98,"")</f>
        <v>34 : 50</v>
      </c>
      <c r="AC170" s="609" t="str">
        <f ca="1">IF(AA98&gt;0,AK98&amp;Sprache!$E$109&amp;AJ98,"")</f>
        <v>0 : 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IF(AA99&gt;0,AI99&amp;Sprache!$E$109&amp;AH99,"")</f>
        <v>36 : 50</v>
      </c>
      <c r="AC171" s="609" t="str">
        <f ca="1">IF(AA99&gt;0,AK99&amp;Sprache!$E$109&amp;AJ99,"")</f>
        <v>0 : 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IF(AA100&gt;0,AI100&amp;Sprache!$E$109&amp;AH100,"")</f>
        <v>50 : 35</v>
      </c>
      <c r="AC172" s="609" t="str">
        <f ca="1">IF(AA100&gt;0,AK100&amp;Sprache!$E$109&amp;AJ100,"")</f>
        <v>2 : 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IF(AA101&gt;0,AI101&amp;Sprache!$E$109&amp;AH101,"")</f>
        <v>50 : 33</v>
      </c>
      <c r="AC173" s="609" t="str">
        <f ca="1">IF(AA101&gt;0,AK101&amp;Sprache!$E$109&amp;AJ101,"")</f>
        <v>2 : 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IF(AA102&gt;0,AI102&amp;Sprache!$E$109&amp;AH102,"")</f>
        <v>45 : 38</v>
      </c>
      <c r="AC174" s="609" t="str">
        <f ca="1">IF(AA102&gt;0,AK102&amp;Sprache!$E$109&amp;AJ102,"")</f>
        <v>1 : 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IF(AA103&gt;0,AI103&amp;Sprache!$E$109&amp;AH103,"")</f>
        <v>46 : 43</v>
      </c>
      <c r="AC175" s="609" t="str">
        <f ca="1">IF(AA103&gt;0,AK103&amp;Sprache!$E$109&amp;AJ103,"")</f>
        <v>1 : 1</v>
      </c>
      <c r="AD175" s="145"/>
      <c r="AE175" s="612"/>
      <c r="AF175" s="612"/>
      <c r="AG175" s="612"/>
      <c r="AH175" s="612"/>
    </row>
    <row r="176" spans="25:34" x14ac:dyDescent="0.2">
      <c r="Y176" s="66" t="s">
        <v>62</v>
      </c>
      <c r="Z176" s="34" t="str">
        <f t="shared" ca="1" si="72"/>
        <v/>
      </c>
      <c r="AA176" s="778">
        <f t="shared" ca="1" si="71"/>
        <v>0</v>
      </c>
      <c r="AB176" s="828" t="str">
        <f ca="1">IF(AA104&gt;0,AI104&amp;Sprache!$E$109&amp;AH104,"")</f>
        <v/>
      </c>
      <c r="AC176" s="609" t="str">
        <f ca="1">IF(AA104&gt;0,AK104&amp;Sprache!$E$109&amp;AJ104,"")</f>
        <v/>
      </c>
      <c r="AD176" s="145"/>
      <c r="AE176" s="612"/>
      <c r="AF176" s="612"/>
      <c r="AG176" s="612"/>
      <c r="AH176" s="612"/>
    </row>
    <row r="177" spans="25:34" x14ac:dyDescent="0.2">
      <c r="Y177" s="66" t="s">
        <v>63</v>
      </c>
      <c r="Z177" s="34" t="str">
        <f t="shared" ca="1" si="72"/>
        <v/>
      </c>
      <c r="AA177" s="778">
        <f t="shared" ca="1" si="71"/>
        <v>0</v>
      </c>
      <c r="AB177" s="828" t="str">
        <f ca="1">IF(AA105&gt;0,AI105&amp;Sprache!$E$109&amp;AH105,"")</f>
        <v/>
      </c>
      <c r="AC177" s="609" t="str">
        <f ca="1">IF(AA105&gt;0,AK105&amp;Sprache!$E$109&amp;AJ105,"")</f>
        <v/>
      </c>
      <c r="AD177" s="145"/>
      <c r="AE177" s="612"/>
      <c r="AF177" s="612"/>
      <c r="AG177" s="612"/>
      <c r="AH177" s="612"/>
    </row>
    <row r="178" spans="25:34" x14ac:dyDescent="0.2">
      <c r="Y178" s="66" t="s">
        <v>64</v>
      </c>
      <c r="Z178" s="34" t="str">
        <f t="shared" ca="1" si="72"/>
        <v/>
      </c>
      <c r="AA178" s="778">
        <f t="shared" ca="1" si="71"/>
        <v>0</v>
      </c>
      <c r="AB178" s="828" t="str">
        <f ca="1">IF(AA106&gt;0,AI106&amp;Sprache!$E$109&amp;AH106,"")</f>
        <v/>
      </c>
      <c r="AC178" s="609" t="str">
        <f ca="1">IF(AA106&gt;0,AK106&amp;Sprache!$E$109&amp;AJ106,"")</f>
        <v/>
      </c>
      <c r="AD178" s="145"/>
      <c r="AE178" s="612"/>
      <c r="AF178" s="612"/>
      <c r="AG178" s="612"/>
      <c r="AH178" s="612"/>
    </row>
    <row r="179" spans="25:34" x14ac:dyDescent="0.2">
      <c r="Y179" s="66" t="s">
        <v>65</v>
      </c>
      <c r="Z179" s="34" t="str">
        <f t="shared" ca="1" si="72"/>
        <v/>
      </c>
      <c r="AA179" s="778">
        <f t="shared" ca="1" si="71"/>
        <v>0</v>
      </c>
      <c r="AB179" s="828" t="str">
        <f ca="1">IF(AA107&gt;0,AI107&amp;Sprache!$E$109&amp;AH107,"")</f>
        <v/>
      </c>
      <c r="AC179" s="609" t="str">
        <f ca="1">IF(AA107&gt;0,AK107&amp;Sprache!$E$109&amp;AJ107,"")</f>
        <v/>
      </c>
      <c r="AD179" s="145"/>
      <c r="AE179" s="612"/>
      <c r="AF179" s="612"/>
      <c r="AG179" s="612"/>
      <c r="AH179" s="612"/>
    </row>
    <row r="180" spans="25:34" x14ac:dyDescent="0.2">
      <c r="Y180" s="66" t="s">
        <v>66</v>
      </c>
      <c r="Z180" s="34" t="str">
        <f t="shared" ca="1" si="72"/>
        <v/>
      </c>
      <c r="AA180" s="778">
        <f t="shared" ca="1" si="71"/>
        <v>0</v>
      </c>
      <c r="AB180" s="828" t="str">
        <f ca="1">IF(AA108&gt;0,AI108&amp;Sprache!$E$109&amp;AH108,"")</f>
        <v/>
      </c>
      <c r="AC180" s="609" t="str">
        <f ca="1">IF(AA108&gt;0,AK108&amp;Sprache!$E$109&amp;AJ108,"")</f>
        <v/>
      </c>
      <c r="AD180" s="145"/>
      <c r="AE180" s="612"/>
      <c r="AF180" s="612"/>
      <c r="AG180" s="612"/>
      <c r="AH180" s="612"/>
    </row>
    <row r="181" spans="25:34" x14ac:dyDescent="0.2">
      <c r="Y181" s="66" t="s">
        <v>67</v>
      </c>
      <c r="Z181" s="34" t="str">
        <f t="shared" ca="1" si="72"/>
        <v/>
      </c>
      <c r="AA181" s="778">
        <f t="shared" ca="1" si="71"/>
        <v>0</v>
      </c>
      <c r="AB181" s="828" t="str">
        <f ca="1">IF(AA109&gt;0,AI109&amp;Sprache!$E$109&amp;AH109,"")</f>
        <v/>
      </c>
      <c r="AC181" s="609" t="str">
        <f ca="1">IF(AA109&gt;0,AK109&amp;Sprache!$E$109&amp;AJ109,"")</f>
        <v/>
      </c>
      <c r="AD181" s="145"/>
      <c r="AE181" s="612"/>
      <c r="AF181" s="612"/>
      <c r="AG181" s="612"/>
      <c r="AH181" s="612"/>
    </row>
    <row r="182" spans="25:34" x14ac:dyDescent="0.2">
      <c r="Y182" s="66" t="s">
        <v>68</v>
      </c>
      <c r="Z182" s="34" t="str">
        <f t="shared" ca="1" si="72"/>
        <v/>
      </c>
      <c r="AA182" s="778">
        <f t="shared" ca="1" si="71"/>
        <v>0</v>
      </c>
      <c r="AB182" s="828" t="str">
        <f ca="1">IF(AA110&gt;0,AI110&amp;Sprache!$E$109&amp;AH110,"")</f>
        <v/>
      </c>
      <c r="AC182" s="609" t="str">
        <f ca="1">IF(AA110&gt;0,AK110&amp;Sprache!$E$109&amp;AJ110,"")</f>
        <v/>
      </c>
      <c r="AD182" s="145"/>
      <c r="AE182" s="612"/>
      <c r="AF182" s="612"/>
      <c r="AG182" s="612"/>
      <c r="AH182" s="612"/>
    </row>
    <row r="183" spans="25:34" x14ac:dyDescent="0.2">
      <c r="Y183" s="66" t="s">
        <v>69</v>
      </c>
      <c r="Z183" s="34" t="str">
        <f t="shared" ca="1" si="72"/>
        <v/>
      </c>
      <c r="AA183" s="778">
        <f t="shared" ca="1" si="71"/>
        <v>0</v>
      </c>
      <c r="AB183" s="828" t="str">
        <f ca="1">IF(AA111&gt;0,AI111&amp;Sprache!$E$109&amp;AH111,"")</f>
        <v/>
      </c>
      <c r="AC183" s="609" t="str">
        <f ca="1">IF(AA111&gt;0,AK111&amp;Sprache!$E$109&amp;AJ111,"")</f>
        <v/>
      </c>
      <c r="AD183" s="145"/>
      <c r="AE183" s="612"/>
      <c r="AF183" s="612"/>
      <c r="AG183" s="612"/>
      <c r="AH183" s="612"/>
    </row>
    <row r="184" spans="25:34" x14ac:dyDescent="0.2">
      <c r="Y184" s="66" t="s">
        <v>70</v>
      </c>
      <c r="Z184" s="34" t="str">
        <f t="shared" ca="1" si="72"/>
        <v/>
      </c>
      <c r="AA184" s="778">
        <f t="shared" ca="1" si="71"/>
        <v>0</v>
      </c>
      <c r="AB184" s="828" t="str">
        <f ca="1">IF(AA112&gt;0,AI112&amp;Sprache!$E$109&amp;AH112,"")</f>
        <v/>
      </c>
      <c r="AC184" s="609" t="str">
        <f ca="1">IF(AA112&gt;0,AK112&amp;Sprache!$E$109&amp;AJ112,"")</f>
        <v/>
      </c>
      <c r="AD184" s="145"/>
      <c r="AE184" s="612"/>
      <c r="AF184" s="612"/>
      <c r="AG184" s="612"/>
      <c r="AH184" s="612"/>
    </row>
    <row r="185" spans="25:34" x14ac:dyDescent="0.2">
      <c r="Y185" s="66" t="s">
        <v>71</v>
      </c>
      <c r="Z185" s="34" t="str">
        <f t="shared" ca="1" si="72"/>
        <v/>
      </c>
      <c r="AA185" s="778">
        <f t="shared" ca="1" si="71"/>
        <v>0</v>
      </c>
      <c r="AB185" s="828" t="str">
        <f ca="1">IF(AA113&gt;0,AI113&amp;Sprache!$E$109&amp;AH113,"")</f>
        <v/>
      </c>
      <c r="AC185" s="609" t="str">
        <f ca="1">IF(AA113&gt;0,AK113&amp;Sprache!$E$109&amp;AJ113,"")</f>
        <v/>
      </c>
      <c r="AD185" s="145"/>
      <c r="AE185" s="612"/>
      <c r="AF185" s="612"/>
      <c r="AG185" s="612"/>
      <c r="AH185" s="612"/>
    </row>
    <row r="186" spans="25:34" x14ac:dyDescent="0.2">
      <c r="Y186" s="66" t="s">
        <v>72</v>
      </c>
      <c r="Z186" s="34" t="str">
        <f t="shared" ca="1" si="72"/>
        <v/>
      </c>
      <c r="AA186" s="778">
        <f t="shared" ca="1" si="71"/>
        <v>0</v>
      </c>
      <c r="AB186" s="828" t="str">
        <f ca="1">IF(AA114&gt;0,AI114&amp;Sprache!$E$109&amp;AH114,"")</f>
        <v/>
      </c>
      <c r="AC186" s="609" t="str">
        <f ca="1">IF(AA114&gt;0,AK114&amp;Sprache!$E$109&amp;AJ114,"")</f>
        <v/>
      </c>
      <c r="AD186" s="145"/>
      <c r="AE186" s="612"/>
      <c r="AF186" s="612"/>
      <c r="AG186" s="612"/>
      <c r="AH186" s="612"/>
    </row>
    <row r="187" spans="25:34" x14ac:dyDescent="0.2">
      <c r="Y187" s="66" t="s">
        <v>73</v>
      </c>
      <c r="Z187" s="34" t="str">
        <f t="shared" ca="1" si="72"/>
        <v/>
      </c>
      <c r="AA187" s="778">
        <f t="shared" ca="1" si="71"/>
        <v>0</v>
      </c>
      <c r="AB187" s="828" t="str">
        <f ca="1">IF(AA115&gt;0,AI115&amp;Sprache!$E$109&amp;AH115,"")</f>
        <v/>
      </c>
      <c r="AC187" s="609" t="str">
        <f ca="1">IF(AA115&gt;0,AK115&amp;Sprache!$E$109&amp;AJ115,"")</f>
        <v/>
      </c>
      <c r="AD187" s="145"/>
      <c r="AE187" s="612"/>
      <c r="AF187" s="612"/>
      <c r="AG187" s="612"/>
      <c r="AH187" s="612"/>
    </row>
    <row r="188" spans="25:34" x14ac:dyDescent="0.2">
      <c r="Y188" s="66" t="s">
        <v>74</v>
      </c>
      <c r="Z188" s="34" t="str">
        <f t="shared" ca="1" si="72"/>
        <v/>
      </c>
      <c r="AA188" s="778">
        <f t="shared" ca="1" si="71"/>
        <v>0</v>
      </c>
      <c r="AB188" s="828" t="str">
        <f ca="1">IF(AA116&gt;0,AI116&amp;Sprache!$E$109&amp;AH116,"")</f>
        <v/>
      </c>
      <c r="AC188" s="609" t="str">
        <f ca="1">IF(AA116&gt;0,AK116&amp;Sprache!$E$109&amp;AJ116,"")</f>
        <v/>
      </c>
      <c r="AD188" s="145"/>
      <c r="AE188" s="612"/>
      <c r="AF188" s="612"/>
      <c r="AG188" s="612"/>
      <c r="AH188" s="612"/>
    </row>
    <row r="189" spans="25:34" x14ac:dyDescent="0.2">
      <c r="Y189" s="66" t="s">
        <v>75</v>
      </c>
      <c r="Z189" s="34" t="str">
        <f t="shared" ca="1" si="72"/>
        <v/>
      </c>
      <c r="AA189" s="778">
        <f t="shared" ca="1" si="71"/>
        <v>0</v>
      </c>
      <c r="AB189" s="828" t="str">
        <f ca="1">IF(AA117&gt;0,AI117&amp;Sprache!$E$109&amp;AH117,"")</f>
        <v/>
      </c>
      <c r="AC189" s="609" t="str">
        <f ca="1">IF(AA117&gt;0,AK117&amp;Sprache!$E$109&amp;AJ117,"")</f>
        <v/>
      </c>
      <c r="AD189" s="145"/>
      <c r="AE189" s="612"/>
      <c r="AF189" s="612"/>
      <c r="AG189" s="612"/>
      <c r="AH189" s="612"/>
    </row>
    <row r="190" spans="25:34" x14ac:dyDescent="0.2">
      <c r="Y190" s="66" t="s">
        <v>76</v>
      </c>
      <c r="Z190" s="34" t="str">
        <f t="shared" ca="1" si="72"/>
        <v/>
      </c>
      <c r="AA190" s="778">
        <f t="shared" ca="1" si="71"/>
        <v>0</v>
      </c>
      <c r="AB190" s="828" t="str">
        <f ca="1">IF(AA118&gt;0,AI118&amp;Sprache!$E$109&amp;AH118,"")</f>
        <v/>
      </c>
      <c r="AC190" s="609" t="str">
        <f ca="1">IF(AA118&gt;0,AK118&amp;Sprache!$E$109&amp;AJ118,"")</f>
        <v/>
      </c>
      <c r="AD190" s="145"/>
      <c r="AE190" s="612"/>
      <c r="AF190" s="612"/>
      <c r="AG190" s="612"/>
      <c r="AH190" s="612"/>
    </row>
    <row r="191" spans="25:34" x14ac:dyDescent="0.2">
      <c r="Y191" s="66" t="s">
        <v>77</v>
      </c>
      <c r="Z191" s="34" t="str">
        <f t="shared" ca="1" si="72"/>
        <v/>
      </c>
      <c r="AA191" s="778">
        <f t="shared" ca="1" si="71"/>
        <v>0</v>
      </c>
      <c r="AB191" s="828" t="str">
        <f ca="1">IF(AA119&gt;0,AI119&amp;Sprache!$E$109&amp;AH119,"")</f>
        <v/>
      </c>
      <c r="AC191" s="609" t="str">
        <f ca="1">IF(AA119&gt;0,AK119&amp;Sprache!$E$109&amp;AJ119,"")</f>
        <v/>
      </c>
      <c r="AD191" s="145"/>
      <c r="AE191" s="612"/>
      <c r="AF191" s="612"/>
      <c r="AG191" s="612"/>
      <c r="AH191" s="612"/>
    </row>
    <row r="192" spans="25:34" x14ac:dyDescent="0.2">
      <c r="Y192" s="66" t="s">
        <v>78</v>
      </c>
      <c r="Z192" s="34" t="str">
        <f t="shared" ca="1" si="72"/>
        <v/>
      </c>
      <c r="AA192" s="778">
        <f t="shared" ca="1" si="71"/>
        <v>0</v>
      </c>
      <c r="AB192" s="828" t="str">
        <f ca="1">IF(AA120&gt;0,AI120&amp;Sprache!$E$109&amp;AH120,"")</f>
        <v/>
      </c>
      <c r="AC192" s="609" t="str">
        <f ca="1">IF(AA120&gt;0,AK120&amp;Sprache!$E$109&amp;AJ120,"")</f>
        <v/>
      </c>
      <c r="AD192" s="145"/>
      <c r="AE192" s="612"/>
      <c r="AF192" s="612"/>
      <c r="AG192" s="612"/>
      <c r="AH192" s="612"/>
    </row>
    <row r="193" spans="25:34" x14ac:dyDescent="0.2">
      <c r="Y193" s="66" t="s">
        <v>79</v>
      </c>
      <c r="Z193" s="34" t="str">
        <f t="shared" ca="1" si="72"/>
        <v/>
      </c>
      <c r="AA193" s="778">
        <f t="shared" ca="1" si="71"/>
        <v>0</v>
      </c>
      <c r="AB193" s="828" t="str">
        <f ca="1">IF(AA121&gt;0,AI121&amp;Sprache!$E$109&amp;AH121,"")</f>
        <v/>
      </c>
      <c r="AC193" s="609" t="str">
        <f ca="1">IF(AA121&gt;0,AK121&amp;Sprache!$E$109&amp;AJ121,"")</f>
        <v/>
      </c>
      <c r="AD193" s="145"/>
      <c r="AE193" s="612"/>
      <c r="AF193" s="612"/>
      <c r="AG193" s="612"/>
      <c r="AH193" s="612"/>
    </row>
    <row r="194" spans="25:34" x14ac:dyDescent="0.2">
      <c r="Y194" s="66" t="s">
        <v>80</v>
      </c>
      <c r="Z194" s="34" t="str">
        <f t="shared" ca="1" si="72"/>
        <v/>
      </c>
      <c r="AA194" s="778">
        <f t="shared" ca="1" si="71"/>
        <v>0</v>
      </c>
      <c r="AB194" s="828" t="str">
        <f ca="1">IF(AA122&gt;0,AI122&amp;Sprache!$E$109&amp;AH122,"")</f>
        <v/>
      </c>
      <c r="AC194" s="609" t="str">
        <f ca="1">IF(AA122&gt;0,AK122&amp;Sprache!$E$109&amp;AJ122,"")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IF(AA123&gt;0,AI123&amp;Sprache!$E$109&amp;AH123,"")</f>
        <v/>
      </c>
      <c r="AC195" s="609" t="str">
        <f ca="1">IF(AA123&gt;0,AK123&amp;Sprache!$E$109&amp;AJ123,"")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122"/>
  <sheetViews>
    <sheetView workbookViewId="0"/>
  </sheetViews>
  <sheetFormatPr baseColWidth="10" defaultRowHeight="12.75" x14ac:dyDescent="0.2"/>
  <cols>
    <col min="2" max="2" width="11.42578125" style="163"/>
    <col min="3" max="3" width="21.85546875" style="104" customWidth="1"/>
    <col min="4" max="4" width="8.28515625" style="425" customWidth="1"/>
    <col min="5" max="5" width="14.140625" style="163" customWidth="1"/>
    <col min="6" max="6" width="14.28515625" style="163" customWidth="1"/>
    <col min="7" max="7" width="17.5703125" style="163" customWidth="1"/>
    <col min="8" max="8" width="5.7109375" style="163" customWidth="1"/>
    <col min="9" max="17" width="4.7109375" style="163" customWidth="1"/>
    <col min="18" max="44" width="4.7109375" customWidth="1"/>
  </cols>
  <sheetData>
    <row r="1" spans="2:44" ht="13.5" thickBot="1" x14ac:dyDescent="0.25"/>
    <row r="2" spans="2:44" ht="24.75" customHeight="1" thickTop="1" thickBot="1" x14ac:dyDescent="0.25">
      <c r="D2" s="430"/>
      <c r="E2" s="429">
        <f ca="1">COUNTIF($C$3:$C$122,"")</f>
        <v>0</v>
      </c>
      <c r="F2" s="429">
        <f t="array" aca="1" ref="F2" ca="1">SUMPRODUCT(($C$3:$C$122&lt;&gt;"")/($D$3:$D$122+($C$3:$C$122="")))</f>
        <v>120</v>
      </c>
      <c r="G2" s="435" t="str">
        <f ca="1">IF(E2+F2&lt;120,"FEHLER","okay")</f>
        <v>okay</v>
      </c>
      <c r="H2" s="429"/>
    </row>
    <row r="3" spans="2:44" ht="13.5" thickTop="1" x14ac:dyDescent="0.2">
      <c r="B3" s="163">
        <v>1</v>
      </c>
      <c r="C3" s="104" t="str">
        <f ca="1">IF(OR(Planung!$L6="",Planung!$N6=""),"Z"&amp;ROW($M6),Planung!$I6&amp;Planung!$F6)</f>
        <v>A50,375</v>
      </c>
      <c r="D3" s="432">
        <f t="array" aca="1" ref="D3:D122" ca="1">COUNTIF($C$3:$C$122,$C$3:$C$122)</f>
        <v>1</v>
      </c>
      <c r="E3" s="432" t="e">
        <f ca="1">IF($F$8&gt;60,$F$8-60,$F$8)</f>
        <v>#NUM!</v>
      </c>
      <c r="F3" s="387" t="s">
        <v>332</v>
      </c>
      <c r="G3" s="425"/>
    </row>
    <row r="4" spans="2:44" x14ac:dyDescent="0.2">
      <c r="B4" s="163">
        <v>2</v>
      </c>
      <c r="C4" s="104" t="str">
        <f ca="1">IF(OR(Planung!$L7="",Planung!$N7=""),"Z"&amp;ROW($M7),Planung!$I7&amp;Planung!$F7)</f>
        <v>B50,375</v>
      </c>
      <c r="D4" s="432">
        <f ca="1"/>
        <v>1</v>
      </c>
      <c r="E4" s="432" t="e">
        <f ca="1">IF($F$9&gt;60,$F$9-60,$F$9)</f>
        <v>#NUM!</v>
      </c>
      <c r="F4" s="387" t="s">
        <v>333</v>
      </c>
    </row>
    <row r="5" spans="2:44" x14ac:dyDescent="0.2">
      <c r="B5" s="163">
        <v>3</v>
      </c>
      <c r="C5" s="104" t="str">
        <f ca="1">IF(OR(Planung!$L8="",Planung!$N8=""),"Z"&amp;ROW($M8),Planung!$I8&amp;Planung!$F8)</f>
        <v>C50,375</v>
      </c>
      <c r="D5" s="432">
        <f ca="1"/>
        <v>1</v>
      </c>
      <c r="E5" s="387" t="str">
        <f t="array" aca="1" ref="E5" ca="1">VLOOKUP(MATCH($E$7,$D$3:$D$122,0),$B$3:$C$62,2,0)</f>
        <v>A50,375</v>
      </c>
      <c r="F5" s="521" t="s">
        <v>334</v>
      </c>
      <c r="H5" s="379"/>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379"/>
      <c r="AO5" s="379"/>
      <c r="AP5" s="379"/>
      <c r="AQ5" s="379"/>
      <c r="AR5" s="379"/>
    </row>
    <row r="6" spans="2:44" ht="13.5" thickBot="1" x14ac:dyDescent="0.25">
      <c r="B6" s="163">
        <v>4</v>
      </c>
      <c r="C6" s="104" t="str">
        <f ca="1">IF(OR(Planung!$L9="",Planung!$N9=""),"Z"&amp;ROW($M9),Planung!$I9&amp;Planung!$F9)</f>
        <v>D50,375</v>
      </c>
      <c r="D6" s="432">
        <f ca="1"/>
        <v>1</v>
      </c>
      <c r="E6" s="163" t="str">
        <f ca="1">LEFT($E$5,2)</f>
        <v>A5</v>
      </c>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row>
    <row r="7" spans="2:44" ht="13.5" thickBot="1" x14ac:dyDescent="0.25">
      <c r="B7" s="163">
        <v>5</v>
      </c>
      <c r="C7" s="104" t="str">
        <f ca="1">IF(OR(Planung!$L10="",Planung!$N10=""),"Z"&amp;ROW($M10),Planung!$I10&amp;Planung!$F10)</f>
        <v>A30,399305555555556</v>
      </c>
      <c r="D7" s="432">
        <f ca="1"/>
        <v>1</v>
      </c>
      <c r="E7" s="546">
        <f ca="1">MAX($D$3:$D$122)</f>
        <v>1</v>
      </c>
      <c r="H7" s="434"/>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row>
    <row r="8" spans="2:44" x14ac:dyDescent="0.2">
      <c r="B8" s="163">
        <v>6</v>
      </c>
      <c r="C8" s="104" t="str">
        <f ca="1">IF(OR(Planung!$L11="",Planung!$N11=""),"Z"&amp;ROW($M11),Planung!$I11&amp;Planung!$F11)</f>
        <v>B30,399305555555556</v>
      </c>
      <c r="D8" s="432">
        <f ca="1"/>
        <v>1</v>
      </c>
      <c r="E8" s="163">
        <f t="array" aca="1" ref="E8" ca="1">MATCH($E$7,$D$3:$D$122,0)</f>
        <v>1</v>
      </c>
      <c r="F8" s="163" t="e">
        <f ca="1">IF($E$8&lt;$E$9,$E$8,$E$9)</f>
        <v>#NUM!</v>
      </c>
      <c r="H8" s="434"/>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row>
    <row r="9" spans="2:44" x14ac:dyDescent="0.2">
      <c r="B9" s="163">
        <v>7</v>
      </c>
      <c r="C9" s="104" t="str">
        <f ca="1">IF(OR(Planung!$L12="",Planung!$N12=""),"Z"&amp;ROW($M12),Planung!$I12&amp;Planung!$F12)</f>
        <v>C30,399305555555556</v>
      </c>
      <c r="D9" s="432">
        <f ca="1"/>
        <v>1</v>
      </c>
      <c r="E9" s="163" t="e">
        <f t="array" aca="1" ref="E9" ca="1">INDEX($B$3:$B$122,SMALL(IF($E$5=$C$3:$C$122,ROW($C$3:$C$122)-ROW($C$3)+1),2))</f>
        <v>#NUM!</v>
      </c>
      <c r="F9" s="163" t="e">
        <f ca="1">IF($E$8&gt;$E$9,$E$8,$E$9)</f>
        <v>#NUM!</v>
      </c>
      <c r="H9" s="434"/>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row>
    <row r="10" spans="2:44" x14ac:dyDescent="0.2">
      <c r="B10" s="163">
        <v>8</v>
      </c>
      <c r="C10" s="104" t="str">
        <f ca="1">IF(OR(Planung!$L13="",Planung!$N13=""),"Z"&amp;ROW($M13),Planung!$I13&amp;Planung!$F13)</f>
        <v>D30,399305555555556</v>
      </c>
      <c r="D10" s="432">
        <f ca="1"/>
        <v>1</v>
      </c>
      <c r="H10" s="434"/>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row>
    <row r="11" spans="2:44" x14ac:dyDescent="0.2">
      <c r="B11" s="163">
        <v>9</v>
      </c>
      <c r="C11" s="104" t="str">
        <f ca="1">IF(OR(Planung!$L14="",Planung!$N14=""),"Z"&amp;ROW($M14),Planung!$I14&amp;Planung!$F14)</f>
        <v>A50,423611111111111</v>
      </c>
      <c r="D11" s="432">
        <f ca="1"/>
        <v>1</v>
      </c>
      <c r="H11" s="434"/>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row>
    <row r="12" spans="2:44" x14ac:dyDescent="0.2">
      <c r="B12" s="163">
        <v>10</v>
      </c>
      <c r="C12" s="104" t="str">
        <f ca="1">IF(OR(Planung!$L15="",Planung!$N15=""),"Z"&amp;ROW($M15),Planung!$I15&amp;Planung!$F15)</f>
        <v>B50,423611111111111</v>
      </c>
      <c r="D12" s="432">
        <f ca="1"/>
        <v>1</v>
      </c>
      <c r="H12" s="434"/>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row>
    <row r="13" spans="2:44" x14ac:dyDescent="0.2">
      <c r="B13" s="163">
        <v>11</v>
      </c>
      <c r="C13" s="104" t="str">
        <f ca="1">IF(OR(Planung!$L16="",Planung!$N16=""),"Z"&amp;ROW($M16),Planung!$I16&amp;Planung!$F16)</f>
        <v>C50,423611111111111</v>
      </c>
      <c r="D13" s="432">
        <f ca="1"/>
        <v>1</v>
      </c>
    </row>
    <row r="14" spans="2:44" x14ac:dyDescent="0.2">
      <c r="B14" s="163">
        <v>12</v>
      </c>
      <c r="C14" s="104" t="str">
        <f ca="1">IF(OR(Planung!$L17="",Planung!$N17=""),"Z"&amp;ROW($M17),Planung!$I17&amp;Planung!$F17)</f>
        <v>D50,423611111111111</v>
      </c>
      <c r="D14" s="432">
        <f ca="1"/>
        <v>1</v>
      </c>
    </row>
    <row r="15" spans="2:44" x14ac:dyDescent="0.2">
      <c r="B15" s="163">
        <v>13</v>
      </c>
      <c r="C15" s="104" t="str">
        <f ca="1">IF(OR(Planung!$L18="",Planung!$N18=""),"Z"&amp;ROW($M18),Planung!$I18&amp;Planung!$F18)</f>
        <v>A20,447916666666667</v>
      </c>
      <c r="D15" s="432">
        <f ca="1"/>
        <v>1</v>
      </c>
    </row>
    <row r="16" spans="2:44" x14ac:dyDescent="0.2">
      <c r="B16" s="163">
        <v>14</v>
      </c>
      <c r="C16" s="104" t="str">
        <f ca="1">IF(OR(Planung!$L19="",Planung!$N19=""),"Z"&amp;ROW($M19),Planung!$I19&amp;Planung!$F19)</f>
        <v>B20,447916666666667</v>
      </c>
      <c r="D16" s="432">
        <f ca="1"/>
        <v>1</v>
      </c>
    </row>
    <row r="17" spans="2:29" x14ac:dyDescent="0.2">
      <c r="B17" s="163">
        <v>15</v>
      </c>
      <c r="C17" s="104" t="str">
        <f ca="1">IF(OR(Planung!$L20="",Planung!$N20=""),"Z"&amp;ROW($M20),Planung!$I20&amp;Planung!$F20)</f>
        <v>C20,447916666666667</v>
      </c>
      <c r="D17" s="432">
        <f ca="1"/>
        <v>1</v>
      </c>
      <c r="Q17" s="433"/>
      <c r="R17" s="379"/>
      <c r="S17" s="379"/>
      <c r="T17" s="379"/>
      <c r="U17" s="437"/>
      <c r="V17" s="379"/>
      <c r="W17" s="379"/>
      <c r="X17" s="379"/>
    </row>
    <row r="18" spans="2:29" x14ac:dyDescent="0.2">
      <c r="B18" s="163">
        <v>16</v>
      </c>
      <c r="C18" s="104" t="str">
        <f ca="1">IF(OR(Planung!$L21="",Planung!$N21=""),"Z"&amp;ROW($M21),Planung!$I21&amp;Planung!$F21)</f>
        <v>D20,447916666666667</v>
      </c>
      <c r="D18" s="432">
        <f ca="1"/>
        <v>1</v>
      </c>
      <c r="Q18" s="433"/>
      <c r="R18" s="379"/>
      <c r="S18" s="379"/>
      <c r="T18" s="379"/>
      <c r="U18" s="437"/>
      <c r="V18" s="379"/>
      <c r="W18" s="433"/>
      <c r="X18" s="433"/>
      <c r="Y18" s="290"/>
      <c r="Z18" s="290"/>
      <c r="AA18" s="290"/>
      <c r="AB18" s="290"/>
      <c r="AC18" s="290"/>
    </row>
    <row r="19" spans="2:29" x14ac:dyDescent="0.2">
      <c r="B19" s="163">
        <v>17</v>
      </c>
      <c r="C19" s="104" t="str">
        <f ca="1">IF(OR(Planung!$L22="",Planung!$N22=""),"Z"&amp;ROW($M22),Planung!$I22&amp;Planung!$F22)</f>
        <v>A10,472222222222222</v>
      </c>
      <c r="D19" s="432">
        <f ca="1"/>
        <v>1</v>
      </c>
      <c r="Q19" s="433"/>
      <c r="R19" s="379"/>
      <c r="S19" s="379"/>
      <c r="T19" s="379"/>
      <c r="U19" s="437"/>
      <c r="V19" s="379"/>
      <c r="W19" s="379"/>
      <c r="X19" s="379"/>
      <c r="Y19" s="291"/>
      <c r="Z19" s="291"/>
      <c r="AA19" s="291"/>
      <c r="AB19" s="291"/>
      <c r="AC19" s="291"/>
    </row>
    <row r="20" spans="2:29" x14ac:dyDescent="0.2">
      <c r="B20" s="163">
        <v>18</v>
      </c>
      <c r="C20" s="104" t="str">
        <f ca="1">IF(OR(Planung!$L23="",Planung!$N23=""),"Z"&amp;ROW($M23),Planung!$I23&amp;Planung!$F23)</f>
        <v>B10,472222222222222</v>
      </c>
      <c r="D20" s="432">
        <f ca="1"/>
        <v>1</v>
      </c>
      <c r="Q20" s="433"/>
      <c r="R20" s="379"/>
      <c r="S20" s="379"/>
      <c r="T20" s="379"/>
      <c r="U20" s="379"/>
      <c r="V20" s="379"/>
      <c r="W20" s="379"/>
      <c r="X20" s="379"/>
      <c r="Y20" s="291"/>
      <c r="Z20" s="291"/>
      <c r="AA20" s="291"/>
      <c r="AB20" s="291"/>
      <c r="AC20" s="291"/>
    </row>
    <row r="21" spans="2:29" x14ac:dyDescent="0.2">
      <c r="B21" s="163">
        <v>19</v>
      </c>
      <c r="C21" s="104" t="str">
        <f ca="1">IF(OR(Planung!$L24="",Planung!$N24=""),"Z"&amp;ROW($M24),Planung!$I24&amp;Planung!$F24)</f>
        <v>C10,472222222222222</v>
      </c>
      <c r="D21" s="432">
        <f ca="1"/>
        <v>1</v>
      </c>
      <c r="G21" s="874" t="s">
        <v>231</v>
      </c>
      <c r="Q21" s="433"/>
      <c r="R21" s="379"/>
      <c r="S21" s="379"/>
      <c r="T21" s="379"/>
      <c r="U21" s="379"/>
      <c r="V21" s="379"/>
      <c r="W21" s="379"/>
      <c r="X21" s="379"/>
      <c r="Y21" s="291"/>
      <c r="Z21" s="291"/>
      <c r="AA21" s="291"/>
      <c r="AB21" s="291"/>
      <c r="AC21" s="291"/>
    </row>
    <row r="22" spans="2:29" x14ac:dyDescent="0.2">
      <c r="B22" s="163">
        <v>20</v>
      </c>
      <c r="C22" s="104" t="str">
        <f ca="1">IF(OR(Planung!$L25="",Planung!$N25=""),"Z"&amp;ROW($M25),Planung!$I25&amp;Planung!$F25)</f>
        <v>D10,472222222222222</v>
      </c>
      <c r="D22" s="432">
        <f ca="1"/>
        <v>1</v>
      </c>
      <c r="G22" s="874"/>
      <c r="Q22" s="433"/>
      <c r="R22" s="379"/>
      <c r="S22" s="379"/>
      <c r="T22" s="379"/>
      <c r="U22" s="379"/>
      <c r="V22" s="379"/>
      <c r="W22" s="379"/>
      <c r="X22" s="379"/>
      <c r="Y22" s="291"/>
      <c r="Z22" s="291"/>
      <c r="AA22" s="291"/>
      <c r="AB22" s="291"/>
      <c r="AC22" s="291"/>
    </row>
    <row r="23" spans="2:29" x14ac:dyDescent="0.2">
      <c r="B23" s="163">
        <v>21</v>
      </c>
      <c r="C23" s="104" t="str">
        <f ca="1">IF(OR(Planung!$L26="",Planung!$N26=""),"Z"&amp;ROW($M26),Planung!$I26&amp;Planung!$F26)</f>
        <v>A30,496527777777778</v>
      </c>
      <c r="D23" s="432">
        <f ca="1"/>
        <v>1</v>
      </c>
      <c r="G23" s="874" t="s">
        <v>232</v>
      </c>
      <c r="Q23" s="433"/>
      <c r="R23" s="379"/>
      <c r="S23" s="379"/>
      <c r="T23" s="379"/>
      <c r="U23" s="379"/>
      <c r="V23" s="379"/>
      <c r="W23" s="379"/>
      <c r="X23" s="379"/>
      <c r="Y23" s="291"/>
      <c r="Z23" s="291"/>
      <c r="AA23" s="291"/>
      <c r="AB23" s="291"/>
      <c r="AC23" s="291"/>
    </row>
    <row r="24" spans="2:29" x14ac:dyDescent="0.2">
      <c r="B24" s="163">
        <v>22</v>
      </c>
      <c r="C24" s="104" t="str">
        <f ca="1">IF(OR(Planung!$L27="",Planung!$N27=""),"Z"&amp;ROW($M27),Planung!$I27&amp;Planung!$F27)</f>
        <v>B30,496527777777778</v>
      </c>
      <c r="D24" s="432">
        <f ca="1"/>
        <v>1</v>
      </c>
      <c r="G24" s="874"/>
      <c r="Q24" s="433"/>
      <c r="R24" s="379"/>
      <c r="S24" s="379"/>
      <c r="T24" s="379"/>
      <c r="U24" s="379"/>
      <c r="V24" s="379"/>
      <c r="W24" s="379"/>
      <c r="X24" s="379"/>
      <c r="Y24" s="291"/>
      <c r="Z24" s="291"/>
      <c r="AA24" s="291"/>
      <c r="AB24" s="291"/>
      <c r="AC24" s="291"/>
    </row>
    <row r="25" spans="2:29" x14ac:dyDescent="0.2">
      <c r="B25" s="163">
        <v>23</v>
      </c>
      <c r="C25" s="104" t="str">
        <f ca="1">IF(OR(Planung!$L28="",Planung!$N28=""),"Z"&amp;ROW($M28),Planung!$I28&amp;Planung!$F28)</f>
        <v>C30,496527777777778</v>
      </c>
      <c r="D25" s="432">
        <f ca="1"/>
        <v>1</v>
      </c>
      <c r="G25" s="874" t="s">
        <v>233</v>
      </c>
      <c r="Q25" s="433"/>
      <c r="R25" s="379"/>
      <c r="S25" s="379"/>
      <c r="T25" s="379"/>
      <c r="U25" s="379"/>
      <c r="V25" s="379"/>
      <c r="W25" s="379"/>
      <c r="X25" s="379"/>
      <c r="Y25" s="291"/>
      <c r="Z25" s="291"/>
      <c r="AA25" s="291"/>
      <c r="AB25" s="291"/>
      <c r="AC25" s="291"/>
    </row>
    <row r="26" spans="2:29" x14ac:dyDescent="0.2">
      <c r="B26" s="163">
        <v>24</v>
      </c>
      <c r="C26" s="104" t="str">
        <f ca="1">IF(OR(Planung!$L29="",Planung!$N29=""),"Z"&amp;ROW($M29),Planung!$I29&amp;Planung!$F29)</f>
        <v>D30,496527777777778</v>
      </c>
      <c r="D26" s="432">
        <f ca="1"/>
        <v>1</v>
      </c>
      <c r="G26" s="874"/>
      <c r="Q26" s="433"/>
      <c r="R26" s="379"/>
      <c r="S26" s="379"/>
      <c r="T26" s="379"/>
      <c r="U26" s="379"/>
      <c r="V26" s="379"/>
      <c r="W26" s="379"/>
      <c r="X26" s="379"/>
      <c r="Y26" s="291"/>
      <c r="Z26" s="291"/>
      <c r="AA26" s="291"/>
      <c r="AB26" s="291"/>
      <c r="AC26" s="291"/>
    </row>
    <row r="27" spans="2:29" x14ac:dyDescent="0.2">
      <c r="B27" s="163">
        <v>25</v>
      </c>
      <c r="C27" s="104" t="str">
        <f ca="1">IF(OR(Planung!$L30="",Planung!$N30=""),"Z"&amp;ROW($M30),Planung!$I30&amp;Planung!$F30)</f>
        <v>A20,520833333333333</v>
      </c>
      <c r="D27" s="432">
        <f ca="1"/>
        <v>1</v>
      </c>
      <c r="G27" s="874" t="s">
        <v>234</v>
      </c>
    </row>
    <row r="28" spans="2:29" x14ac:dyDescent="0.2">
      <c r="B28" s="163">
        <v>26</v>
      </c>
      <c r="C28" s="104" t="str">
        <f ca="1">IF(OR(Planung!$L31="",Planung!$N31=""),"Z"&amp;ROW($M31),Planung!$I31&amp;Planung!$F31)</f>
        <v>B20,520833333333333</v>
      </c>
      <c r="D28" s="432">
        <f ca="1"/>
        <v>1</v>
      </c>
      <c r="G28" s="874"/>
    </row>
    <row r="29" spans="2:29" x14ac:dyDescent="0.2">
      <c r="B29" s="163">
        <v>27</v>
      </c>
      <c r="C29" s="104" t="str">
        <f ca="1">IF(OR(Planung!$L32="",Planung!$N32=""),"Z"&amp;ROW($M32),Planung!$I32&amp;Planung!$F32)</f>
        <v>C20,520833333333333</v>
      </c>
      <c r="D29" s="432">
        <f ca="1"/>
        <v>1</v>
      </c>
      <c r="G29" s="874" t="s">
        <v>235</v>
      </c>
    </row>
    <row r="30" spans="2:29" x14ac:dyDescent="0.2">
      <c r="B30" s="163">
        <v>28</v>
      </c>
      <c r="C30" s="104" t="str">
        <f ca="1">IF(OR(Planung!$L33="",Planung!$N33=""),"Z"&amp;ROW($M33),Planung!$I33&amp;Planung!$F33)</f>
        <v>D20,520833333333333</v>
      </c>
      <c r="D30" s="432">
        <f ca="1"/>
        <v>1</v>
      </c>
      <c r="G30" s="874"/>
    </row>
    <row r="31" spans="2:29" x14ac:dyDescent="0.2">
      <c r="B31" s="163">
        <v>29</v>
      </c>
      <c r="C31" s="104" t="str">
        <f ca="1">IF(OR(Planung!$L34="",Planung!$N34=""),"Z"&amp;ROW($M34),Planung!$I34&amp;Planung!$F34)</f>
        <v>A30,545138888888889</v>
      </c>
      <c r="D31" s="432">
        <f ca="1"/>
        <v>1</v>
      </c>
    </row>
    <row r="32" spans="2:29" x14ac:dyDescent="0.2">
      <c r="B32" s="163">
        <v>30</v>
      </c>
      <c r="C32" s="104" t="str">
        <f ca="1">IF(OR(Planung!$L35="",Planung!$N35=""),"Z"&amp;ROW($M35),Planung!$I35&amp;Planung!$F35)</f>
        <v>B30,545138888888889</v>
      </c>
      <c r="D32" s="432">
        <f ca="1"/>
        <v>1</v>
      </c>
    </row>
    <row r="33" spans="2:7" x14ac:dyDescent="0.2">
      <c r="B33" s="163">
        <v>31</v>
      </c>
      <c r="C33" s="104" t="str">
        <f ca="1">IF(OR(Planung!$L36="",Planung!$N36=""),"Z"&amp;ROW($M36),Planung!$I36&amp;Planung!$F36)</f>
        <v>C30,545138888888889</v>
      </c>
      <c r="D33" s="432">
        <f ca="1"/>
        <v>1</v>
      </c>
      <c r="G33" s="874" t="s">
        <v>236</v>
      </c>
    </row>
    <row r="34" spans="2:7" x14ac:dyDescent="0.2">
      <c r="B34" s="163">
        <v>32</v>
      </c>
      <c r="C34" s="104" t="str">
        <f ca="1">IF(OR(Planung!$L37="",Planung!$N37=""),"Z"&amp;ROW($M37),Planung!$I37&amp;Planung!$F37)</f>
        <v>D30,545138888888889</v>
      </c>
      <c r="D34" s="432">
        <f ca="1"/>
        <v>1</v>
      </c>
      <c r="G34" s="874"/>
    </row>
    <row r="35" spans="2:7" x14ac:dyDescent="0.2">
      <c r="B35" s="163">
        <v>33</v>
      </c>
      <c r="C35" s="104" t="str">
        <f ca="1">IF(OR(Planung!$L38="",Planung!$N38=""),"Z"&amp;ROW($M38),Planung!$I38&amp;Planung!$F38)</f>
        <v>A40,569444444444444</v>
      </c>
      <c r="D35" s="432">
        <f ca="1"/>
        <v>1</v>
      </c>
      <c r="G35" s="874" t="s">
        <v>237</v>
      </c>
    </row>
    <row r="36" spans="2:7" x14ac:dyDescent="0.2">
      <c r="B36" s="163">
        <v>34</v>
      </c>
      <c r="C36" s="104" t="str">
        <f ca="1">IF(OR(Planung!$L39="",Planung!$N39=""),"Z"&amp;ROW($M39),Planung!$I39&amp;Planung!$F39)</f>
        <v>B40,569444444444444</v>
      </c>
      <c r="D36" s="432">
        <f ca="1"/>
        <v>1</v>
      </c>
      <c r="G36" s="874"/>
    </row>
    <row r="37" spans="2:7" x14ac:dyDescent="0.2">
      <c r="B37" s="163">
        <v>35</v>
      </c>
      <c r="C37" s="104" t="str">
        <f ca="1">IF(OR(Planung!$L40="",Planung!$N40=""),"Z"&amp;ROW($M40),Planung!$I40&amp;Planung!$F40)</f>
        <v>C40,569444444444444</v>
      </c>
      <c r="D37" s="432">
        <f ca="1"/>
        <v>1</v>
      </c>
      <c r="G37" s="874" t="s">
        <v>239</v>
      </c>
    </row>
    <row r="38" spans="2:7" x14ac:dyDescent="0.2">
      <c r="B38" s="163">
        <v>36</v>
      </c>
      <c r="C38" s="104" t="str">
        <f ca="1">IF(OR(Planung!$L41="",Planung!$N41=""),"Z"&amp;ROW($M41),Planung!$I41&amp;Planung!$F41)</f>
        <v>D40,569444444444444</v>
      </c>
      <c r="D38" s="432">
        <f ca="1"/>
        <v>1</v>
      </c>
      <c r="G38" s="874"/>
    </row>
    <row r="39" spans="2:7" x14ac:dyDescent="0.2">
      <c r="B39" s="163">
        <v>37</v>
      </c>
      <c r="C39" s="104" t="str">
        <f ca="1">IF(OR(Planung!$L42="",Planung!$N42=""),"Z"&amp;ROW($M42),Planung!$I42&amp;Planung!$F42)</f>
        <v>A10,59375</v>
      </c>
      <c r="D39" s="432">
        <f ca="1"/>
        <v>1</v>
      </c>
      <c r="G39" s="874" t="s">
        <v>238</v>
      </c>
    </row>
    <row r="40" spans="2:7" x14ac:dyDescent="0.2">
      <c r="B40" s="163">
        <v>38</v>
      </c>
      <c r="C40" s="104" t="str">
        <f ca="1">IF(OR(Planung!$L43="",Planung!$N43=""),"Z"&amp;ROW($M43),Planung!$I43&amp;Planung!$F43)</f>
        <v>B10,59375</v>
      </c>
      <c r="D40" s="432">
        <f ca="1"/>
        <v>1</v>
      </c>
      <c r="G40" s="874"/>
    </row>
    <row r="41" spans="2:7" x14ac:dyDescent="0.2">
      <c r="B41" s="163">
        <v>39</v>
      </c>
      <c r="C41" s="104" t="str">
        <f ca="1">IF(OR(Planung!$L44="",Planung!$N44=""),"Z"&amp;ROW($M44),Planung!$I44&amp;Planung!$F44)</f>
        <v>C10,59375</v>
      </c>
      <c r="D41" s="432">
        <f ca="1"/>
        <v>1</v>
      </c>
      <c r="G41" s="874" t="s">
        <v>240</v>
      </c>
    </row>
    <row r="42" spans="2:7" x14ac:dyDescent="0.2">
      <c r="B42" s="163">
        <v>40</v>
      </c>
      <c r="C42" s="104" t="str">
        <f ca="1">IF(OR(Planung!$L45="",Planung!$N45=""),"Z"&amp;ROW($M45),Planung!$I45&amp;Planung!$F45)</f>
        <v>D10,59375</v>
      </c>
      <c r="D42" s="432">
        <f ca="1"/>
        <v>1</v>
      </c>
      <c r="G42" s="874"/>
    </row>
    <row r="43" spans="2:7" x14ac:dyDescent="0.2">
      <c r="B43" s="163">
        <v>41</v>
      </c>
      <c r="C43" s="104" t="str">
        <f ca="1">IF(OR(Planung!$L46="",Planung!$N46=""),"Z"&amp;ROW($M46),Planung!$I46&amp;Planung!$F46)</f>
        <v>Z46</v>
      </c>
      <c r="D43" s="432">
        <f ca="1"/>
        <v>1</v>
      </c>
    </row>
    <row r="44" spans="2:7" x14ac:dyDescent="0.2">
      <c r="B44" s="163">
        <v>42</v>
      </c>
      <c r="C44" s="104" t="str">
        <f ca="1">IF(OR(Planung!$L47="",Planung!$N47=""),"Z"&amp;ROW($M47),Planung!$I47&amp;Planung!$F47)</f>
        <v>Z47</v>
      </c>
      <c r="D44" s="432">
        <f ca="1"/>
        <v>1</v>
      </c>
    </row>
    <row r="45" spans="2:7" x14ac:dyDescent="0.2">
      <c r="B45" s="163">
        <v>43</v>
      </c>
      <c r="C45" s="104" t="str">
        <f ca="1">IF(OR(Planung!$L48="",Planung!$N48=""),"Z"&amp;ROW($M48),Planung!$I48&amp;Planung!$F48)</f>
        <v>Z48</v>
      </c>
      <c r="D45" s="432">
        <f ca="1"/>
        <v>1</v>
      </c>
      <c r="G45" s="874" t="s">
        <v>253</v>
      </c>
    </row>
    <row r="46" spans="2:7" x14ac:dyDescent="0.2">
      <c r="B46" s="163">
        <v>44</v>
      </c>
      <c r="C46" s="104" t="str">
        <f ca="1">IF(OR(Planung!$L49="",Planung!$N49=""),"Z"&amp;ROW($M49),Planung!$I49&amp;Planung!$F49)</f>
        <v>Z49</v>
      </c>
      <c r="D46" s="432">
        <f ca="1"/>
        <v>1</v>
      </c>
      <c r="G46" s="874"/>
    </row>
    <row r="47" spans="2:7" x14ac:dyDescent="0.2">
      <c r="B47" s="163">
        <v>45</v>
      </c>
      <c r="C47" s="104" t="str">
        <f ca="1">IF(OR(Planung!$L50="",Planung!$N50=""),"Z"&amp;ROW($M50),Planung!$I50&amp;Planung!$F50)</f>
        <v>Z50</v>
      </c>
      <c r="D47" s="432">
        <f ca="1"/>
        <v>1</v>
      </c>
      <c r="G47" s="874" t="s">
        <v>254</v>
      </c>
    </row>
    <row r="48" spans="2:7" x14ac:dyDescent="0.2">
      <c r="B48" s="163">
        <v>46</v>
      </c>
      <c r="C48" s="104" t="str">
        <f ca="1">IF(OR(Planung!$L51="",Planung!$N51=""),"Z"&amp;ROW($M51),Planung!$I51&amp;Planung!$F51)</f>
        <v>Z51</v>
      </c>
      <c r="D48" s="425">
        <f ca="1"/>
        <v>1</v>
      </c>
      <c r="G48" s="874"/>
    </row>
    <row r="49" spans="1:7" x14ac:dyDescent="0.2">
      <c r="B49" s="163">
        <v>47</v>
      </c>
      <c r="C49" s="104" t="str">
        <f ca="1">IF(OR(Planung!$L52="",Planung!$N52=""),"Z"&amp;ROW($M52),Planung!$I52&amp;Planung!$F52)</f>
        <v>Z52</v>
      </c>
      <c r="D49" s="425">
        <f ca="1"/>
        <v>1</v>
      </c>
      <c r="G49" s="874" t="s">
        <v>255</v>
      </c>
    </row>
    <row r="50" spans="1:7" x14ac:dyDescent="0.2">
      <c r="B50" s="163">
        <v>48</v>
      </c>
      <c r="C50" s="104" t="str">
        <f ca="1">IF(OR(Planung!$L53="",Planung!$N53=""),"Z"&amp;ROW($M53),Planung!$I53&amp;Planung!$F53)</f>
        <v>Z53</v>
      </c>
      <c r="D50" s="425">
        <f ca="1"/>
        <v>1</v>
      </c>
      <c r="G50" s="874"/>
    </row>
    <row r="51" spans="1:7" x14ac:dyDescent="0.2">
      <c r="B51" s="163">
        <v>49</v>
      </c>
      <c r="C51" s="104" t="str">
        <f ca="1">IF(OR(Planung!$L54="",Planung!$N54=""),"Z"&amp;ROW($M54),Planung!$I54&amp;Planung!$F54)</f>
        <v>Z54</v>
      </c>
      <c r="D51" s="425">
        <f ca="1"/>
        <v>1</v>
      </c>
      <c r="G51" s="874" t="s">
        <v>256</v>
      </c>
    </row>
    <row r="52" spans="1:7" x14ac:dyDescent="0.2">
      <c r="B52" s="163">
        <v>50</v>
      </c>
      <c r="C52" s="104" t="str">
        <f ca="1">IF(OR(Planung!$L55="",Planung!$N55=""),"Z"&amp;ROW($M55),Planung!$I55&amp;Planung!$F55)</f>
        <v>Z55</v>
      </c>
      <c r="D52" s="425">
        <f ca="1"/>
        <v>1</v>
      </c>
      <c r="G52" s="874"/>
    </row>
    <row r="53" spans="1:7" x14ac:dyDescent="0.2">
      <c r="B53" s="163">
        <v>51</v>
      </c>
      <c r="C53" s="104" t="str">
        <f ca="1">IF(OR(Planung!$L56="",Planung!$N56=""),"Z"&amp;ROW($M56),Planung!$I56&amp;Planung!$F56)</f>
        <v>Z56</v>
      </c>
      <c r="D53" s="425">
        <f ca="1"/>
        <v>1</v>
      </c>
      <c r="G53" s="874" t="s">
        <v>257</v>
      </c>
    </row>
    <row r="54" spans="1:7" x14ac:dyDescent="0.2">
      <c r="B54" s="163">
        <v>52</v>
      </c>
      <c r="C54" s="104" t="str">
        <f ca="1">IF(OR(Planung!$L57="",Planung!$N57=""),"Z"&amp;ROW($M57),Planung!$I57&amp;Planung!$F57)</f>
        <v>Z57</v>
      </c>
      <c r="D54" s="425">
        <f ca="1"/>
        <v>1</v>
      </c>
      <c r="G54" s="874"/>
    </row>
    <row r="55" spans="1:7" x14ac:dyDescent="0.2">
      <c r="B55" s="163">
        <v>53</v>
      </c>
      <c r="C55" s="104" t="str">
        <f ca="1">IF(OR(Planung!$L58="",Planung!$N58=""),"Z"&amp;ROW($M58),Planung!$I58&amp;Planung!$F58)</f>
        <v>Z58</v>
      </c>
      <c r="D55" s="425">
        <f ca="1"/>
        <v>1</v>
      </c>
    </row>
    <row r="56" spans="1:7" x14ac:dyDescent="0.2">
      <c r="B56" s="163">
        <v>54</v>
      </c>
      <c r="C56" s="104" t="str">
        <f ca="1">IF(OR(Planung!$L59="",Planung!$N59=""),"Z"&amp;ROW($M59),Planung!$I59&amp;Planung!$F59)</f>
        <v>Z59</v>
      </c>
      <c r="D56" s="425">
        <f ca="1"/>
        <v>1</v>
      </c>
    </row>
    <row r="57" spans="1:7" x14ac:dyDescent="0.2">
      <c r="B57" s="163">
        <v>55</v>
      </c>
      <c r="C57" s="104" t="str">
        <f ca="1">IF(OR(Planung!$L60="",Planung!$N60=""),"Z"&amp;ROW($M60),Planung!$I60&amp;Planung!$F60)</f>
        <v>Z60</v>
      </c>
      <c r="D57" s="425">
        <f ca="1"/>
        <v>1</v>
      </c>
      <c r="G57" s="874" t="s">
        <v>303</v>
      </c>
    </row>
    <row r="58" spans="1:7" x14ac:dyDescent="0.2">
      <c r="B58" s="163">
        <v>56</v>
      </c>
      <c r="C58" s="104" t="str">
        <f ca="1">IF(OR(Planung!$L61="",Planung!$N61=""),"Z"&amp;ROW($M61),Planung!$I61&amp;Planung!$F61)</f>
        <v>Z61</v>
      </c>
      <c r="D58" s="425">
        <f ca="1"/>
        <v>1</v>
      </c>
      <c r="G58" s="874"/>
    </row>
    <row r="59" spans="1:7" x14ac:dyDescent="0.2">
      <c r="B59" s="163">
        <v>57</v>
      </c>
      <c r="C59" s="104" t="str">
        <f ca="1">IF(OR(Planung!$L62="",Planung!$N62=""),"Z"&amp;ROW($M62),Planung!$I62&amp;Planung!$F62)</f>
        <v>Z62</v>
      </c>
      <c r="D59" s="425">
        <f ca="1"/>
        <v>1</v>
      </c>
      <c r="G59" s="874" t="s">
        <v>304</v>
      </c>
    </row>
    <row r="60" spans="1:7" x14ac:dyDescent="0.2">
      <c r="B60" s="163">
        <v>58</v>
      </c>
      <c r="C60" s="104" t="str">
        <f ca="1">IF(OR(Planung!$L63="",Planung!$N63=""),"Z"&amp;ROW($M63),Planung!$I63&amp;Planung!$F63)</f>
        <v>Z63</v>
      </c>
      <c r="D60" s="425">
        <f ca="1"/>
        <v>1</v>
      </c>
      <c r="G60" s="874"/>
    </row>
    <row r="61" spans="1:7" x14ac:dyDescent="0.2">
      <c r="B61" s="163">
        <v>59</v>
      </c>
      <c r="C61" s="104" t="str">
        <f ca="1">IF(OR(Planung!$L64="",Planung!$N64=""),"Z"&amp;ROW($M64),Planung!$I64&amp;Planung!$F64)</f>
        <v>Z64</v>
      </c>
      <c r="D61" s="425">
        <f ca="1"/>
        <v>1</v>
      </c>
      <c r="G61" s="874" t="s">
        <v>305</v>
      </c>
    </row>
    <row r="62" spans="1:7" ht="13.5" thickBot="1" x14ac:dyDescent="0.25">
      <c r="A62" s="543"/>
      <c r="B62" s="544">
        <v>60</v>
      </c>
      <c r="C62" s="545" t="str">
        <f ca="1">IF(OR(Planung!$L65="",Planung!$N65=""),"Z"&amp;ROW($M65),Planung!$I65&amp;Planung!$F65)</f>
        <v>Z65</v>
      </c>
      <c r="D62" s="425">
        <f ca="1"/>
        <v>1</v>
      </c>
      <c r="G62" s="874"/>
    </row>
    <row r="63" spans="1:7" x14ac:dyDescent="0.2">
      <c r="B63" s="163">
        <v>61</v>
      </c>
      <c r="C63" s="428" t="str">
        <f ca="1">IF(OR(Planung!$L6="",Planung!$N6=""),"ZZ"&amp;ROW($M6)+45,Planung!$K6&amp;Planung!$F6)</f>
        <v>A20,375</v>
      </c>
      <c r="D63" s="425">
        <f ca="1"/>
        <v>1</v>
      </c>
      <c r="G63" s="874" t="s">
        <v>306</v>
      </c>
    </row>
    <row r="64" spans="1:7" x14ac:dyDescent="0.2">
      <c r="B64" s="163">
        <v>62</v>
      </c>
      <c r="C64" s="428" t="str">
        <f ca="1">IF(OR(Planung!$L7="",Planung!$N7=""),"ZZ"&amp;ROW($M7)+45,Planung!$K7&amp;Planung!$F7)</f>
        <v>B20,375</v>
      </c>
      <c r="D64" s="425">
        <f ca="1"/>
        <v>1</v>
      </c>
      <c r="G64" s="874"/>
    </row>
    <row r="65" spans="2:7" x14ac:dyDescent="0.2">
      <c r="B65" s="163">
        <v>63</v>
      </c>
      <c r="C65" s="428" t="str">
        <f ca="1">IF(OR(Planung!$L8="",Planung!$N8=""),"ZZ"&amp;ROW($M8)+45,Planung!$K8&amp;Planung!$F8)</f>
        <v>C20,375</v>
      </c>
      <c r="D65" s="425">
        <f ca="1"/>
        <v>1</v>
      </c>
      <c r="G65" s="874" t="s">
        <v>307</v>
      </c>
    </row>
    <row r="66" spans="2:7" x14ac:dyDescent="0.2">
      <c r="B66" s="163">
        <v>64</v>
      </c>
      <c r="C66" s="428" t="str">
        <f ca="1">IF(OR(Planung!$L9="",Planung!$N9=""),"ZZ"&amp;ROW($M9)+45,Planung!$K9&amp;Planung!$F9)</f>
        <v>D20,375</v>
      </c>
      <c r="D66" s="425">
        <f ca="1"/>
        <v>1</v>
      </c>
      <c r="G66" s="874"/>
    </row>
    <row r="67" spans="2:7" x14ac:dyDescent="0.2">
      <c r="B67" s="163">
        <v>65</v>
      </c>
      <c r="C67" s="428" t="str">
        <f ca="1">IF(OR(Planung!$L10="",Planung!$N10=""),"ZZ"&amp;ROW($M10)+45,Planung!$K10&amp;Planung!$F10)</f>
        <v>A40,399305555555556</v>
      </c>
      <c r="D67" s="425">
        <f ca="1"/>
        <v>1</v>
      </c>
    </row>
    <row r="68" spans="2:7" x14ac:dyDescent="0.2">
      <c r="B68" s="163">
        <v>66</v>
      </c>
      <c r="C68" s="428" t="str">
        <f ca="1">IF(OR(Planung!$L11="",Planung!$N11=""),"ZZ"&amp;ROW($M11)+45,Planung!$K11&amp;Planung!$F11)</f>
        <v>B40,399305555555556</v>
      </c>
      <c r="D68" s="425">
        <f ca="1"/>
        <v>1</v>
      </c>
    </row>
    <row r="69" spans="2:7" x14ac:dyDescent="0.2">
      <c r="B69" s="163">
        <v>67</v>
      </c>
      <c r="C69" s="428" t="str">
        <f ca="1">IF(OR(Planung!$L12="",Planung!$N12=""),"ZZ"&amp;ROW($M12)+45,Planung!$K12&amp;Planung!$F12)</f>
        <v>C40,399305555555556</v>
      </c>
      <c r="D69" s="425">
        <f ca="1"/>
        <v>1</v>
      </c>
    </row>
    <row r="70" spans="2:7" x14ac:dyDescent="0.2">
      <c r="B70" s="163">
        <v>68</v>
      </c>
      <c r="C70" s="428" t="str">
        <f ca="1">IF(OR(Planung!$L13="",Planung!$N13=""),"ZZ"&amp;ROW($M13)+45,Planung!$K13&amp;Planung!$F13)</f>
        <v>D40,399305555555556</v>
      </c>
      <c r="D70" s="425">
        <f ca="1"/>
        <v>1</v>
      </c>
    </row>
    <row r="71" spans="2:7" x14ac:dyDescent="0.2">
      <c r="B71" s="163">
        <v>69</v>
      </c>
      <c r="C71" s="428" t="str">
        <f ca="1">IF(OR(Planung!$L14="",Planung!$N14=""),"ZZ"&amp;ROW($M14)+45,Planung!$K14&amp;Planung!$F14)</f>
        <v>A10,423611111111111</v>
      </c>
      <c r="D71" s="425">
        <f ca="1"/>
        <v>1</v>
      </c>
    </row>
    <row r="72" spans="2:7" x14ac:dyDescent="0.2">
      <c r="B72" s="163">
        <v>70</v>
      </c>
      <c r="C72" s="428" t="str">
        <f ca="1">IF(OR(Planung!$L15="",Planung!$N15=""),"ZZ"&amp;ROW($M15)+45,Planung!$K15&amp;Planung!$F15)</f>
        <v>B10,423611111111111</v>
      </c>
      <c r="D72" s="425">
        <f ca="1"/>
        <v>1</v>
      </c>
    </row>
    <row r="73" spans="2:7" x14ac:dyDescent="0.2">
      <c r="B73" s="163">
        <v>71</v>
      </c>
      <c r="C73" s="428" t="str">
        <f ca="1">IF(OR(Planung!$L16="",Planung!$N16=""),"ZZ"&amp;ROW($M16)+45,Planung!$K16&amp;Planung!$F16)</f>
        <v>C10,423611111111111</v>
      </c>
      <c r="D73" s="425">
        <f ca="1"/>
        <v>1</v>
      </c>
    </row>
    <row r="74" spans="2:7" x14ac:dyDescent="0.2">
      <c r="B74" s="163">
        <v>72</v>
      </c>
      <c r="C74" s="428" t="str">
        <f ca="1">IF(OR(Planung!$L17="",Planung!$N17=""),"ZZ"&amp;ROW($M17)+45,Planung!$K17&amp;Planung!$F17)</f>
        <v>D10,423611111111111</v>
      </c>
      <c r="D74" s="425">
        <f ca="1"/>
        <v>1</v>
      </c>
    </row>
    <row r="75" spans="2:7" x14ac:dyDescent="0.2">
      <c r="B75" s="163">
        <v>73</v>
      </c>
      <c r="C75" s="428" t="str">
        <f ca="1">IF(OR(Planung!$L18="",Planung!$N18=""),"ZZ"&amp;ROW($M18)+45,Planung!$K18&amp;Planung!$F18)</f>
        <v>A30,447916666666667</v>
      </c>
      <c r="D75" s="425">
        <f ca="1"/>
        <v>1</v>
      </c>
    </row>
    <row r="76" spans="2:7" x14ac:dyDescent="0.2">
      <c r="B76" s="163">
        <v>74</v>
      </c>
      <c r="C76" s="428" t="str">
        <f ca="1">IF(OR(Planung!$L19="",Planung!$N19=""),"ZZ"&amp;ROW($M19)+45,Planung!$K19&amp;Planung!$F19)</f>
        <v>B30,447916666666667</v>
      </c>
      <c r="D76" s="425">
        <f ca="1"/>
        <v>1</v>
      </c>
    </row>
    <row r="77" spans="2:7" x14ac:dyDescent="0.2">
      <c r="B77" s="163">
        <v>75</v>
      </c>
      <c r="C77" s="428" t="str">
        <f ca="1">IF(OR(Planung!$L20="",Planung!$N20=""),"ZZ"&amp;ROW($M20)+45,Planung!$K20&amp;Planung!$F20)</f>
        <v>C30,447916666666667</v>
      </c>
      <c r="D77" s="425">
        <f ca="1"/>
        <v>1</v>
      </c>
    </row>
    <row r="78" spans="2:7" x14ac:dyDescent="0.2">
      <c r="B78" s="163">
        <v>76</v>
      </c>
      <c r="C78" s="428" t="str">
        <f ca="1">IF(OR(Planung!$L21="",Planung!$N21=""),"ZZ"&amp;ROW($M21)+45,Planung!$K21&amp;Planung!$F21)</f>
        <v>D30,447916666666667</v>
      </c>
      <c r="D78" s="425">
        <f ca="1"/>
        <v>1</v>
      </c>
    </row>
    <row r="79" spans="2:7" x14ac:dyDescent="0.2">
      <c r="B79" s="163">
        <v>77</v>
      </c>
      <c r="C79" s="428" t="str">
        <f ca="1">IF(OR(Planung!$L22="",Planung!$N22=""),"ZZ"&amp;ROW($M22)+45,Planung!$K22&amp;Planung!$F22)</f>
        <v>A40,472222222222222</v>
      </c>
      <c r="D79" s="425">
        <f ca="1"/>
        <v>1</v>
      </c>
    </row>
    <row r="80" spans="2:7" x14ac:dyDescent="0.2">
      <c r="B80" s="163">
        <v>78</v>
      </c>
      <c r="C80" s="428" t="str">
        <f ca="1">IF(OR(Planung!$L23="",Planung!$N23=""),"ZZ"&amp;ROW($M23)+45,Planung!$K23&amp;Planung!$F23)</f>
        <v>B40,472222222222222</v>
      </c>
      <c r="D80" s="425">
        <f ca="1"/>
        <v>1</v>
      </c>
    </row>
    <row r="81" spans="2:4" x14ac:dyDescent="0.2">
      <c r="B81" s="163">
        <v>79</v>
      </c>
      <c r="C81" s="428" t="str">
        <f ca="1">IF(OR(Planung!$L24="",Planung!$N24=""),"ZZ"&amp;ROW($M24)+45,Planung!$K24&amp;Planung!$F24)</f>
        <v>C40,472222222222222</v>
      </c>
      <c r="D81" s="425">
        <f ca="1"/>
        <v>1</v>
      </c>
    </row>
    <row r="82" spans="2:4" x14ac:dyDescent="0.2">
      <c r="B82" s="163">
        <v>80</v>
      </c>
      <c r="C82" s="428" t="str">
        <f ca="1">IF(OR(Planung!$L25="",Planung!$N25=""),"ZZ"&amp;ROW($M25)+45,Planung!$K25&amp;Planung!$F25)</f>
        <v>D40,472222222222222</v>
      </c>
      <c r="D82" s="425">
        <f ca="1"/>
        <v>1</v>
      </c>
    </row>
    <row r="83" spans="2:4" x14ac:dyDescent="0.2">
      <c r="B83" s="163">
        <v>81</v>
      </c>
      <c r="C83" s="428" t="str">
        <f ca="1">IF(OR(Planung!$L26="",Planung!$N26=""),"ZZ"&amp;ROW($M26)+45,Planung!$K26&amp;Planung!$F26)</f>
        <v>A50,496527777777778</v>
      </c>
      <c r="D83" s="425">
        <f ca="1"/>
        <v>1</v>
      </c>
    </row>
    <row r="84" spans="2:4" x14ac:dyDescent="0.2">
      <c r="B84" s="163">
        <v>82</v>
      </c>
      <c r="C84" s="428" t="str">
        <f ca="1">IF(OR(Planung!$L27="",Planung!$N27=""),"ZZ"&amp;ROW($M27)+45,Planung!$K27&amp;Planung!$F27)</f>
        <v>B50,496527777777778</v>
      </c>
      <c r="D84" s="425">
        <f ca="1"/>
        <v>1</v>
      </c>
    </row>
    <row r="85" spans="2:4" x14ac:dyDescent="0.2">
      <c r="B85" s="163">
        <v>83</v>
      </c>
      <c r="C85" s="428" t="str">
        <f ca="1">IF(OR(Planung!$L28="",Planung!$N28=""),"ZZ"&amp;ROW($M28)+45,Planung!$K28&amp;Planung!$F28)</f>
        <v>C50,496527777777778</v>
      </c>
      <c r="D85" s="425">
        <f ca="1"/>
        <v>1</v>
      </c>
    </row>
    <row r="86" spans="2:4" x14ac:dyDescent="0.2">
      <c r="B86" s="163">
        <v>84</v>
      </c>
      <c r="C86" s="428" t="str">
        <f ca="1">IF(OR(Planung!$L29="",Planung!$N29=""),"ZZ"&amp;ROW($M29)+45,Planung!$K29&amp;Planung!$F29)</f>
        <v>D50,496527777777778</v>
      </c>
      <c r="D86" s="425">
        <f ca="1"/>
        <v>1</v>
      </c>
    </row>
    <row r="87" spans="2:4" x14ac:dyDescent="0.2">
      <c r="B87" s="163">
        <v>85</v>
      </c>
      <c r="C87" s="428" t="str">
        <f ca="1">IF(OR(Planung!$L30="",Planung!$N30=""),"ZZ"&amp;ROW($M30)+45,Planung!$K30&amp;Planung!$F30)</f>
        <v>A40,520833333333333</v>
      </c>
      <c r="D87" s="425">
        <f ca="1"/>
        <v>1</v>
      </c>
    </row>
    <row r="88" spans="2:4" x14ac:dyDescent="0.2">
      <c r="B88" s="163">
        <v>86</v>
      </c>
      <c r="C88" s="428" t="str">
        <f ca="1">IF(OR(Planung!$L31="",Planung!$N31=""),"ZZ"&amp;ROW($M31)+45,Planung!$K31&amp;Planung!$F31)</f>
        <v>B40,520833333333333</v>
      </c>
      <c r="D88" s="425">
        <f ca="1"/>
        <v>1</v>
      </c>
    </row>
    <row r="89" spans="2:4" x14ac:dyDescent="0.2">
      <c r="B89" s="163">
        <v>87</v>
      </c>
      <c r="C89" s="428" t="str">
        <f ca="1">IF(OR(Planung!$L32="",Planung!$N32=""),"ZZ"&amp;ROW($M32)+45,Planung!$K32&amp;Planung!$F32)</f>
        <v>C40,520833333333333</v>
      </c>
      <c r="D89" s="425">
        <f ca="1"/>
        <v>1</v>
      </c>
    </row>
    <row r="90" spans="2:4" x14ac:dyDescent="0.2">
      <c r="B90" s="163">
        <v>88</v>
      </c>
      <c r="C90" s="428" t="str">
        <f ca="1">IF(OR(Planung!$L33="",Planung!$N33=""),"ZZ"&amp;ROW($M33)+45,Planung!$K33&amp;Planung!$F33)</f>
        <v>D40,520833333333333</v>
      </c>
      <c r="D90" s="425">
        <f ca="1"/>
        <v>1</v>
      </c>
    </row>
    <row r="91" spans="2:4" x14ac:dyDescent="0.2">
      <c r="B91" s="163">
        <v>89</v>
      </c>
      <c r="C91" s="428" t="str">
        <f ca="1">IF(OR(Planung!$L34="",Planung!$N34=""),"ZZ"&amp;ROW($M34)+45,Planung!$K34&amp;Planung!$F34)</f>
        <v>A10,545138888888889</v>
      </c>
      <c r="D91" s="425">
        <f ca="1"/>
        <v>1</v>
      </c>
    </row>
    <row r="92" spans="2:4" x14ac:dyDescent="0.2">
      <c r="B92" s="163">
        <v>90</v>
      </c>
      <c r="C92" s="428" t="str">
        <f ca="1">IF(OR(Planung!$L35="",Planung!$N35=""),"ZZ"&amp;ROW($M35)+45,Planung!$K35&amp;Planung!$F35)</f>
        <v>B10,545138888888889</v>
      </c>
      <c r="D92" s="425">
        <f ca="1"/>
        <v>1</v>
      </c>
    </row>
    <row r="93" spans="2:4" x14ac:dyDescent="0.2">
      <c r="B93" s="163">
        <v>91</v>
      </c>
      <c r="C93" s="428" t="str">
        <f ca="1">IF(OR(Planung!$L36="",Planung!$N36=""),"ZZ"&amp;ROW($M36)+45,Planung!$K36&amp;Planung!$F36)</f>
        <v>C10,545138888888889</v>
      </c>
      <c r="D93" s="425">
        <f ca="1"/>
        <v>1</v>
      </c>
    </row>
    <row r="94" spans="2:4" x14ac:dyDescent="0.2">
      <c r="B94" s="163">
        <v>92</v>
      </c>
      <c r="C94" s="428" t="str">
        <f ca="1">IF(OR(Planung!$L37="",Planung!$N37=""),"ZZ"&amp;ROW($M37)+45,Planung!$K37&amp;Planung!$F37)</f>
        <v>D10,545138888888889</v>
      </c>
      <c r="D94" s="425">
        <f ca="1"/>
        <v>1</v>
      </c>
    </row>
    <row r="95" spans="2:4" x14ac:dyDescent="0.2">
      <c r="B95" s="163">
        <v>93</v>
      </c>
      <c r="C95" s="428" t="str">
        <f ca="1">IF(OR(Planung!$L38="",Planung!$N38=""),"ZZ"&amp;ROW($M38)+45,Planung!$K38&amp;Planung!$F38)</f>
        <v>A50,569444444444444</v>
      </c>
      <c r="D95" s="425">
        <f ca="1"/>
        <v>1</v>
      </c>
    </row>
    <row r="96" spans="2:4" x14ac:dyDescent="0.2">
      <c r="B96" s="163">
        <v>94</v>
      </c>
      <c r="C96" s="428" t="str">
        <f ca="1">IF(OR(Planung!$L39="",Planung!$N39=""),"ZZ"&amp;ROW($M39)+45,Planung!$K39&amp;Planung!$F39)</f>
        <v>B50,569444444444444</v>
      </c>
      <c r="D96" s="425">
        <f ca="1"/>
        <v>1</v>
      </c>
    </row>
    <row r="97" spans="2:4" x14ac:dyDescent="0.2">
      <c r="B97" s="163">
        <v>95</v>
      </c>
      <c r="C97" s="428" t="str">
        <f ca="1">IF(OR(Planung!$L40="",Planung!$N40=""),"ZZ"&amp;ROW($M40)+45,Planung!$K40&amp;Planung!$F40)</f>
        <v>C50,569444444444444</v>
      </c>
      <c r="D97" s="425">
        <f ca="1"/>
        <v>1</v>
      </c>
    </row>
    <row r="98" spans="2:4" x14ac:dyDescent="0.2">
      <c r="B98" s="163">
        <v>96</v>
      </c>
      <c r="C98" s="428" t="str">
        <f ca="1">IF(OR(Planung!$L41="",Planung!$N41=""),"ZZ"&amp;ROW($M41)+45,Planung!$K41&amp;Planung!$F41)</f>
        <v>D50,569444444444444</v>
      </c>
      <c r="D98" s="425">
        <f ca="1"/>
        <v>1</v>
      </c>
    </row>
    <row r="99" spans="2:4" x14ac:dyDescent="0.2">
      <c r="B99" s="163">
        <v>97</v>
      </c>
      <c r="C99" s="428" t="str">
        <f ca="1">IF(OR(Planung!$L42="",Planung!$N42=""),"ZZ"&amp;ROW($M42)+45,Planung!$K42&amp;Planung!$F42)</f>
        <v>A20,59375</v>
      </c>
      <c r="D99" s="425">
        <f ca="1"/>
        <v>1</v>
      </c>
    </row>
    <row r="100" spans="2:4" x14ac:dyDescent="0.2">
      <c r="B100" s="163">
        <v>98</v>
      </c>
      <c r="C100" s="428" t="str">
        <f ca="1">IF(OR(Planung!$L43="",Planung!$N43=""),"ZZ"&amp;ROW($M43)+45,Planung!$K43&amp;Planung!$F43)</f>
        <v>B20,59375</v>
      </c>
      <c r="D100" s="425">
        <f ca="1"/>
        <v>1</v>
      </c>
    </row>
    <row r="101" spans="2:4" x14ac:dyDescent="0.2">
      <c r="B101" s="163">
        <v>99</v>
      </c>
      <c r="C101" s="428" t="str">
        <f ca="1">IF(OR(Planung!$L44="",Planung!$N44=""),"ZZ"&amp;ROW($M44)+45,Planung!$K44&amp;Planung!$F44)</f>
        <v>C20,59375</v>
      </c>
      <c r="D101" s="425">
        <f ca="1"/>
        <v>1</v>
      </c>
    </row>
    <row r="102" spans="2:4" x14ac:dyDescent="0.2">
      <c r="B102" s="163">
        <v>100</v>
      </c>
      <c r="C102" s="428" t="str">
        <f ca="1">IF(OR(Planung!$L45="",Planung!$N45=""),"ZZ"&amp;ROW($M45)+45,Planung!$K45&amp;Planung!$F45)</f>
        <v>D20,59375</v>
      </c>
      <c r="D102" s="425">
        <f ca="1"/>
        <v>1</v>
      </c>
    </row>
    <row r="103" spans="2:4" x14ac:dyDescent="0.2">
      <c r="B103" s="163">
        <v>101</v>
      </c>
      <c r="C103" s="428" t="str">
        <f ca="1">IF(OR(Planung!$L46="",Planung!$N46=""),"ZZ"&amp;ROW($M46)+45,Planung!$K46&amp;Planung!$F46)</f>
        <v>ZZ91</v>
      </c>
      <c r="D103" s="425">
        <f ca="1"/>
        <v>1</v>
      </c>
    </row>
    <row r="104" spans="2:4" x14ac:dyDescent="0.2">
      <c r="B104" s="163">
        <v>102</v>
      </c>
      <c r="C104" s="428" t="str">
        <f ca="1">IF(OR(Planung!$L47="",Planung!$N47=""),"ZZ"&amp;ROW($M47)+45,Planung!$K47&amp;Planung!$F47)</f>
        <v>ZZ92</v>
      </c>
      <c r="D104" s="425">
        <f ca="1"/>
        <v>1</v>
      </c>
    </row>
    <row r="105" spans="2:4" x14ac:dyDescent="0.2">
      <c r="B105" s="163">
        <v>103</v>
      </c>
      <c r="C105" s="428" t="str">
        <f ca="1">IF(OR(Planung!$L48="",Planung!$N48=""),"ZZ"&amp;ROW($M48)+45,Planung!$K48&amp;Planung!$F48)</f>
        <v>ZZ93</v>
      </c>
      <c r="D105" s="425">
        <f ca="1"/>
        <v>1</v>
      </c>
    </row>
    <row r="106" spans="2:4" x14ac:dyDescent="0.2">
      <c r="B106" s="163">
        <v>104</v>
      </c>
      <c r="C106" s="428" t="str">
        <f ca="1">IF(OR(Planung!$L49="",Planung!$N49=""),"ZZ"&amp;ROW($M49)+45,Planung!$K49&amp;Planung!$F49)</f>
        <v>ZZ94</v>
      </c>
      <c r="D106" s="425">
        <f ca="1"/>
        <v>1</v>
      </c>
    </row>
    <row r="107" spans="2:4" x14ac:dyDescent="0.2">
      <c r="B107" s="163">
        <v>105</v>
      </c>
      <c r="C107" s="428" t="str">
        <f ca="1">IF(OR(Planung!$L50="",Planung!$N50=""),"ZZ"&amp;ROW($M50)+45,Planung!$K50&amp;Planung!$F50)</f>
        <v>ZZ95</v>
      </c>
      <c r="D107" s="425">
        <f ca="1"/>
        <v>1</v>
      </c>
    </row>
    <row r="108" spans="2:4" x14ac:dyDescent="0.2">
      <c r="B108" s="163">
        <v>106</v>
      </c>
      <c r="C108" s="428" t="str">
        <f ca="1">IF(OR(Planung!$L51="",Planung!$N51=""),"ZZ"&amp;ROW($M51)+45,Planung!$K51&amp;Planung!$F51)</f>
        <v>ZZ96</v>
      </c>
      <c r="D108" s="425">
        <f ca="1"/>
        <v>1</v>
      </c>
    </row>
    <row r="109" spans="2:4" x14ac:dyDescent="0.2">
      <c r="B109" s="163">
        <v>107</v>
      </c>
      <c r="C109" s="428" t="str">
        <f ca="1">IF(OR(Planung!$L52="",Planung!$N52=""),"ZZ"&amp;ROW($M52)+45,Planung!$K52&amp;Planung!$F52)</f>
        <v>ZZ97</v>
      </c>
      <c r="D109" s="425">
        <f ca="1"/>
        <v>1</v>
      </c>
    </row>
    <row r="110" spans="2:4" x14ac:dyDescent="0.2">
      <c r="B110" s="163">
        <v>108</v>
      </c>
      <c r="C110" s="428" t="str">
        <f ca="1">IF(OR(Planung!$L53="",Planung!$N53=""),"ZZ"&amp;ROW($M53)+45,Planung!$K53&amp;Planung!$F53)</f>
        <v>ZZ98</v>
      </c>
      <c r="D110" s="425">
        <f ca="1"/>
        <v>1</v>
      </c>
    </row>
    <row r="111" spans="2:4" x14ac:dyDescent="0.2">
      <c r="B111" s="163">
        <v>109</v>
      </c>
      <c r="C111" s="428" t="str">
        <f ca="1">IF(OR(Planung!$L54="",Planung!$N54=""),"ZZ"&amp;ROW($M54)+45,Planung!$K54&amp;Planung!$F54)</f>
        <v>ZZ99</v>
      </c>
      <c r="D111" s="425">
        <f ca="1"/>
        <v>1</v>
      </c>
    </row>
    <row r="112" spans="2:4" x14ac:dyDescent="0.2">
      <c r="B112" s="163">
        <v>110</v>
      </c>
      <c r="C112" s="428" t="str">
        <f ca="1">IF(OR(Planung!$L55="",Planung!$N55=""),"ZZ"&amp;ROW($M55)+45,Planung!$K55&amp;Planung!$F55)</f>
        <v>ZZ100</v>
      </c>
      <c r="D112" s="425">
        <f ca="1"/>
        <v>1</v>
      </c>
    </row>
    <row r="113" spans="2:4" x14ac:dyDescent="0.2">
      <c r="B113" s="163">
        <v>111</v>
      </c>
      <c r="C113" s="428" t="str">
        <f ca="1">IF(OR(Planung!$L56="",Planung!$N56=""),"ZZ"&amp;ROW($M56)+45,Planung!$K56&amp;Planung!$F56)</f>
        <v>ZZ101</v>
      </c>
      <c r="D113" s="425">
        <f ca="1"/>
        <v>1</v>
      </c>
    </row>
    <row r="114" spans="2:4" x14ac:dyDescent="0.2">
      <c r="B114" s="163">
        <v>112</v>
      </c>
      <c r="C114" s="428" t="str">
        <f ca="1">IF(OR(Planung!$L57="",Planung!$N57=""),"ZZ"&amp;ROW($M57)+45,Planung!$K57&amp;Planung!$F57)</f>
        <v>ZZ102</v>
      </c>
      <c r="D114" s="425">
        <f ca="1"/>
        <v>1</v>
      </c>
    </row>
    <row r="115" spans="2:4" x14ac:dyDescent="0.2">
      <c r="B115" s="163">
        <v>113</v>
      </c>
      <c r="C115" s="428" t="str">
        <f ca="1">IF(OR(Planung!$L58="",Planung!$N58=""),"ZZ"&amp;ROW($M58)+45,Planung!$K58&amp;Planung!$F58)</f>
        <v>ZZ103</v>
      </c>
      <c r="D115" s="425">
        <f ca="1"/>
        <v>1</v>
      </c>
    </row>
    <row r="116" spans="2:4" x14ac:dyDescent="0.2">
      <c r="B116" s="163">
        <v>114</v>
      </c>
      <c r="C116" s="428" t="str">
        <f ca="1">IF(OR(Planung!$L59="",Planung!$N59=""),"ZZ"&amp;ROW($M59)+45,Planung!$K59&amp;Planung!$F59)</f>
        <v>ZZ104</v>
      </c>
      <c r="D116" s="425">
        <f ca="1"/>
        <v>1</v>
      </c>
    </row>
    <row r="117" spans="2:4" x14ac:dyDescent="0.2">
      <c r="B117" s="163">
        <v>115</v>
      </c>
      <c r="C117" s="428" t="str">
        <f ca="1">IF(OR(Planung!$L60="",Planung!$N60=""),"ZZ"&amp;ROW($M60)+45,Planung!$K60&amp;Planung!$F60)</f>
        <v>ZZ105</v>
      </c>
      <c r="D117" s="425">
        <f ca="1"/>
        <v>1</v>
      </c>
    </row>
    <row r="118" spans="2:4" x14ac:dyDescent="0.2">
      <c r="B118" s="163">
        <v>116</v>
      </c>
      <c r="C118" s="428" t="str">
        <f ca="1">IF(OR(Planung!$L61="",Planung!$N61=""),"ZZ"&amp;ROW($M61)+45,Planung!$K61&amp;Planung!$F61)</f>
        <v>ZZ106</v>
      </c>
      <c r="D118" s="425">
        <f ca="1"/>
        <v>1</v>
      </c>
    </row>
    <row r="119" spans="2:4" x14ac:dyDescent="0.2">
      <c r="B119" s="163">
        <v>117</v>
      </c>
      <c r="C119" s="428" t="str">
        <f ca="1">IF(OR(Planung!$L62="",Planung!$N62=""),"ZZ"&amp;ROW($M62)+45,Planung!$K62&amp;Planung!$F62)</f>
        <v>ZZ107</v>
      </c>
      <c r="D119" s="425">
        <f ca="1"/>
        <v>1</v>
      </c>
    </row>
    <row r="120" spans="2:4" x14ac:dyDescent="0.2">
      <c r="B120" s="163">
        <v>118</v>
      </c>
      <c r="C120" s="428" t="str">
        <f ca="1">IF(OR(Planung!$L63="",Planung!$N63=""),"ZZ"&amp;ROW($M63)+45,Planung!$K63&amp;Planung!$F63)</f>
        <v>ZZ108</v>
      </c>
      <c r="D120" s="425">
        <f ca="1"/>
        <v>1</v>
      </c>
    </row>
    <row r="121" spans="2:4" x14ac:dyDescent="0.2">
      <c r="B121" s="163">
        <v>119</v>
      </c>
      <c r="C121" s="428" t="str">
        <f ca="1">IF(OR(Planung!$L64="",Planung!$N64=""),"ZZ"&amp;ROW($M64)+45,Planung!$K64&amp;Planung!$F64)</f>
        <v>ZZ109</v>
      </c>
      <c r="D121" s="425">
        <f ca="1"/>
        <v>1</v>
      </c>
    </row>
    <row r="122" spans="2:4" x14ac:dyDescent="0.2">
      <c r="B122" s="163">
        <v>120</v>
      </c>
      <c r="C122" s="428" t="str">
        <f ca="1">IF(OR(Planung!$L65="",Planung!$N65=""),"ZZ"&amp;ROW($M65)+45,Planung!$K65&amp;Planung!$F65)</f>
        <v>ZZ110</v>
      </c>
      <c r="D122" s="425">
        <f ca="1"/>
        <v>1</v>
      </c>
    </row>
  </sheetData>
  <mergeCells count="20">
    <mergeCell ref="G57:G58"/>
    <mergeCell ref="G59:G60"/>
    <mergeCell ref="G61:G62"/>
    <mergeCell ref="G63:G64"/>
    <mergeCell ref="G65:G66"/>
    <mergeCell ref="G49:G50"/>
    <mergeCell ref="G51:G52"/>
    <mergeCell ref="G53:G54"/>
    <mergeCell ref="G35:G36"/>
    <mergeCell ref="G37:G38"/>
    <mergeCell ref="G39:G40"/>
    <mergeCell ref="G41:G42"/>
    <mergeCell ref="G45:G46"/>
    <mergeCell ref="G47:G48"/>
    <mergeCell ref="G33:G34"/>
    <mergeCell ref="G21:G22"/>
    <mergeCell ref="G23:G24"/>
    <mergeCell ref="G25:G26"/>
    <mergeCell ref="G27:G28"/>
    <mergeCell ref="G29:G30"/>
  </mergeCells>
  <conditionalFormatting sqref="G2">
    <cfRule type="expression" dxfId="42" priority="8">
      <formula>G2="FEHLER"</formula>
    </cfRule>
  </conditionalFormatting>
  <conditionalFormatting sqref="C3:C122">
    <cfRule type="duplicateValues" dxfId="41" priority="5"/>
  </conditionalFormatting>
  <conditionalFormatting sqref="E3">
    <cfRule type="expression" dxfId="40" priority="2">
      <formula>$E$3&gt;0</formula>
    </cfRule>
  </conditionalFormatting>
  <conditionalFormatting sqref="E4">
    <cfRule type="expression" dxfId="39" priority="1">
      <formula>$E$4&gt;0</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9F77-442E-4267-938A-4E7039E90926}">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368</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446</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1">
        <f ca="1">IF($O$4&lt;10,$O$4,0)</f>
        <v>0</v>
      </c>
      <c r="X3" s="1032"/>
      <c r="Y3" s="1032"/>
      <c r="Z3" s="1032"/>
      <c r="AA3" s="1032"/>
      <c r="AB3" s="1031">
        <f ca="1">IF($P$4&lt;10,$P$4,0)</f>
        <v>0</v>
      </c>
      <c r="AC3" s="1032"/>
      <c r="AD3" s="1032"/>
      <c r="AE3" s="1032"/>
      <c r="AF3" s="1032"/>
      <c r="AG3" s="1031">
        <f ca="1">IF($Q$4&lt;10,$Q$4,0)</f>
        <v>0</v>
      </c>
      <c r="AH3" s="1032"/>
      <c r="AI3" s="1032"/>
      <c r="AJ3" s="1032"/>
      <c r="AK3" s="1032"/>
      <c r="AL3" s="1031">
        <f ca="1">IF($R$4&lt;10,$R$4,0)</f>
        <v>0</v>
      </c>
      <c r="AM3" s="1032"/>
      <c r="AN3" s="1032"/>
      <c r="AO3" s="1032"/>
      <c r="AP3" s="1032"/>
      <c r="AS3" s="27" t="s">
        <v>415</v>
      </c>
      <c r="AT3" s="27" t="s">
        <v>371</v>
      </c>
      <c r="AU3" s="27" t="s">
        <v>448</v>
      </c>
      <c r="AV3" s="27" t="s">
        <v>414</v>
      </c>
      <c r="AW3" s="27"/>
      <c r="AX3" s="27" t="s">
        <v>449</v>
      </c>
    </row>
    <row r="4" spans="1:50" s="2" customFormat="1" ht="12.75" thickTop="1" x14ac:dyDescent="0.2">
      <c r="A4" s="238"/>
      <c r="B4" s="1">
        <v>1</v>
      </c>
      <c r="C4" s="21">
        <f ca="1">RANK(D4,$D$4:$D$12,1)</f>
        <v>1</v>
      </c>
      <c r="D4" s="778">
        <f ca="1">E4+ROW()/1000+(F4="")*10</f>
        <v>1.004</v>
      </c>
      <c r="E4" s="249">
        <f ca="1">IF($AI$15,RANK(AH17,AH$17:AH$25,1),RANK(X17,X$17:X$25,1))</f>
        <v>1</v>
      </c>
      <c r="F4" s="1" t="str">
        <f>$Q64</f>
        <v>TSG Saalberg eV</v>
      </c>
      <c r="G4" s="1">
        <f t="shared" ref="G4:G12" ca="1" si="1">SUMIFS($X$64:$X$135,$V$64:$V$135,$F4)+SUMIFS($Y$64:$Y$135,$W$64:$W$135,$F4)+SUMIFS($AD$64:$AD$135,$V$64:$V$135,$F4)+SUMIFS($AE$64:$AE$135,$W$64:$W$135,$F4)</f>
        <v>188</v>
      </c>
      <c r="H4" s="1">
        <f t="shared" ref="H4:H12" ca="1" si="2">SUMIFS($Y$64:$Y$135,$V$64:$V$135,$F4)+SUMIFS($X$64:$X$135,$W$64:$W$135,$F4)+SUMIFS($AE$64:$AE$135,$V$64:$V$135,$F4)+SUMIFS($AD$64:$AD$135,$W$64:$W$135,$F4)</f>
        <v>156</v>
      </c>
      <c r="I4" s="778">
        <f ca="1">IF(Einstellungen!$G$24,G4-H4,IF(H4=0,IF(G4=0,0,Einstellungen!$F$24),G4/H4))</f>
        <v>32</v>
      </c>
      <c r="J4" s="1">
        <f ca="1">$L4*Einstellungen!$C$4+$M4</f>
        <v>6</v>
      </c>
      <c r="K4" s="1">
        <f ca="1">SUMPRODUCT(($V$64:$V$135=F4)*($AJ$64:$AJ$135&lt;&gt;"")*$AA$64:$AA$135)+SUMPRODUCT(($W$64:$W$135=F4)*($AK$64:$AK$135&lt;&gt;"")*$AA$64:$AA$135)</f>
        <v>4</v>
      </c>
      <c r="L4" s="1">
        <f ca="1">SUMPRODUCT(($V$64:$V$135=F4)*($AJ$64:$AJ$135&gt;$AK$64:$AK$135)*$AA$64:$AA$135)+SUMPRODUCT(($W$64:$W$135=F4)*($AJ$64:$AJ$135&lt;$AK$64:$AK$135)*$AA$64:$AA$135)</f>
        <v>2</v>
      </c>
      <c r="M4" s="1">
        <f t="shared" ref="M4:M12" ca="1" si="3">SUMPRODUCT(($V$64:$W$135=F4)*($AJ$64:$AJ$135=$AK$64:$AK$135)*$AA$64:$AA$135)</f>
        <v>2</v>
      </c>
      <c r="N4" s="1">
        <f ca="1">K4-L4-M4</f>
        <v>0</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2</v>
      </c>
      <c r="AT4" s="1">
        <f ca="1">SUMPRODUCT(($V$64:$V$135=F4)*$AJ$64:$AJ$135)+SUMPRODUCT(($W$64:$W$135=F4)*$AK$64:$AK$135)</f>
        <v>6</v>
      </c>
      <c r="AU4" s="1">
        <f ca="1">AT4-AS4</f>
        <v>4</v>
      </c>
      <c r="AV4" s="1">
        <f ca="1">IF(Einstellungen!$G$24,$I4,ROUND($I4,Einstellungen!$H$24))</f>
        <v>32</v>
      </c>
      <c r="AW4" s="1">
        <f ca="1">I4-(F4="")*10000</f>
        <v>32</v>
      </c>
      <c r="AX4" s="1">
        <f ca="1" xml:space="preserve"> RANK(AW4,$AW$4:$AW$12,1)</f>
        <v>9</v>
      </c>
    </row>
    <row r="5" spans="1:50" s="2" customFormat="1" x14ac:dyDescent="0.2">
      <c r="A5" s="238"/>
      <c r="B5" s="1">
        <v>2</v>
      </c>
      <c r="C5" s="22">
        <f t="shared" ref="C5:C12" ca="1" si="7">RANK(D5,$D$4:$D$12,1)</f>
        <v>2</v>
      </c>
      <c r="D5" s="778">
        <f t="shared" ref="D5:D12" ca="1" si="8">E5+ROW()/1000+(F5="")*10</f>
        <v>2.0049999999999999</v>
      </c>
      <c r="E5" s="249">
        <f t="shared" ref="E5:E12" ca="1" si="9">IF($AI$15,RANK(AH18,AH$17:AH$25,1),RANK(X18,X$17:X$25,1))</f>
        <v>2</v>
      </c>
      <c r="F5" s="1" t="str">
        <f t="shared" ref="F5:F12" si="10">$Q65</f>
        <v>Paris St. Germain</v>
      </c>
      <c r="G5" s="1">
        <f t="shared" ca="1" si="1"/>
        <v>190</v>
      </c>
      <c r="H5" s="1">
        <f t="shared" ca="1" si="2"/>
        <v>160</v>
      </c>
      <c r="I5" s="778">
        <f ca="1">IF(Einstellungen!$G$24,G5-H5,IF(H5=0,IF(G5=0,0,Einstellungen!$F$24),G5/H5))</f>
        <v>30</v>
      </c>
      <c r="J5" s="1">
        <f ca="1">$L5*Einstellungen!$C$4+$M5</f>
        <v>6</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3"/>
        <v>2</v>
      </c>
      <c r="N5" s="1">
        <f t="shared" ref="N5:N12" ca="1" si="13">K5-L5-M5</f>
        <v>0</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2</v>
      </c>
      <c r="AT5" s="1">
        <f t="shared" ref="AT5:AT12" ca="1" si="28">SUMPRODUCT(($V$64:$V$135=F5)*$AJ$64:$AJ$135)+SUMPRODUCT(($W$64:$W$135=F5)*$AK$64:$AK$135)</f>
        <v>6</v>
      </c>
      <c r="AU5" s="1">
        <f t="shared" ref="AU5:AU12" ca="1" si="29">AT5-AS5</f>
        <v>4</v>
      </c>
      <c r="AV5" s="1">
        <f ca="1">IF(Einstellungen!$G$24,$I5,ROUND($I5,Einstellungen!$H$24))</f>
        <v>30</v>
      </c>
      <c r="AW5" s="1">
        <f t="shared" ref="AW5:AW12" ca="1" si="30">I5-(F5="")*10000</f>
        <v>30</v>
      </c>
      <c r="AX5" s="1">
        <f t="shared" ref="AX5:AX12" ca="1" si="31" xml:space="preserve"> RANK(AW5,$AW$4:$AW$12,1)</f>
        <v>8</v>
      </c>
    </row>
    <row r="6" spans="1:50" s="2" customFormat="1" x14ac:dyDescent="0.2">
      <c r="A6" s="238"/>
      <c r="B6" s="1">
        <v>3</v>
      </c>
      <c r="C6" s="22">
        <f t="shared" ca="1" si="7"/>
        <v>4</v>
      </c>
      <c r="D6" s="778">
        <f t="shared" ca="1" si="8"/>
        <v>4.0060000000000002</v>
      </c>
      <c r="E6" s="249">
        <f t="shared" ca="1" si="9"/>
        <v>4</v>
      </c>
      <c r="F6" s="1" t="str">
        <f t="shared" si="10"/>
        <v>HSV</v>
      </c>
      <c r="G6" s="1">
        <f t="shared" ca="1" si="1"/>
        <v>157</v>
      </c>
      <c r="H6" s="1">
        <f t="shared" ca="1" si="2"/>
        <v>181</v>
      </c>
      <c r="I6" s="778">
        <f ca="1">IF(Einstellungen!$G$24,G6-H6,IF(H6=0,IF(G6=0,0,Einstellungen!$F$24),G6/H6))</f>
        <v>-24</v>
      </c>
      <c r="J6" s="1">
        <f ca="1">$L6*Einstellungen!$C$4+$M6</f>
        <v>2</v>
      </c>
      <c r="K6" s="1">
        <f t="shared" ca="1" si="11"/>
        <v>4</v>
      </c>
      <c r="L6" s="1">
        <f t="shared" ca="1" si="12"/>
        <v>0</v>
      </c>
      <c r="M6" s="1">
        <f t="shared" ca="1" si="3"/>
        <v>2</v>
      </c>
      <c r="N6" s="1">
        <f t="shared" ca="1" si="13"/>
        <v>2</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6</v>
      </c>
      <c r="AT6" s="1">
        <f t="shared" ca="1" si="28"/>
        <v>3</v>
      </c>
      <c r="AU6" s="1">
        <f t="shared" ca="1" si="29"/>
        <v>-3</v>
      </c>
      <c r="AV6" s="1">
        <f ca="1">IF(Einstellungen!$G$24,$I6,ROUND($I6,Einstellungen!$H$24))</f>
        <v>-24</v>
      </c>
      <c r="AW6" s="1">
        <f t="shared" ca="1" si="30"/>
        <v>-24</v>
      </c>
      <c r="AX6" s="1">
        <f t="shared" ca="1" si="31"/>
        <v>6</v>
      </c>
    </row>
    <row r="7" spans="1:50" s="2" customFormat="1" x14ac:dyDescent="0.2">
      <c r="A7" s="238"/>
      <c r="B7" s="1">
        <v>4</v>
      </c>
      <c r="C7" s="22">
        <f t="shared" ca="1" si="7"/>
        <v>3</v>
      </c>
      <c r="D7" s="778">
        <f t="shared" ca="1" si="8"/>
        <v>3.0070000000000001</v>
      </c>
      <c r="E7" s="249">
        <f t="shared" ca="1" si="9"/>
        <v>3</v>
      </c>
      <c r="F7" s="1" t="str">
        <f t="shared" si="10"/>
        <v>RB Leipzig</v>
      </c>
      <c r="G7" s="1">
        <f t="shared" ca="1" si="1"/>
        <v>164</v>
      </c>
      <c r="H7" s="1">
        <f t="shared" ca="1" si="2"/>
        <v>174</v>
      </c>
      <c r="I7" s="778">
        <f ca="1">IF(Einstellungen!$G$24,G7-H7,IF(H7=0,IF(G7=0,0,Einstellungen!$F$24),G7/H7))</f>
        <v>-10</v>
      </c>
      <c r="J7" s="1">
        <f ca="1">$L7*Einstellungen!$C$4+$M7</f>
        <v>5</v>
      </c>
      <c r="K7" s="1">
        <f t="shared" ca="1" si="11"/>
        <v>4</v>
      </c>
      <c r="L7" s="1">
        <f t="shared" ca="1" si="12"/>
        <v>2</v>
      </c>
      <c r="M7" s="1">
        <f t="shared" ca="1" si="3"/>
        <v>1</v>
      </c>
      <c r="N7" s="1">
        <f t="shared" ca="1" si="13"/>
        <v>1</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4</v>
      </c>
      <c r="AT7" s="1">
        <f t="shared" ca="1" si="28"/>
        <v>5</v>
      </c>
      <c r="AU7" s="1">
        <f t="shared" ca="1" si="29"/>
        <v>1</v>
      </c>
      <c r="AV7" s="1">
        <f ca="1">IF(Einstellungen!$G$24,$I7,ROUND($I7,Einstellungen!$H$24))</f>
        <v>-10</v>
      </c>
      <c r="AW7" s="1">
        <f t="shared" ca="1" si="30"/>
        <v>-10</v>
      </c>
      <c r="AX7" s="1">
        <f t="shared" ca="1" si="31"/>
        <v>7</v>
      </c>
    </row>
    <row r="8" spans="1:50" s="2" customFormat="1" x14ac:dyDescent="0.2">
      <c r="A8" s="238"/>
      <c r="B8" s="1">
        <v>5</v>
      </c>
      <c r="C8" s="22">
        <f t="shared" ca="1" si="7"/>
        <v>5</v>
      </c>
      <c r="D8" s="778">
        <f t="shared" ca="1" si="8"/>
        <v>5.008</v>
      </c>
      <c r="E8" s="249">
        <f t="shared" ca="1" si="9"/>
        <v>5</v>
      </c>
      <c r="F8" s="1" t="str">
        <f t="shared" si="10"/>
        <v>SV Oberredenburg</v>
      </c>
      <c r="G8" s="1">
        <f t="shared" ca="1" si="1"/>
        <v>161</v>
      </c>
      <c r="H8" s="1">
        <f t="shared" ca="1" si="2"/>
        <v>189</v>
      </c>
      <c r="I8" s="778">
        <f ca="1">IF(Einstellungen!$G$24,G8-H8,IF(H8=0,IF(G8=0,0,Einstellungen!$F$24),G8/H8))</f>
        <v>-28</v>
      </c>
      <c r="J8" s="1">
        <f ca="1">$L8*Einstellungen!$C$4+$M8</f>
        <v>1</v>
      </c>
      <c r="K8" s="1">
        <f t="shared" ca="1" si="11"/>
        <v>4</v>
      </c>
      <c r="L8" s="1">
        <f t="shared" ca="1" si="12"/>
        <v>0</v>
      </c>
      <c r="M8" s="1">
        <f t="shared" ca="1" si="3"/>
        <v>1</v>
      </c>
      <c r="N8" s="1">
        <f t="shared" ca="1" si="13"/>
        <v>3</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7</v>
      </c>
      <c r="AT8" s="1">
        <f t="shared" ca="1" si="28"/>
        <v>1</v>
      </c>
      <c r="AU8" s="1">
        <f t="shared" ca="1" si="29"/>
        <v>-6</v>
      </c>
      <c r="AV8" s="1">
        <f ca="1">IF(Einstellungen!$G$24,$I8,ROUND($I8,Einstellungen!$H$24))</f>
        <v>-28</v>
      </c>
      <c r="AW8" s="1">
        <f t="shared" ca="1" si="30"/>
        <v>-28</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IF(Einstellungen!$G$24,G9-H9,IF(H9=0,IF(G9=0,0,Einstellungen!$F$24),G9/H9))</f>
        <v>0</v>
      </c>
      <c r="J9" s="1">
        <f ca="1">$L9*Einstellungen!$C$4+$M9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1.0609</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IF(Einstellungen!$G$24,$I9,ROUND($I9,Einstellungen!$H$24))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IF(Einstellungen!$G$24,G10-H10,IF(H10=0,IF(G10=0,0,Einstellungen!$F$24),G10/H10))</f>
        <v>0</v>
      </c>
      <c r="J10" s="1">
        <f ca="1">$L10*Einstellungen!$C$4+$M10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IF(Einstellungen!$G$24,$I10,ROUND($I10,Einstellungen!$H$24))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IF(Einstellungen!$G$24,G11-H11,IF(H11=0,IF(G11=0,0,Einstellungen!$F$24),G11/H11))</f>
        <v>0</v>
      </c>
      <c r="J11" s="1">
        <f ca="1">$L11*Einstellungen!$C$4+$M11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1.0611000000000002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IF(Einstellungen!$G$24,$I11,ROUND($I11,Einstellungen!$H$24))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IF(Einstellungen!$G$24,G12-H12,IF(H12=0,IF(G12=0,0,Einstellungen!$F$24),G12/H12))</f>
        <v>0</v>
      </c>
      <c r="J12" s="1">
        <f ca="1">$L12*Einstellungen!$C$4+$M12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IF(Einstellungen!$G$24,$I12,ROUND($I12,Einstellungen!$H$24))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447</v>
      </c>
      <c r="L16" s="11" t="s">
        <v>380</v>
      </c>
      <c r="M16" s="69" t="s">
        <v>96</v>
      </c>
      <c r="N16" s="69" t="s">
        <v>14</v>
      </c>
      <c r="O16" s="30">
        <v>1</v>
      </c>
      <c r="P16" s="1">
        <v>2</v>
      </c>
      <c r="Q16" s="1">
        <v>3</v>
      </c>
      <c r="R16" s="1">
        <v>4</v>
      </c>
      <c r="S16" s="1">
        <v>5</v>
      </c>
      <c r="T16" s="1">
        <v>6</v>
      </c>
      <c r="U16" s="1">
        <v>7</v>
      </c>
      <c r="V16" s="1">
        <v>8</v>
      </c>
      <c r="W16" s="11" t="s">
        <v>98</v>
      </c>
      <c r="X16" s="186" t="s">
        <v>163</v>
      </c>
      <c r="Y16" s="11" t="s">
        <v>450</v>
      </c>
      <c r="Z16" s="186" t="s">
        <v>451</v>
      </c>
      <c r="AA16" s="1" t="s">
        <v>371</v>
      </c>
      <c r="AB16" s="1" t="s">
        <v>108</v>
      </c>
      <c r="AC16" s="1" t="s">
        <v>106</v>
      </c>
      <c r="AD16" s="783" t="s">
        <v>452</v>
      </c>
      <c r="AE16" s="779"/>
      <c r="AF16" s="778"/>
      <c r="AG16" s="778"/>
      <c r="AH16" s="780"/>
      <c r="AI16" s="4"/>
    </row>
    <row r="17" spans="2:80" s="2" customFormat="1" ht="12.75" thickTop="1" x14ac:dyDescent="0.2">
      <c r="C17" s="2" t="str">
        <f>$Q64</f>
        <v>TSG Saalberg eV</v>
      </c>
      <c r="D17" s="1">
        <f t="shared" ref="D17:G25" ca="1" si="36">K4</f>
        <v>4</v>
      </c>
      <c r="E17" s="1">
        <f t="shared" ca="1" si="36"/>
        <v>2</v>
      </c>
      <c r="F17" s="1">
        <f t="shared" ca="1" si="36"/>
        <v>2</v>
      </c>
      <c r="G17" s="1">
        <f t="shared" ca="1" si="36"/>
        <v>0</v>
      </c>
      <c r="H17" s="1">
        <f t="shared" ref="H17:J25" ca="1" si="37">G4</f>
        <v>188</v>
      </c>
      <c r="I17" s="1">
        <f t="shared" ca="1" si="37"/>
        <v>156</v>
      </c>
      <c r="J17" s="778">
        <f t="shared" ca="1" si="37"/>
        <v>32</v>
      </c>
      <c r="K17" s="1">
        <f ca="1">IF(Einstellungen!$G$9,J4,$AT4)</f>
        <v>6</v>
      </c>
      <c r="L17" s="29">
        <f ca="1">K17*$F$64+(AU4+$H$65)*$F$65*Einstellungen!$G$14+AT4*$F$66*Einstellungen!$G$19+AX4*$F$67</f>
        <v>6000000.0089999996</v>
      </c>
      <c r="M17" s="14">
        <f ca="1">IF($AI$15,COUNTIF($K$17:$K$25,K17),COUNTIF($L$17:$L$25,L17))</f>
        <v>1</v>
      </c>
      <c r="N17" s="14">
        <f t="array" aca="1" ref="N17" ca="1">IF($AI$15,SUM(($K$17:$K$25&gt;=K17)/COUNTIF($K$17:$K$25,$K$17:$K$25)),SUM(($L$17:$L$25&gt;=L17)/COUNTIF($L$17:$L$25,$L$17:$L$25)))</f>
        <v>1</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1.0108999999999999</v>
      </c>
      <c r="Y17" s="778">
        <f>Vorrunde!$AX42+$AD17</f>
        <v>0</v>
      </c>
      <c r="Z17" s="1">
        <f ca="1">RANK($W17,$W$17:$W$25)+(9-$Y17)/10</f>
        <v>1.9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Paris St. Germain</v>
      </c>
      <c r="D18" s="1">
        <f t="shared" ca="1" si="36"/>
        <v>4</v>
      </c>
      <c r="E18" s="1">
        <f t="shared" ca="1" si="36"/>
        <v>2</v>
      </c>
      <c r="F18" s="1">
        <f t="shared" ca="1" si="36"/>
        <v>2</v>
      </c>
      <c r="G18" s="1">
        <f t="shared" ca="1" si="36"/>
        <v>0</v>
      </c>
      <c r="H18" s="1">
        <f t="shared" ca="1" si="37"/>
        <v>190</v>
      </c>
      <c r="I18" s="1">
        <f t="shared" ca="1" si="37"/>
        <v>160</v>
      </c>
      <c r="J18" s="778">
        <f t="shared" ca="1" si="37"/>
        <v>30</v>
      </c>
      <c r="K18" s="1">
        <f ca="1">IF(Einstellungen!$G$9,J5,$AT5)</f>
        <v>6</v>
      </c>
      <c r="L18" s="29">
        <f ca="1">K18*$F$64+(AU5+$H$65)*$F$65*Einstellungen!$G$14+AT5*$F$66*Einstellungen!$G$19+AX5*$F$67</f>
        <v>6000000.0080000004</v>
      </c>
      <c r="M18" s="14">
        <f t="shared" ref="M18:M25" ca="1" si="47">IF($AI$15,COUNTIF($K$17:$K$25,K18),COUNTIF($L$17:$L$25,L18))</f>
        <v>1</v>
      </c>
      <c r="N18" s="14">
        <f t="array" aca="1" ref="N18" ca="1">IF($AI$15,SUM(($K$17:$K$25&gt;=K18)/COUNTIF($K$17:$K$25,$K$17:$K$25)),SUM(($L$17:$L$25&gt;=L18)/COUNTIF($L$17:$L$25,$L$17:$L$25)))</f>
        <v>2</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2.0108999999999999</v>
      </c>
      <c r="Y18" s="827">
        <f>Vorrunde!$AX43+$AD18</f>
        <v>0</v>
      </c>
      <c r="Z18" s="1">
        <f t="shared" ref="Z18:Z25" ca="1" si="50">RANK($W18,$W$17:$W$25)+(9-$Y18)/10</f>
        <v>1.9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HSV</v>
      </c>
      <c r="D19" s="1">
        <f t="shared" ca="1" si="36"/>
        <v>4</v>
      </c>
      <c r="E19" s="1">
        <f t="shared" ca="1" si="36"/>
        <v>0</v>
      </c>
      <c r="F19" s="1">
        <f t="shared" ca="1" si="36"/>
        <v>2</v>
      </c>
      <c r="G19" s="1">
        <f t="shared" ca="1" si="36"/>
        <v>2</v>
      </c>
      <c r="H19" s="1">
        <f t="shared" ca="1" si="37"/>
        <v>157</v>
      </c>
      <c r="I19" s="1">
        <f t="shared" ca="1" si="37"/>
        <v>181</v>
      </c>
      <c r="J19" s="778">
        <f t="shared" ca="1" si="37"/>
        <v>-24</v>
      </c>
      <c r="K19" s="1">
        <f ca="1">IF(Einstellungen!$G$9,J6,$AT6)</f>
        <v>2</v>
      </c>
      <c r="L19" s="29">
        <f ca="1">K19*$F$64+(AU6+$H$65)*$F$65*Einstellungen!$G$14+AT6*$F$66*Einstellungen!$G$19+AX6*$F$67</f>
        <v>2000000.0060000001</v>
      </c>
      <c r="M19" s="14">
        <f t="shared" ca="1" si="47"/>
        <v>1</v>
      </c>
      <c r="N19" s="14">
        <f t="array" aca="1" ref="N19" ca="1">IF($AI$15,SUM(($K$17:$K$25&gt;=K19)/COUNTIF($K$17:$K$25,$K$17:$K$25)),SUM(($L$17:$L$25&gt;=L19)/COUNTIF($L$17:$L$25,$L$17:$L$25)))</f>
        <v>4</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4.0108999999999995</v>
      </c>
      <c r="Y19" s="827">
        <f>Vorrunde!$AX44+$AD19</f>
        <v>0</v>
      </c>
      <c r="Z19" s="1">
        <f t="shared" ca="1" si="50"/>
        <v>1.9</v>
      </c>
      <c r="AA19" s="1">
        <f t="shared" ca="1" si="51"/>
        <v>0</v>
      </c>
      <c r="AB19" s="1">
        <f t="shared" ca="1" si="52"/>
        <v>0</v>
      </c>
      <c r="AC19" s="1">
        <f t="shared" ca="1" si="53"/>
        <v>0</v>
      </c>
      <c r="AD19" s="778">
        <f>IF($C19="",0,COUNTIF(Playoffs!$U$12:$U$17,$C19))</f>
        <v>0</v>
      </c>
      <c r="AE19" s="29"/>
      <c r="AF19" s="778"/>
      <c r="AG19" s="778"/>
      <c r="AH19" s="781"/>
      <c r="AI19" s="778"/>
    </row>
    <row r="20" spans="2:80" s="2" customFormat="1" x14ac:dyDescent="0.2">
      <c r="C20" s="2" t="str">
        <f t="shared" si="46"/>
        <v>RB Leipzig</v>
      </c>
      <c r="D20" s="1">
        <f t="shared" ca="1" si="36"/>
        <v>4</v>
      </c>
      <c r="E20" s="1">
        <f t="shared" ca="1" si="36"/>
        <v>2</v>
      </c>
      <c r="F20" s="1">
        <f t="shared" ca="1" si="36"/>
        <v>1</v>
      </c>
      <c r="G20" s="1">
        <f t="shared" ca="1" si="36"/>
        <v>1</v>
      </c>
      <c r="H20" s="1">
        <f t="shared" ca="1" si="37"/>
        <v>164</v>
      </c>
      <c r="I20" s="1">
        <f t="shared" ca="1" si="37"/>
        <v>174</v>
      </c>
      <c r="J20" s="778">
        <f t="shared" ca="1" si="37"/>
        <v>-10</v>
      </c>
      <c r="K20" s="1">
        <f ca="1">IF(Einstellungen!$G$9,J7,$AT7)</f>
        <v>5</v>
      </c>
      <c r="L20" s="29">
        <f ca="1">K20*$F$64+(AU7+$H$65)*$F$65*Einstellungen!$G$14+AT7*$F$66*Einstellungen!$G$19+AX7*$F$67</f>
        <v>5000000.0070000002</v>
      </c>
      <c r="M20" s="14">
        <f t="shared" ca="1" si="47"/>
        <v>1</v>
      </c>
      <c r="N20" s="14">
        <f t="array" aca="1" ref="N20" ca="1">IF($AI$15,SUM(($K$17:$K$25&gt;=K20)/COUNTIF($K$17:$K$25,$K$17:$K$25)),SUM(($L$17:$L$25&gt;=L20)/COUNTIF($L$17:$L$25,$L$17:$L$25)))</f>
        <v>3</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3.0108999999999999</v>
      </c>
      <c r="Y20" s="827">
        <f>Vorrunde!$AX45+$AD20</f>
        <v>0</v>
      </c>
      <c r="Z20" s="1">
        <f t="shared" ca="1" si="50"/>
        <v>1.9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SV Oberredenburg</v>
      </c>
      <c r="D21" s="1">
        <f t="shared" ca="1" si="36"/>
        <v>4</v>
      </c>
      <c r="E21" s="1">
        <f t="shared" ca="1" si="36"/>
        <v>0</v>
      </c>
      <c r="F21" s="1">
        <f t="shared" ca="1" si="36"/>
        <v>1</v>
      </c>
      <c r="G21" s="1">
        <f t="shared" ca="1" si="36"/>
        <v>3</v>
      </c>
      <c r="H21" s="1">
        <f t="shared" ca="1" si="37"/>
        <v>161</v>
      </c>
      <c r="I21" s="1">
        <f t="shared" ca="1" si="37"/>
        <v>189</v>
      </c>
      <c r="J21" s="778">
        <f t="shared" ca="1" si="37"/>
        <v>-28</v>
      </c>
      <c r="K21" s="1">
        <f ca="1">IF(Einstellungen!$G$9,J8,$AT8)</f>
        <v>1</v>
      </c>
      <c r="L21" s="29">
        <f ca="1">K21*$F$64+(AU8+$H$65)*$F$65*Einstellungen!$G$14+AT8*$F$66*Einstellungen!$G$19+AX8*$F$67</f>
        <v>1000000.005</v>
      </c>
      <c r="M21" s="14">
        <f t="shared" ca="1" si="47"/>
        <v>1</v>
      </c>
      <c r="N21" s="14">
        <f t="array" aca="1" ref="N21" ca="1">IF($AI$15,SUM(($K$17:$K$25&gt;=K21)/COUNTIF($K$17:$K$25,$K$17:$K$25)),SUM(($L$17:$L$25&gt;=L21)/COUNTIF($L$17:$L$25,$L$17:$L$25)))</f>
        <v>5</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5.0108999999999995</v>
      </c>
      <c r="Y21" s="827">
        <f>Vorrunde!$AX46+$AD21</f>
        <v>0</v>
      </c>
      <c r="Z21" s="1">
        <f t="shared" ca="1" si="50"/>
        <v>1.9</v>
      </c>
      <c r="AA21" s="1">
        <f t="shared" ca="1" si="51"/>
        <v>0</v>
      </c>
      <c r="AB21" s="1">
        <f t="shared" ca="1" si="52"/>
        <v>0</v>
      </c>
      <c r="AC21" s="1">
        <f t="shared" ca="1" si="53"/>
        <v>0</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IF(Einstellungen!$G$9,J9,$AT9)</f>
        <v>0</v>
      </c>
      <c r="L22" s="29">
        <f ca="1">K22*$F$64+(AU9+$H$65)*$F$65*Einstellungen!$G$14+AT9*$F$66*Einstellungen!$G$19+AX9*$F$67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827">
        <f>Vorrunde!$AX47+$AD22</f>
        <v>0</v>
      </c>
      <c r="Z22" s="1">
        <f t="shared" ca="1" si="50"/>
        <v>1.9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IF(Einstellungen!$G$9,J10,$AT10)</f>
        <v>0</v>
      </c>
      <c r="L23" s="29">
        <f ca="1">K23*$F$64+(AU10+$H$65)*$F$65*Einstellungen!$G$14+AT10*$F$66*Einstellungen!$G$19+AX10*$F$67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78">
        <v>0</v>
      </c>
      <c r="Z23" s="1">
        <f t="shared" ca="1" si="50"/>
        <v>1.9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IF(Einstellungen!$G$9,J11,$AT11)</f>
        <v>0</v>
      </c>
      <c r="L24" s="29">
        <f ca="1">K24*$F$64+(AU11+$H$65)*$F$65*Einstellungen!$G$14+AT11*$F$66*Einstellungen!$G$19+AX11*$F$67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IF(Einstellungen!$G$9,J12,$AT12)</f>
        <v>0</v>
      </c>
      <c r="L25" s="29">
        <f ca="1">K25*$F$64+(AU12+$H$65)*$F$65*Einstellungen!$G$14+AT12*$F$66*Einstellungen!$G$19+AX12*$F$67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444</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778"/>
      <c r="BR29" s="5" t="s">
        <v>94</v>
      </c>
      <c r="BS29" s="2" t="str">
        <f>$F$4</f>
        <v>TSG Saalberg eV</v>
      </c>
      <c r="BT29" s="2" t="str">
        <f>$F$5</f>
        <v>Paris St. Germain</v>
      </c>
      <c r="BU29" s="2" t="str">
        <f>$F$6</f>
        <v>HSV</v>
      </c>
      <c r="BV29" s="2" t="str">
        <f>$F$7</f>
        <v>RB Leipzig</v>
      </c>
      <c r="BW29" s="2" t="str">
        <f>$F$8</f>
        <v>SV Oberredenburg</v>
      </c>
      <c r="BX29" s="2" t="str">
        <f>$F$9</f>
        <v/>
      </c>
      <c r="BY29" s="2" t="str">
        <f>$F$10</f>
        <v/>
      </c>
      <c r="BZ29" s="2" t="str">
        <f>$F$11</f>
        <v/>
      </c>
      <c r="CA29" s="2" t="str">
        <f>$F$12</f>
        <v/>
      </c>
      <c r="CB29" s="51"/>
    </row>
    <row r="30" spans="2:80" s="2" customFormat="1" x14ac:dyDescent="0.2">
      <c r="C30" s="2" t="str">
        <f>$Q64</f>
        <v>TSG Saalberg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TSG Saalberg eV</v>
      </c>
      <c r="BS30" s="7"/>
      <c r="BT30" s="8">
        <f t="shared" ref="BT30:CA30" ca="1" si="55">SUMIFS($AH$64:$AH$135,$V$64:$V$135,$BR30,$W$64:$W$135,BT$29)+SUMIFS($AI$64:$AI$135,$W$64:$W$135,$BR30,$V$64:$V$135,BT$29)</f>
        <v>43</v>
      </c>
      <c r="BU30" s="8">
        <f t="shared" ca="1" si="55"/>
        <v>45</v>
      </c>
      <c r="BV30" s="8">
        <f t="shared" ca="1" si="55"/>
        <v>50</v>
      </c>
      <c r="BW30" s="8">
        <f t="shared" ca="1" si="55"/>
        <v>50</v>
      </c>
      <c r="BX30" s="8">
        <f t="shared" ca="1" si="55"/>
        <v>0</v>
      </c>
      <c r="BY30" s="8">
        <f t="shared" ca="1" si="55"/>
        <v>0</v>
      </c>
      <c r="BZ30" s="8">
        <f t="shared" ca="1" si="55"/>
        <v>0</v>
      </c>
      <c r="CA30" s="8">
        <f t="shared" ca="1" si="55"/>
        <v>0</v>
      </c>
      <c r="CB30" s="4"/>
    </row>
    <row r="31" spans="2:80" s="2" customFormat="1" x14ac:dyDescent="0.2">
      <c r="C31" s="2" t="str">
        <f t="shared" ref="C31:C38" si="56">$Q65</f>
        <v>Paris St. Germain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Paris St. Germain</v>
      </c>
      <c r="BS31" s="9">
        <f t="shared" ref="BS31:BS38" ca="1" si="57">SUMIFS($AH$64:$AH$135,$V$64:$V$135,$BR31,$W$64:$W$135,BS$29)+SUMIFS($AI$64:$AI$135,$W$64:$W$135,$BR31,$V$64:$V$135,BS$29)</f>
        <v>46</v>
      </c>
      <c r="BT31" s="7"/>
      <c r="BU31" s="8">
        <f t="shared" ref="BU31:CA31" ca="1" si="58">SUMIFS($AH$64:$AH$135,$V$64:$V$135,$BR31,$W$64:$W$135,BU$29)+SUMIFS($AI$64:$AI$135,$W$64:$W$135,$BR31,$V$64:$V$135,BU$29)</f>
        <v>50</v>
      </c>
      <c r="BV31" s="8">
        <f t="shared" ca="1" si="58"/>
        <v>44</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HSV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HSV</v>
      </c>
      <c r="BS32" s="9">
        <f t="shared" ca="1" si="57"/>
        <v>44</v>
      </c>
      <c r="BT32" s="9">
        <f t="shared" ref="BT32:BT38" ca="1" si="59">SUMIFS($AH$64:$AH$135,$V$64:$V$135,$BR32,$W$64:$W$135,BT$29)+SUMIFS($AI$64:$AI$135,$W$64:$W$135,$BR32,$V$64:$V$135,BT$29)</f>
        <v>30</v>
      </c>
      <c r="BU32" s="7"/>
      <c r="BV32" s="8">
        <f t="shared" ref="BV32:CA32" ca="1" si="60">SUMIFS($AH$64:$AH$135,$V$64:$V$135,$BR32,$W$64:$W$135,BV$29)+SUMIFS($AI$64:$AI$135,$W$64:$W$135,$BR32,$V$64:$V$135,BV$29)</f>
        <v>66</v>
      </c>
      <c r="BW32" s="8">
        <f t="shared" ca="1" si="60"/>
        <v>39</v>
      </c>
      <c r="BX32" s="8">
        <f t="shared" ca="1" si="60"/>
        <v>0</v>
      </c>
      <c r="BY32" s="8">
        <f t="shared" ca="1" si="60"/>
        <v>0</v>
      </c>
      <c r="BZ32" s="8">
        <f t="shared" ca="1" si="60"/>
        <v>0</v>
      </c>
      <c r="CA32" s="8">
        <f t="shared" ca="1" si="60"/>
        <v>0</v>
      </c>
      <c r="CB32" s="4"/>
    </row>
    <row r="33" spans="2:80" s="2" customFormat="1" x14ac:dyDescent="0.2">
      <c r="C33" s="2" t="str">
        <f t="shared" si="56"/>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RB Leipzig</v>
      </c>
      <c r="BS33" s="9">
        <f t="shared" ca="1" si="57"/>
        <v>24</v>
      </c>
      <c r="BT33" s="9">
        <f t="shared" ca="1" si="59"/>
        <v>48</v>
      </c>
      <c r="BU33" s="9">
        <f t="shared" ref="BU33:BU38" ca="1" si="61">SUMIFS($AH$64:$AH$135,$V$64:$V$135,$BR33,$W$64:$W$135,BU$29)+SUMIFS($AI$64:$AI$135,$W$64:$W$135,$BR33,$V$64:$V$135,BU$29)</f>
        <v>67</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SV Oberredenburg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SV Oberredenburg</v>
      </c>
      <c r="BS34" s="9">
        <f t="shared" ca="1" si="57"/>
        <v>42</v>
      </c>
      <c r="BT34" s="9">
        <f t="shared" ca="1" si="59"/>
        <v>39</v>
      </c>
      <c r="BU34" s="9">
        <f t="shared" ca="1" si="61"/>
        <v>44</v>
      </c>
      <c r="BV34" s="9">
        <f ca="1">SUMIFS($AH$64:$AH$135,$V$64:$V$135,$BR34,$W$64:$W$135,BV$29)+SUMIFS($AI$64:$AI$135,$W$64:$W$135,$BR34,$V$64:$V$135,BV$29)</f>
        <v>36</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TSG Saalberg eV</v>
      </c>
      <c r="BT40" s="2" t="str">
        <f>$F$5</f>
        <v>Paris St. Germain</v>
      </c>
      <c r="BU40" s="2" t="str">
        <f>$F$6</f>
        <v>HSV</v>
      </c>
      <c r="BV40" s="2" t="str">
        <f>$F$7</f>
        <v>RB Leipzig</v>
      </c>
      <c r="BW40" s="2" t="str">
        <f>$F$8</f>
        <v>SV Oberredenburg</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TSG Saalberg eV</v>
      </c>
      <c r="BS41" s="7"/>
      <c r="BT41" s="8">
        <f ca="1">BT30-BS31</f>
        <v>-3</v>
      </c>
      <c r="BU41" s="8">
        <f ca="1">BU30-BS32</f>
        <v>1</v>
      </c>
      <c r="BV41" s="8">
        <f ca="1">BV30-BS33</f>
        <v>26</v>
      </c>
      <c r="BW41" s="8">
        <f ca="1">BW30-BS34</f>
        <v>8</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Paris St. Germain</v>
      </c>
      <c r="BS42" s="9">
        <f ca="1">IF(BT41="","",-1*BT41)</f>
        <v>3</v>
      </c>
      <c r="BT42" s="7"/>
      <c r="BU42" s="8">
        <f ca="1">BU31-BT32</f>
        <v>20</v>
      </c>
      <c r="BV42" s="8">
        <f ca="1">BV31-BT33</f>
        <v>-4</v>
      </c>
      <c r="BW42" s="8">
        <f ca="1">BW31-BT34</f>
        <v>11</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HSV</v>
      </c>
      <c r="BS43" s="9">
        <f ca="1">IF(BU41="","",-1*BU41)</f>
        <v>-1</v>
      </c>
      <c r="BT43" s="9">
        <f ca="1">IF(BU42="","",-1*BU42)</f>
        <v>-20</v>
      </c>
      <c r="BU43" s="7"/>
      <c r="BV43" s="8">
        <f ca="1">BV32-BU33</f>
        <v>-1</v>
      </c>
      <c r="BW43" s="8">
        <f ca="1">BW32-BU34</f>
        <v>-5</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RB Leipzig</v>
      </c>
      <c r="BS44" s="9">
        <f ca="1">IF(BV41="","",-1*BV41)</f>
        <v>-26</v>
      </c>
      <c r="BT44" s="9">
        <f ca="1">IF(BV42="","",-1*BV42)</f>
        <v>4</v>
      </c>
      <c r="BU44" s="9">
        <f ca="1">IF(BV43="","",-1*BV43)</f>
        <v>1</v>
      </c>
      <c r="BV44" s="7"/>
      <c r="BW44" s="8">
        <f ca="1">BW33-BV34</f>
        <v>14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SV Oberredenburg</v>
      </c>
      <c r="BS45" s="9">
        <f ca="1">IF(BW41="","",-1*BW41)</f>
        <v>-8</v>
      </c>
      <c r="BT45" s="9">
        <f ca="1">IF(BW42="","",-1*BW42)</f>
        <v>-11</v>
      </c>
      <c r="BU45" s="9">
        <f ca="1">IF(BW43="","",-1*BW43)</f>
        <v>5</v>
      </c>
      <c r="BV45" s="9">
        <f ca="1">IF(BW44="","",-1*BW44)</f>
        <v>-14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$F$4</f>
        <v>TSG Saalberg eV</v>
      </c>
      <c r="BT51" s="2" t="str">
        <f>$F$5</f>
        <v>Paris St. Germain</v>
      </c>
      <c r="BU51" s="2" t="str">
        <f>$F$6</f>
        <v>HSV</v>
      </c>
      <c r="BV51" s="2" t="str">
        <f>$F$7</f>
        <v>RB Leipzig</v>
      </c>
      <c r="BW51" s="2" t="str">
        <f>$F$8</f>
        <v>SV Oberredenburg</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TSG Saalberg eV</v>
      </c>
      <c r="BS52" s="7"/>
      <c r="BT52" s="8">
        <f t="shared" ref="BT52:CA54" ca="1" si="65">SUMIFS($AJ$64:$AJ$135,$V$64:$V$135,$BR52,$W$64:$W$135,BT$51)+SUMIFS($AK$64:$AK$135,$W$64:$W$135,$BR52,$V$64:$V$135,BT$51)</f>
        <v>1</v>
      </c>
      <c r="BU52" s="8">
        <f t="shared" ca="1" si="65"/>
        <v>1</v>
      </c>
      <c r="BV52" s="8">
        <f t="shared" ca="1" si="65"/>
        <v>2</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Paris St. Germain</v>
      </c>
      <c r="BS53" s="9">
        <f t="shared" ref="BS53:BU60" ca="1" si="66">SUMIFS($AJ$64:$AJ$135,$V$64:$V$135,$BR53,$W$64:$W$135,BS$51)+SUMIFS($AK$64:$AK$135,$W$64:$W$135,$BR53,$V$64:$V$135,BS$51)</f>
        <v>1</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HSV</v>
      </c>
      <c r="BS54" s="9">
        <f t="shared" ca="1" si="66"/>
        <v>1</v>
      </c>
      <c r="BT54" s="9">
        <f t="shared" ca="1" si="66"/>
        <v>0</v>
      </c>
      <c r="BU54" s="7"/>
      <c r="BV54" s="8">
        <f t="shared" ca="1" si="65"/>
        <v>1</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RB Leipzig</v>
      </c>
      <c r="BS55" s="9">
        <f t="shared" ca="1" si="66"/>
        <v>0</v>
      </c>
      <c r="BT55" s="9">
        <f t="shared" ca="1" si="66"/>
        <v>1</v>
      </c>
      <c r="BU55" s="9">
        <f t="shared" ca="1" si="66"/>
        <v>2</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SV Oberredenburg</v>
      </c>
      <c r="BS56" s="9">
        <f t="shared" ca="1" si="66"/>
        <v>0</v>
      </c>
      <c r="BT56" s="9">
        <f t="shared" ca="1" si="66"/>
        <v>0</v>
      </c>
      <c r="BU56" s="9">
        <f t="shared" ca="1" si="66"/>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33" t="s">
        <v>366</v>
      </c>
      <c r="Y63" s="1033"/>
      <c r="Z63" s="69" t="s">
        <v>150</v>
      </c>
      <c r="AA63" s="69" t="s">
        <v>15</v>
      </c>
      <c r="AB63" s="69" t="s">
        <v>445</v>
      </c>
      <c r="AC63" s="776" t="s">
        <v>444</v>
      </c>
      <c r="AD63" s="1034" t="s">
        <v>367</v>
      </c>
      <c r="AE63" s="1034"/>
      <c r="AF63" s="1034" t="s">
        <v>374</v>
      </c>
      <c r="AG63" s="1034"/>
      <c r="AH63" s="1034" t="s">
        <v>445</v>
      </c>
      <c r="AI63" s="1034"/>
      <c r="AJ63" s="1030" t="s">
        <v>444</v>
      </c>
      <c r="AK63" s="1030"/>
      <c r="AL63" s="1034" t="s">
        <v>109</v>
      </c>
      <c r="AM63" s="1034"/>
      <c r="AN63" s="681"/>
    </row>
    <row r="64" spans="2:80" s="2" customFormat="1" ht="14.25" thickTop="1" thickBot="1" x14ac:dyDescent="0.25">
      <c r="F64" s="767">
        <v>1000000</v>
      </c>
      <c r="G64" s="770" t="s">
        <v>440</v>
      </c>
      <c r="P64" s="44" t="s">
        <v>6</v>
      </c>
      <c r="Q64" s="59" t="str">
        <f>IF(Planung!$C$58="","",Planung!$C$58)</f>
        <v>TSG Saalberg eV</v>
      </c>
      <c r="U64" s="65" t="s">
        <v>6</v>
      </c>
      <c r="V64" s="39" t="str">
        <f ca="1">Planung!$L6</f>
        <v>VFB Essenheim</v>
      </c>
      <c r="W64" s="32" t="str">
        <f ca="1">Planung!$N6</f>
        <v>FC Barcelona</v>
      </c>
      <c r="X64" s="32">
        <f ca="1">IF(AND($AA64=1,Vorrunde!$I12&lt;&gt;"",Vorrunde!$K12&lt;&gt;"",ABS(Vorrunde!$I12-Vorrunde!$K12)&gt;1),Vorrunde!$I12,"")</f>
        <v>25</v>
      </c>
      <c r="Y64" s="33">
        <f ca="1">IF(AND($AA64=1,Vorrunde!$I12&lt;&gt;"",Vorrunde!$K12&lt;&gt;"",ABS(Vorrunde!$I12-Vorrunde!$K12)&gt;1),Vorrunde!$K12,"")</f>
        <v>19</v>
      </c>
      <c r="Z64" s="31" t="str">
        <f ca="1">V64&amp;W64</f>
        <v>VFB EssenheimFC Barcelona</v>
      </c>
      <c r="AA64" s="32">
        <f ca="1">IF(AND(V64&lt;&gt;"",W64&lt;&gt;"",V64&lt;&gt;W64,Vorrunde!$R12&lt;&gt;"",Vorrunde!$T12&lt;&gt;""),1,0)</f>
        <v>1</v>
      </c>
      <c r="AB64" s="139" t="str">
        <f ca="1">IF(AA64&gt;0,AH64&amp;Sprache!$E$109&amp;AI64,"")</f>
        <v>57 : 69</v>
      </c>
      <c r="AC64" s="140" t="str">
        <f ca="1">IF(AA64&gt;0,AJ64&amp;Sprache!$E$109&amp;AK64,"")</f>
        <v>1 : 2</v>
      </c>
      <c r="AD64" s="144">
        <f ca="1">IF(AND($AA64=1,Vorrunde!$L12&lt;&gt;"",Vorrunde!$N12&lt;&gt;"",ABS(Vorrunde!$L12-Vorrunde!$N12)&gt;1),Vorrunde!$L12,"")</f>
        <v>18</v>
      </c>
      <c r="AE64" s="140">
        <f ca="1">IF(AND($AA64=1,Vorrunde!$L12&lt;&gt;"",Vorrunde!$N12&lt;&gt;"",ABS(Vorrunde!$L12-Vorrunde!$N12)&gt;1),Vorrunde!$N12,"")</f>
        <v>25</v>
      </c>
      <c r="AF64" s="144">
        <f ca="1">IF(AND($AA64=1,Vorrunde!$O12&lt;&gt;"",Vorrunde!$Q12&lt;&gt;"",ABS(Vorrunde!$O12-Vorrunde!$Q12)&gt;1),Vorrunde!$O12,"")</f>
        <v>14</v>
      </c>
      <c r="AG64" s="140">
        <f ca="1">IF(AND($AA64=1,Vorrunde!$O12&lt;&gt;"",Vorrunde!$Q12&lt;&gt;"",ABS(Vorrunde!$O12-Vorrunde!$Q12)&gt;1),Vorrunde!$Q12,"")</f>
        <v>25</v>
      </c>
      <c r="AH64" s="144">
        <f ca="1">IF(AA64&gt;0,SUM(X64,AD64,AF64),"")</f>
        <v>57</v>
      </c>
      <c r="AI64" s="140">
        <f ca="1">IF(AA64&gt;0,SUM(Y64,AE64,AG64),"")</f>
        <v>69</v>
      </c>
      <c r="AJ64" s="144">
        <f ca="1">IF(Vorrunde!$R12="",0,Vorrunde!$R12)</f>
        <v>1</v>
      </c>
      <c r="AK64" s="140">
        <f ca="1">IF(Vorrunde!$T12="",0,Vorrunde!$T12)</f>
        <v>2</v>
      </c>
      <c r="AL64" s="144">
        <f ca="1">IF($AA64=0,"",IF($AJ64&gt;$AK64,Einstellungen!$C$4,IF($AJ64=$AK64,1,0)))</f>
        <v>0</v>
      </c>
      <c r="AM64" s="140">
        <f ca="1">IF($AA64=0,"",IF($AJ64&lt;$AK64,Einstellungen!$C$4,IF($AJ64=$AK64,1,0)))</f>
        <v>2</v>
      </c>
      <c r="AN64" s="778"/>
    </row>
    <row r="65" spans="2:40" s="2" customFormat="1" ht="13.5" thickBot="1" x14ac:dyDescent="0.25">
      <c r="F65" s="768">
        <v>1000</v>
      </c>
      <c r="G65" s="771" t="s">
        <v>441</v>
      </c>
      <c r="H65" s="766">
        <v>500</v>
      </c>
      <c r="I65" s="187" t="s">
        <v>439</v>
      </c>
      <c r="P65" s="45" t="s">
        <v>7</v>
      </c>
      <c r="Q65" s="60" t="str">
        <f>IF(Planung!$C$60="","",Planung!$C$60)</f>
        <v>Paris St. Germain</v>
      </c>
      <c r="U65" s="66" t="s">
        <v>7</v>
      </c>
      <c r="V65" s="40" t="str">
        <f ca="1">Planung!$L7</f>
        <v>FC Grönlingen</v>
      </c>
      <c r="W65" s="778" t="str">
        <f ca="1">Planung!$N7</f>
        <v>Inter Mailand</v>
      </c>
      <c r="X65" s="831">
        <f ca="1">IF(AND($AA65=1,Vorrunde!$I13&lt;&gt;"",Vorrunde!$K13&lt;&gt;"",ABS(Vorrunde!$I13-Vorrunde!$K13)&gt;1),Vorrunde!$I13,"")</f>
        <v>16</v>
      </c>
      <c r="Y65" s="35">
        <f ca="1">IF(AND($AA65=1,Vorrunde!$I13&lt;&gt;"",Vorrunde!$K13&lt;&gt;"",ABS(Vorrunde!$I13-Vorrunde!$K13)&gt;1),Vorrunde!$K13,"")</f>
        <v>25</v>
      </c>
      <c r="Z65" s="34" t="str">
        <f t="shared" ref="Z65:Z73" ca="1" si="67">V65&amp;W65</f>
        <v>FC GrönlingenInter Mailand</v>
      </c>
      <c r="AA65" s="831">
        <f ca="1">IF(AND(V65&lt;&gt;"",W65&lt;&gt;"",V65&lt;&gt;W65,Vorrunde!$R13&lt;&gt;"",Vorrunde!$T13&lt;&gt;""),1,0)</f>
        <v>1</v>
      </c>
      <c r="AB65" s="831" t="str">
        <f ca="1">IF(AA65&gt;0,AH65&amp;Sprache!$E$109&amp;AI65,"")</f>
        <v>36 : 50</v>
      </c>
      <c r="AC65" s="141" t="str">
        <f ca="1">IF(AA65&gt;0,AJ65&amp;Sprache!$E$109&amp;AK65,"")</f>
        <v>0 : 2</v>
      </c>
      <c r="AD65" s="145">
        <f ca="1">IF(AND($AA65=1,Vorrunde!$L13&lt;&gt;"",Vorrunde!$N13&lt;&gt;"",ABS(Vorrunde!$L13-Vorrunde!$N13)&gt;1),Vorrunde!$L13,"")</f>
        <v>20</v>
      </c>
      <c r="AE65" s="141">
        <f ca="1">IF(AND($AA65=1,Vorrunde!$L13&lt;&gt;"",Vorrunde!$N13&lt;&gt;"",ABS(Vorrunde!$L13-Vorrunde!$N13)&gt;1),Vorrunde!$N13,"")</f>
        <v>25</v>
      </c>
      <c r="AF65" s="145" t="str">
        <f ca="1">IF(AND($AA65=1,Vorrunde!$O13&lt;&gt;"",Vorrunde!$Q13&lt;&gt;"",ABS(Vorrunde!$O13-Vorrunde!$Q13)&gt;1),Vorrunde!$O13,"")</f>
        <v/>
      </c>
      <c r="AG65" s="141" t="str">
        <f ca="1">IF(AND($AA65=1,Vorrunde!$O13&lt;&gt;"",Vorrunde!$Q13&lt;&gt;"",ABS(Vorrunde!$O13-Vorrunde!$Q13)&gt;1),Vorrunde!$Q13,"")</f>
        <v/>
      </c>
      <c r="AH65" s="145">
        <f t="shared" ref="AH65:AH123" ca="1" si="68">IF(AA65&gt;0,SUM(X65,AD65,AF65),"")</f>
        <v>36</v>
      </c>
      <c r="AI65" s="141">
        <f t="shared" ref="AI65:AI123" ca="1" si="69">IF(AA65&gt;0,SUM(Y65,AE65,AG65),"")</f>
        <v>50</v>
      </c>
      <c r="AJ65" s="145">
        <f ca="1">IF(Vorrunde!$R13="",0,Vorrunde!$R13)</f>
        <v>0</v>
      </c>
      <c r="AK65" s="141">
        <f ca="1">IF(Vorrunde!$T13="",0,Vorrunde!$T13)</f>
        <v>2</v>
      </c>
      <c r="AL65" s="145">
        <f ca="1">IF($AA65=0,"",IF($AJ65&gt;$AK65,Einstellungen!$C$4,IF($AJ65=$AK65,1,0)))</f>
        <v>0</v>
      </c>
      <c r="AM65" s="141">
        <f ca="1">IF($AA65=0,"",IF($AJ65&lt;$AK65,Einstellungen!$C$4,IF($AJ65=$AK65,1,0)))</f>
        <v>2</v>
      </c>
      <c r="AN65" s="778"/>
    </row>
    <row r="66" spans="2:40" s="2" customFormat="1" ht="12.75" x14ac:dyDescent="0.2">
      <c r="F66" s="768">
        <v>1</v>
      </c>
      <c r="G66" s="771" t="s">
        <v>442</v>
      </c>
      <c r="P66" s="45" t="s">
        <v>8</v>
      </c>
      <c r="Q66" s="60" t="str">
        <f>IF(Planung!$C$62="","",Planung!$C$62)</f>
        <v>HSV</v>
      </c>
      <c r="U66" s="66" t="s">
        <v>8</v>
      </c>
      <c r="V66" s="40" t="str">
        <f ca="1">Planung!$L8</f>
        <v>1. FC Nürnberg</v>
      </c>
      <c r="W66" s="778" t="str">
        <f ca="1">Planung!$N8</f>
        <v>Real Madrid</v>
      </c>
      <c r="X66" s="831">
        <f ca="1">IF(AND($AA66=1,Vorrunde!$I14&lt;&gt;"",Vorrunde!$K14&lt;&gt;"",ABS(Vorrunde!$I14-Vorrunde!$K14)&gt;1),Vorrunde!$I14,"")</f>
        <v>21</v>
      </c>
      <c r="Y66" s="35">
        <f ca="1">IF(AND($AA66=1,Vorrunde!$I14&lt;&gt;"",Vorrunde!$K14&lt;&gt;"",ABS(Vorrunde!$I14-Vorrunde!$K14)&gt;1),Vorrunde!$K14,"")</f>
        <v>25</v>
      </c>
      <c r="Z66" s="34" t="str">
        <f t="shared" ca="1" si="67"/>
        <v>1. FC NürnbergReal Madrid</v>
      </c>
      <c r="AA66" s="831">
        <f ca="1">IF(AND(V66&lt;&gt;"",W66&lt;&gt;"",V66&lt;&gt;W66,Vorrunde!$R14&lt;&gt;"",Vorrunde!$T14&lt;&gt;""),1,0)</f>
        <v>1</v>
      </c>
      <c r="AB66" s="831" t="str">
        <f ca="1">IF(AA66&gt;0,AH66&amp;Sprache!$E$109&amp;AI66,"")</f>
        <v>40 : 50</v>
      </c>
      <c r="AC66" s="141" t="str">
        <f ca="1">IF(AA66&gt;0,AJ66&amp;Sprache!$E$109&amp;AK66,"")</f>
        <v>0 : 2</v>
      </c>
      <c r="AD66" s="145">
        <f ca="1">IF(AND($AA66=1,Vorrunde!$L14&lt;&gt;"",Vorrunde!$N14&lt;&gt;"",ABS(Vorrunde!$L14-Vorrunde!$N14)&gt;1),Vorrunde!$L14,"")</f>
        <v>19</v>
      </c>
      <c r="AE66" s="141">
        <f ca="1">IF(AND($AA66=1,Vorrunde!$L14&lt;&gt;"",Vorrunde!$N14&lt;&gt;"",ABS(Vorrunde!$L14-Vorrunde!$N14)&gt;1),Vorrunde!$N14,"")</f>
        <v>25</v>
      </c>
      <c r="AF66" s="145" t="str">
        <f ca="1">IF(AND($AA66=1,Vorrunde!$O14&lt;&gt;"",Vorrunde!$Q14&lt;&gt;"",ABS(Vorrunde!$O14-Vorrunde!$Q14)&gt;1),Vorrunde!$O14,"")</f>
        <v/>
      </c>
      <c r="AG66" s="141" t="str">
        <f ca="1">IF(AND($AA66=1,Vorrunde!$O14&lt;&gt;"",Vorrunde!$Q14&lt;&gt;"",ABS(Vorrunde!$O14-Vorrunde!$Q14)&gt;1),Vorrunde!$Q14,"")</f>
        <v/>
      </c>
      <c r="AH66" s="145">
        <f t="shared" ca="1" si="68"/>
        <v>40</v>
      </c>
      <c r="AI66" s="141">
        <f t="shared" ca="1" si="69"/>
        <v>50</v>
      </c>
      <c r="AJ66" s="145">
        <f ca="1">IF(Vorrunde!$R14="",0,Vorrunde!$R14)</f>
        <v>0</v>
      </c>
      <c r="AK66" s="141">
        <f ca="1">IF(Vorrunde!$T14="",0,Vorrunde!$T14)</f>
        <v>2</v>
      </c>
      <c r="AL66" s="145">
        <f ca="1">IF($AA66=0,"",IF($AJ66&gt;$AK66,Einstellungen!$C$4,IF($AJ66=$AK66,1,0)))</f>
        <v>0</v>
      </c>
      <c r="AM66" s="141">
        <f ca="1">IF($AA66=0,"",IF($AJ66&lt;$AK66,Einstellungen!$C$4,IF($AJ66=$AK66,1,0)))</f>
        <v>2</v>
      </c>
      <c r="AN66" s="778"/>
    </row>
    <row r="67" spans="2:40" s="2" customFormat="1" ht="12.75" thickBot="1" x14ac:dyDescent="0.25">
      <c r="F67" s="769">
        <v>1E-3</v>
      </c>
      <c r="G67" s="772" t="s">
        <v>443</v>
      </c>
      <c r="P67" s="45" t="s">
        <v>9</v>
      </c>
      <c r="Q67" s="60" t="str">
        <f>IF(Planung!$C$64="","",Planung!$C$64)</f>
        <v>RB Leipzig</v>
      </c>
      <c r="U67" s="66" t="s">
        <v>9</v>
      </c>
      <c r="V67" s="40" t="str">
        <f ca="1">Planung!$L9</f>
        <v>SV Oberredenburg</v>
      </c>
      <c r="W67" s="778" t="str">
        <f ca="1">Planung!$N9</f>
        <v>Paris St. Germain</v>
      </c>
      <c r="X67" s="831">
        <f ca="1">IF(AND($AA67=1,Vorrunde!$I15&lt;&gt;"",Vorrunde!$K15&lt;&gt;"",ABS(Vorrunde!$I15-Vorrunde!$K15)&gt;1),Vorrunde!$I15,"")</f>
        <v>22</v>
      </c>
      <c r="Y67" s="35">
        <f ca="1">IF(AND($AA67=1,Vorrunde!$I15&lt;&gt;"",Vorrunde!$K15&lt;&gt;"",ABS(Vorrunde!$I15-Vorrunde!$K15)&gt;1),Vorrunde!$K15,"")</f>
        <v>25</v>
      </c>
      <c r="Z67" s="34" t="str">
        <f t="shared" ca="1" si="67"/>
        <v>SV OberredenburgParis St. Germain</v>
      </c>
      <c r="AA67" s="831">
        <f ca="1">IF(AND(V67&lt;&gt;"",W67&lt;&gt;"",V67&lt;&gt;W67,Vorrunde!$R15&lt;&gt;"",Vorrunde!$T15&lt;&gt;""),1,0)</f>
        <v>1</v>
      </c>
      <c r="AB67" s="831" t="str">
        <f ca="1">IF(AA67&gt;0,AH67&amp;Sprache!$E$109&amp;AI67,"")</f>
        <v>39 : 50</v>
      </c>
      <c r="AC67" s="141" t="str">
        <f ca="1">IF(AA67&gt;0,AJ67&amp;Sprache!$E$109&amp;AK67,"")</f>
        <v>0 : 2</v>
      </c>
      <c r="AD67" s="145">
        <f ca="1">IF(AND($AA67=1,Vorrunde!$L15&lt;&gt;"",Vorrunde!$N15&lt;&gt;"",ABS(Vorrunde!$L15-Vorrunde!$N15)&gt;1),Vorrunde!$L15,"")</f>
        <v>17</v>
      </c>
      <c r="AE67" s="141">
        <f ca="1">IF(AND($AA67=1,Vorrunde!$L15&lt;&gt;"",Vorrunde!$N15&lt;&gt;"",ABS(Vorrunde!$L15-Vorrunde!$N15)&gt;1),Vorrunde!$N15,"")</f>
        <v>25</v>
      </c>
      <c r="AF67" s="145" t="str">
        <f ca="1">IF(AND($AA67=1,Vorrunde!$O15&lt;&gt;"",Vorrunde!$Q15&lt;&gt;"",ABS(Vorrunde!$O15-Vorrunde!$Q15)&gt;1),Vorrunde!$O15,"")</f>
        <v/>
      </c>
      <c r="AG67" s="141" t="str">
        <f ca="1">IF(AND($AA67=1,Vorrunde!$O15&lt;&gt;"",Vorrunde!$Q15&lt;&gt;"",ABS(Vorrunde!$O15-Vorrunde!$Q15)&gt;1),Vorrunde!$Q15,"")</f>
        <v/>
      </c>
      <c r="AH67" s="145">
        <f t="shared" ca="1" si="68"/>
        <v>39</v>
      </c>
      <c r="AI67" s="141">
        <f t="shared" ca="1" si="69"/>
        <v>50</v>
      </c>
      <c r="AJ67" s="145">
        <f ca="1">IF(Vorrunde!$R15="",0,Vorrunde!$R15)</f>
        <v>0</v>
      </c>
      <c r="AK67" s="141">
        <f ca="1">IF(Vorrunde!$T15="",0,Vorrunde!$T15)</f>
        <v>2</v>
      </c>
      <c r="AL67" s="145">
        <f ca="1">IF($AA67=0,"",IF($AJ67&gt;$AK67,Einstellungen!$C$4,IF($AJ67=$AK67,1,0)))</f>
        <v>0</v>
      </c>
      <c r="AM67" s="141">
        <f ca="1">IF($AA67=0,"",IF($AJ67&lt;$AK67,Einstellungen!$C$4,IF($AJ67=$AK67,1,0)))</f>
        <v>2</v>
      </c>
      <c r="AN67" s="778"/>
    </row>
    <row r="68" spans="2:40" s="2" customFormat="1" x14ac:dyDescent="0.2">
      <c r="P68" s="45" t="s">
        <v>10</v>
      </c>
      <c r="Q68" s="60" t="str">
        <f>IF(Planung!$C$66="","",Planung!$C$66)</f>
        <v>SV Oberredenburg</v>
      </c>
      <c r="U68" s="66" t="s">
        <v>10</v>
      </c>
      <c r="V68" s="40" t="str">
        <f ca="1">Planung!$L10</f>
        <v>Eintracht Frankfurt</v>
      </c>
      <c r="W68" s="778" t="str">
        <f ca="1">Planung!$N10</f>
        <v>Maibach 1822 eV</v>
      </c>
      <c r="X68" s="831">
        <f ca="1">IF(AND($AA68=1,Vorrunde!$I16&lt;&gt;"",Vorrunde!$K16&lt;&gt;"",ABS(Vorrunde!$I16-Vorrunde!$K16)&gt;1),Vorrunde!$I16,"")</f>
        <v>25</v>
      </c>
      <c r="Y68" s="35">
        <f ca="1">IF(AND($AA68=1,Vorrunde!$I16&lt;&gt;"",Vorrunde!$K16&lt;&gt;"",ABS(Vorrunde!$I16-Vorrunde!$K16)&gt;1),Vorrunde!$K16,"")</f>
        <v>23</v>
      </c>
      <c r="Z68" s="34" t="str">
        <f t="shared" ca="1" si="67"/>
        <v>Eintracht FrankfurtMaibach 1822 eV</v>
      </c>
      <c r="AA68" s="831">
        <f ca="1">IF(AND(V68&lt;&gt;"",W68&lt;&gt;"",V68&lt;&gt;W68,Vorrunde!$R16&lt;&gt;"",Vorrunde!$T16&lt;&gt;""),1,0)</f>
        <v>1</v>
      </c>
      <c r="AB68" s="831" t="str">
        <f ca="1">IF(AA68&gt;0,AH68&amp;Sprache!$E$109&amp;AI68,"")</f>
        <v>50 : 44</v>
      </c>
      <c r="AC68" s="141" t="str">
        <f ca="1">IF(AA68&gt;0,AJ68&amp;Sprache!$E$109&amp;AK68,"")</f>
        <v>2 : 0</v>
      </c>
      <c r="AD68" s="145">
        <f ca="1">IF(AND($AA68=1,Vorrunde!$L16&lt;&gt;"",Vorrunde!$N16&lt;&gt;"",ABS(Vorrunde!$L16-Vorrunde!$N16)&gt;1),Vorrunde!$L16,"")</f>
        <v>25</v>
      </c>
      <c r="AE68" s="141">
        <f ca="1">IF(AND($AA68=1,Vorrunde!$L16&lt;&gt;"",Vorrunde!$N16&lt;&gt;"",ABS(Vorrunde!$L16-Vorrunde!$N16)&gt;1),Vorrunde!$N16,"")</f>
        <v>21</v>
      </c>
      <c r="AF68" s="145" t="str">
        <f ca="1">IF(AND($AA68=1,Vorrunde!$O16&lt;&gt;"",Vorrunde!$Q16&lt;&gt;"",ABS(Vorrunde!$O16-Vorrunde!$Q16)&gt;1),Vorrunde!$O16,"")</f>
        <v/>
      </c>
      <c r="AG68" s="141" t="str">
        <f ca="1">IF(AND($AA68=1,Vorrunde!$O16&lt;&gt;"",Vorrunde!$Q16&lt;&gt;"",ABS(Vorrunde!$O16-Vorrunde!$Q16)&gt;1),Vorrunde!$Q16,"")</f>
        <v/>
      </c>
      <c r="AH68" s="145">
        <f t="shared" ca="1" si="68"/>
        <v>50</v>
      </c>
      <c r="AI68" s="141">
        <f t="shared" ca="1" si="69"/>
        <v>44</v>
      </c>
      <c r="AJ68" s="145">
        <f ca="1">IF(Vorrunde!$R16="",0,Vorrunde!$R16)</f>
        <v>2</v>
      </c>
      <c r="AK68" s="141">
        <f ca="1">IF(Vorrunde!$T16="",0,Vorrunde!$T16)</f>
        <v>0</v>
      </c>
      <c r="AL68" s="145">
        <f ca="1">IF($AA68=0,"",IF($AJ68&gt;$AK68,Einstellungen!$C$4,IF($AJ68=$AK68,1,0)))</f>
        <v>2</v>
      </c>
      <c r="AM68" s="141">
        <f ca="1">IF($AA68=0,"",IF($AJ68&lt;$AK68,Einstellungen!$C$4,IF($AJ68=$AK68,1,0)))</f>
        <v>0</v>
      </c>
      <c r="AN68" s="778"/>
    </row>
    <row r="69" spans="2:40" s="2" customFormat="1" x14ac:dyDescent="0.2">
      <c r="P69" s="45" t="s">
        <v>11</v>
      </c>
      <c r="Q69" s="60" t="str">
        <f>IF(Planung!$C$68="","",Planung!$C$68)</f>
        <v/>
      </c>
      <c r="U69" s="66" t="s">
        <v>11</v>
      </c>
      <c r="V69" s="40" t="str">
        <f ca="1">Planung!$L11</f>
        <v>SSV Wildbach</v>
      </c>
      <c r="W69" s="778" t="str">
        <f ca="1">Planung!$N11</f>
        <v>Manchester City</v>
      </c>
      <c r="X69" s="831">
        <f ca="1">IF(AND($AA69=1,Vorrunde!$I17&lt;&gt;"",Vorrunde!$K17&lt;&gt;"",ABS(Vorrunde!$I17-Vorrunde!$K17)&gt;1),Vorrunde!$I17,"")</f>
        <v>18</v>
      </c>
      <c r="Y69" s="35">
        <f ca="1">IF(AND($AA69=1,Vorrunde!$I17&lt;&gt;"",Vorrunde!$K17&lt;&gt;"",ABS(Vorrunde!$I17-Vorrunde!$K17)&gt;1),Vorrunde!$K17,"")</f>
        <v>25</v>
      </c>
      <c r="Z69" s="34" t="str">
        <f t="shared" ca="1" si="67"/>
        <v>SSV WildbachManchester City</v>
      </c>
      <c r="AA69" s="831">
        <f ca="1">IF(AND(V69&lt;&gt;"",W69&lt;&gt;"",V69&lt;&gt;W69,Vorrunde!$R17&lt;&gt;"",Vorrunde!$T17&lt;&gt;""),1,0)</f>
        <v>1</v>
      </c>
      <c r="AB69" s="831" t="str">
        <f ca="1">IF(AA69&gt;0,AH69&amp;Sprache!$E$109&amp;AI69,"")</f>
        <v>40 : 50</v>
      </c>
      <c r="AC69" s="141" t="str">
        <f ca="1">IF(AA69&gt;0,AJ69&amp;Sprache!$E$109&amp;AK69,"")</f>
        <v>0 : 2</v>
      </c>
      <c r="AD69" s="145">
        <f ca="1">IF(AND($AA69=1,Vorrunde!$L17&lt;&gt;"",Vorrunde!$N17&lt;&gt;"",ABS(Vorrunde!$L17-Vorrunde!$N17)&gt;1),Vorrunde!$L17,"")</f>
        <v>22</v>
      </c>
      <c r="AE69" s="141">
        <f ca="1">IF(AND($AA69=1,Vorrunde!$L17&lt;&gt;"",Vorrunde!$N17&lt;&gt;"",ABS(Vorrunde!$L17-Vorrunde!$N17)&gt;1),Vorrunde!$N17,"")</f>
        <v>25</v>
      </c>
      <c r="AF69" s="145" t="str">
        <f ca="1">IF(AND($AA69=1,Vorrunde!$O17&lt;&gt;"",Vorrunde!$Q17&lt;&gt;"",ABS(Vorrunde!$O17-Vorrunde!$Q17)&gt;1),Vorrunde!$O17,"")</f>
        <v/>
      </c>
      <c r="AG69" s="141" t="str">
        <f ca="1">IF(AND($AA69=1,Vorrunde!$O17&lt;&gt;"",Vorrunde!$Q17&lt;&gt;"",ABS(Vorrunde!$O17-Vorrunde!$Q17)&gt;1),Vorrunde!$Q17,"")</f>
        <v/>
      </c>
      <c r="AH69" s="145">
        <f t="shared" ca="1" si="68"/>
        <v>40</v>
      </c>
      <c r="AI69" s="141">
        <f t="shared" ca="1" si="69"/>
        <v>50</v>
      </c>
      <c r="AJ69" s="145">
        <f ca="1">IF(Vorrunde!$R17="",0,Vorrunde!$R17)</f>
        <v>0</v>
      </c>
      <c r="AK69" s="141">
        <f ca="1">IF(Vorrunde!$T17="",0,Vorrunde!$T17)</f>
        <v>2</v>
      </c>
      <c r="AL69" s="145">
        <f ca="1">IF($AA69=0,"",IF($AJ69&gt;$AK69,Einstellungen!$C$4,IF($AJ69=$AK69,1,0)))</f>
        <v>0</v>
      </c>
      <c r="AM69" s="141">
        <f ca="1">IF($AA69=0,"",IF($AJ69&lt;$AK69,Einstellungen!$C$4,IF($AJ69=$AK69,1,0)))</f>
        <v>2</v>
      </c>
      <c r="AN69" s="778"/>
    </row>
    <row r="70" spans="2:40" s="2" customFormat="1" x14ac:dyDescent="0.2">
      <c r="P70" s="45"/>
      <c r="Q70" s="60" t="str">
        <f>""</f>
        <v/>
      </c>
      <c r="U70" s="66" t="s">
        <v>16</v>
      </c>
      <c r="V70" s="40" t="str">
        <f ca="1">Planung!$L12</f>
        <v>Borussia Dortmund</v>
      </c>
      <c r="W70" s="778" t="str">
        <f ca="1">Planung!$N12</f>
        <v>FSV Rauen</v>
      </c>
      <c r="X70" s="831">
        <f ca="1">IF(AND($AA70=1,Vorrunde!$I18&lt;&gt;"",Vorrunde!$K18&lt;&gt;"",ABS(Vorrunde!$I18-Vorrunde!$K18)&gt;1),Vorrunde!$I18,"")</f>
        <v>20</v>
      </c>
      <c r="Y70" s="35">
        <f ca="1">IF(AND($AA70=1,Vorrunde!$I18&lt;&gt;"",Vorrunde!$K18&lt;&gt;"",ABS(Vorrunde!$I18-Vorrunde!$K18)&gt;1),Vorrunde!$K18,"")</f>
        <v>25</v>
      </c>
      <c r="Z70" s="34" t="str">
        <f t="shared" ca="1" si="67"/>
        <v>Borussia DortmundFSV Rauen</v>
      </c>
      <c r="AA70" s="831">
        <f ca="1">IF(AND(V70&lt;&gt;"",W70&lt;&gt;"",V70&lt;&gt;W70,Vorrunde!$R18&lt;&gt;"",Vorrunde!$T18&lt;&gt;""),1,0)</f>
        <v>1</v>
      </c>
      <c r="AB70" s="831" t="str">
        <f ca="1">IF(AA70&gt;0,AH70&amp;Sprache!$E$109&amp;AI70,"")</f>
        <v>70 : 61</v>
      </c>
      <c r="AC70" s="141" t="str">
        <f ca="1">IF(AA70&gt;0,AJ70&amp;Sprache!$E$109&amp;AK70,"")</f>
        <v>2 : 1</v>
      </c>
      <c r="AD70" s="145">
        <f ca="1">IF(AND($AA70=1,Vorrunde!$L18&lt;&gt;"",Vorrunde!$N18&lt;&gt;"",ABS(Vorrunde!$L18-Vorrunde!$N18)&gt;1),Vorrunde!$L18,"")</f>
        <v>25</v>
      </c>
      <c r="AE70" s="141">
        <f ca="1">IF(AND($AA70=1,Vorrunde!$L18&lt;&gt;"",Vorrunde!$N18&lt;&gt;"",ABS(Vorrunde!$L18-Vorrunde!$N18)&gt;1),Vorrunde!$N18,"")</f>
        <v>23</v>
      </c>
      <c r="AF70" s="145">
        <f ca="1">IF(AND($AA70=1,Vorrunde!$O18&lt;&gt;"",Vorrunde!$Q18&lt;&gt;"",ABS(Vorrunde!$O18-Vorrunde!$Q18)&gt;1),Vorrunde!$O18,"")</f>
        <v>25</v>
      </c>
      <c r="AG70" s="141">
        <f ca="1">IF(AND($AA70=1,Vorrunde!$O18&lt;&gt;"",Vorrunde!$Q18&lt;&gt;"",ABS(Vorrunde!$O18-Vorrunde!$Q18)&gt;1),Vorrunde!$Q18,"")</f>
        <v>13</v>
      </c>
      <c r="AH70" s="145">
        <f t="shared" ca="1" si="68"/>
        <v>70</v>
      </c>
      <c r="AI70" s="141">
        <f t="shared" ca="1" si="69"/>
        <v>61</v>
      </c>
      <c r="AJ70" s="145">
        <f ca="1">IF(Vorrunde!$R18="",0,Vorrunde!$R18)</f>
        <v>2</v>
      </c>
      <c r="AK70" s="141">
        <f ca="1">IF(Vorrunde!$T18="",0,Vorrunde!$T18)</f>
        <v>1</v>
      </c>
      <c r="AL70" s="145">
        <f ca="1">IF($AA70=0,"",IF($AJ70&gt;$AK70,Einstellungen!$C$4,IF($AJ70=$AK70,1,0)))</f>
        <v>2</v>
      </c>
      <c r="AM70" s="141">
        <f ca="1">IF($AA70=0,"",IF($AJ70&lt;$AK70,Einstellungen!$C$4,IF($AJ70=$AK70,1,0)))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Planung!$L13</f>
        <v>HSV</v>
      </c>
      <c r="W71" s="778" t="str">
        <f ca="1">Planung!$N13</f>
        <v>RB Leipzig</v>
      </c>
      <c r="X71" s="831">
        <f ca="1">IF(AND($AA71=1,Vorrunde!$I19&lt;&gt;"",Vorrunde!$K19&lt;&gt;"",ABS(Vorrunde!$I19-Vorrunde!$K19)&gt;1),Vorrunde!$I19,"")</f>
        <v>19</v>
      </c>
      <c r="Y71" s="35">
        <f ca="1">IF(AND($AA71=1,Vorrunde!$I19&lt;&gt;"",Vorrunde!$K19&lt;&gt;"",ABS(Vorrunde!$I19-Vorrunde!$K19)&gt;1),Vorrunde!$K19,"")</f>
        <v>25</v>
      </c>
      <c r="Z71" s="34" t="str">
        <f t="shared" ca="1" si="67"/>
        <v>HSVRB Leipzig</v>
      </c>
      <c r="AA71" s="831">
        <f ca="1">IF(AND(V71&lt;&gt;"",W71&lt;&gt;"",V71&lt;&gt;W71,Vorrunde!$R19&lt;&gt;"",Vorrunde!$T19&lt;&gt;""),1,0)</f>
        <v>1</v>
      </c>
      <c r="AB71" s="831" t="str">
        <f ca="1">IF(AA71&gt;0,AH71&amp;Sprache!$E$109&amp;AI71,"")</f>
        <v>66 : 67</v>
      </c>
      <c r="AC71" s="141" t="str">
        <f ca="1">IF(AA71&gt;0,AJ71&amp;Sprache!$E$109&amp;AK71,"")</f>
        <v>1 : 2</v>
      </c>
      <c r="AD71" s="145">
        <f ca="1">IF(AND($AA71=1,Vorrunde!$L19&lt;&gt;"",Vorrunde!$N19&lt;&gt;"",ABS(Vorrunde!$L19-Vorrunde!$N19)&gt;1),Vorrunde!$L19,"")</f>
        <v>25</v>
      </c>
      <c r="AE71" s="141">
        <f ca="1">IF(AND($AA71=1,Vorrunde!$L19&lt;&gt;"",Vorrunde!$N19&lt;&gt;"",ABS(Vorrunde!$L19-Vorrunde!$N19)&gt;1),Vorrunde!$N19,"")</f>
        <v>17</v>
      </c>
      <c r="AF71" s="145">
        <f ca="1">IF(AND($AA71=1,Vorrunde!$O19&lt;&gt;"",Vorrunde!$Q19&lt;&gt;"",ABS(Vorrunde!$O19-Vorrunde!$Q19)&gt;1),Vorrunde!$O19,"")</f>
        <v>22</v>
      </c>
      <c r="AG71" s="141">
        <f ca="1">IF(AND($AA71=1,Vorrunde!$O19&lt;&gt;"",Vorrunde!$Q19&lt;&gt;"",ABS(Vorrunde!$O19-Vorrunde!$Q19)&gt;1),Vorrunde!$Q19,"")</f>
        <v>25</v>
      </c>
      <c r="AH71" s="145">
        <f t="shared" ca="1" si="68"/>
        <v>66</v>
      </c>
      <c r="AI71" s="141">
        <f t="shared" ca="1" si="69"/>
        <v>67</v>
      </c>
      <c r="AJ71" s="145">
        <f ca="1">IF(Vorrunde!$R19="",0,Vorrunde!$R19)</f>
        <v>1</v>
      </c>
      <c r="AK71" s="141">
        <f ca="1">IF(Vorrunde!$T19="",0,Vorrunde!$T19)</f>
        <v>2</v>
      </c>
      <c r="AL71" s="145">
        <f ca="1">IF($AA71=0,"",IF($AJ71&gt;$AK71,Einstellungen!$C$4,IF($AJ71=$AK71,1,0)))</f>
        <v>0</v>
      </c>
      <c r="AM71" s="141">
        <f ca="1">IF($AA71=0,"",IF($AJ71&lt;$AK71,Einstellungen!$C$4,IF($AJ71=$AK71,1,0)))</f>
        <v>2</v>
      </c>
      <c r="AN71" s="778"/>
    </row>
    <row r="72" spans="2:40" s="2" customFormat="1" ht="12.75" thickBot="1" x14ac:dyDescent="0.25">
      <c r="B72" s="4"/>
      <c r="C72" s="4"/>
      <c r="D72" s="4"/>
      <c r="E72" s="4"/>
      <c r="F72" s="778"/>
      <c r="G72" s="778"/>
      <c r="H72" s="778"/>
      <c r="I72" s="778"/>
      <c r="J72" s="778"/>
      <c r="K72" s="778"/>
      <c r="L72" s="778"/>
      <c r="M72" s="778"/>
      <c r="P72" s="46"/>
      <c r="Q72" s="61" t="str">
        <f>""</f>
        <v/>
      </c>
      <c r="U72" s="66" t="s">
        <v>18</v>
      </c>
      <c r="V72" s="40" t="str">
        <f ca="1">Planung!$L14</f>
        <v>VFB Essenheim</v>
      </c>
      <c r="W72" s="778" t="str">
        <f ca="1">Planung!$N14</f>
        <v>1. FC Riedwald</v>
      </c>
      <c r="X72" s="831">
        <f ca="1">IF(AND($AA72=1,Vorrunde!$I20&lt;&gt;"",Vorrunde!$K20&lt;&gt;"",ABS(Vorrunde!$I20-Vorrunde!$K20)&gt;1),Vorrunde!$I20,"")</f>
        <v>16</v>
      </c>
      <c r="Y72" s="35">
        <f ca="1">IF(AND($AA72=1,Vorrunde!$I20&lt;&gt;"",Vorrunde!$K20&lt;&gt;"",ABS(Vorrunde!$I20-Vorrunde!$K20)&gt;1),Vorrunde!$K20,"")</f>
        <v>25</v>
      </c>
      <c r="Z72" s="34" t="str">
        <f t="shared" ca="1" si="67"/>
        <v>VFB Essenheim1. FC Riedwald</v>
      </c>
      <c r="AA72" s="831">
        <f ca="1">IF(AND(V72&lt;&gt;"",W72&lt;&gt;"",V72&lt;&gt;W72,Vorrunde!$R20&lt;&gt;"",Vorrunde!$T20&lt;&gt;""),1,0)</f>
        <v>1</v>
      </c>
      <c r="AB72" s="831" t="str">
        <f ca="1">IF(AA72&gt;0,AH72&amp;Sprache!$E$109&amp;AI72,"")</f>
        <v>65 : 69</v>
      </c>
      <c r="AC72" s="141" t="str">
        <f ca="1">IF(AA72&gt;0,AJ72&amp;Sprache!$E$109&amp;AK72,"")</f>
        <v>1 : 2</v>
      </c>
      <c r="AD72" s="145">
        <f ca="1">IF(AND($AA72=1,Vorrunde!$L20&lt;&gt;"",Vorrunde!$N20&lt;&gt;"",ABS(Vorrunde!$L20-Vorrunde!$N20)&gt;1),Vorrunde!$L20,"")</f>
        <v>25</v>
      </c>
      <c r="AE72" s="141">
        <f ca="1">IF(AND($AA72=1,Vorrunde!$L20&lt;&gt;"",Vorrunde!$N20&lt;&gt;"",ABS(Vorrunde!$L20-Vorrunde!$N20)&gt;1),Vorrunde!$N20,"")</f>
        <v>18</v>
      </c>
      <c r="AF72" s="145">
        <f ca="1">IF(AND($AA72=1,Vorrunde!$O20&lt;&gt;"",Vorrunde!$Q20&lt;&gt;"",ABS(Vorrunde!$O20-Vorrunde!$Q20)&gt;1),Vorrunde!$O20,"")</f>
        <v>24</v>
      </c>
      <c r="AG72" s="141">
        <f ca="1">IF(AND($AA72=1,Vorrunde!$O20&lt;&gt;"",Vorrunde!$Q20&lt;&gt;"",ABS(Vorrunde!$O20-Vorrunde!$Q20)&gt;1),Vorrunde!$Q20,"")</f>
        <v>26</v>
      </c>
      <c r="AH72" s="145">
        <f t="shared" ca="1" si="68"/>
        <v>65</v>
      </c>
      <c r="AI72" s="141">
        <f t="shared" ca="1" si="69"/>
        <v>69</v>
      </c>
      <c r="AJ72" s="145">
        <f ca="1">IF(Vorrunde!$R20="",0,Vorrunde!$R20)</f>
        <v>1</v>
      </c>
      <c r="AK72" s="141">
        <f ca="1">IF(Vorrunde!$T20="",0,Vorrunde!$T20)</f>
        <v>2</v>
      </c>
      <c r="AL72" s="145">
        <f ca="1">IF($AA72=0,"",IF($AJ72&gt;$AK72,Einstellungen!$C$4,IF($AJ72=$AK72,1,0)))</f>
        <v>0</v>
      </c>
      <c r="AM72" s="141">
        <f ca="1">IF($AA72=0,"",IF($AJ72&lt;$AK72,Einstellungen!$C$4,IF($AJ72=$AK72,1,0)))</f>
        <v>2</v>
      </c>
      <c r="AN72" s="778"/>
    </row>
    <row r="73" spans="2:40" s="2" customFormat="1" ht="12.75" thickTop="1" x14ac:dyDescent="0.2">
      <c r="B73" s="4"/>
      <c r="C73" s="4"/>
      <c r="D73" s="4"/>
      <c r="E73" s="4"/>
      <c r="F73" s="778"/>
      <c r="G73" s="778"/>
      <c r="H73" s="778"/>
      <c r="I73" s="778"/>
      <c r="J73" s="778"/>
      <c r="K73" s="778"/>
      <c r="L73" s="778"/>
      <c r="M73" s="778"/>
      <c r="U73" s="66" t="s">
        <v>24</v>
      </c>
      <c r="V73" s="40" t="str">
        <f ca="1">Planung!$L15</f>
        <v>FC Grönlingen</v>
      </c>
      <c r="W73" s="778" t="str">
        <f ca="1">Planung!$N15</f>
        <v>Mainz 05</v>
      </c>
      <c r="X73" s="831">
        <f ca="1">IF(AND($AA73=1,Vorrunde!$I21&lt;&gt;"",Vorrunde!$K21&lt;&gt;"",ABS(Vorrunde!$I21-Vorrunde!$K21)&gt;1),Vorrunde!$I21,"")</f>
        <v>14</v>
      </c>
      <c r="Y73" s="35">
        <f ca="1">IF(AND($AA73=1,Vorrunde!$I21&lt;&gt;"",Vorrunde!$K21&lt;&gt;"",ABS(Vorrunde!$I21-Vorrunde!$K21)&gt;1),Vorrunde!$K21,"")</f>
        <v>25</v>
      </c>
      <c r="Z73" s="34" t="str">
        <f t="shared" ca="1" si="67"/>
        <v>FC GrönlingenMainz 05</v>
      </c>
      <c r="AA73" s="831">
        <f ca="1">IF(AND(V73&lt;&gt;"",W73&lt;&gt;"",V73&lt;&gt;W73,Vorrunde!$R21&lt;&gt;"",Vorrunde!$T21&lt;&gt;""),1,0)</f>
        <v>1</v>
      </c>
      <c r="AB73" s="831" t="str">
        <f ca="1">IF(AA73&gt;0,AH73&amp;Sprache!$E$109&amp;AI73,"")</f>
        <v>33 : 50</v>
      </c>
      <c r="AC73" s="141" t="str">
        <f ca="1">IF(AA73&gt;0,AJ73&amp;Sprache!$E$109&amp;AK73,"")</f>
        <v>0 : 2</v>
      </c>
      <c r="AD73" s="145">
        <f ca="1">IF(AND($AA73=1,Vorrunde!$L21&lt;&gt;"",Vorrunde!$N21&lt;&gt;"",ABS(Vorrunde!$L21-Vorrunde!$N21)&gt;1),Vorrunde!$L21,"")</f>
        <v>19</v>
      </c>
      <c r="AE73" s="141">
        <f ca="1">IF(AND($AA73=1,Vorrunde!$L21&lt;&gt;"",Vorrunde!$N21&lt;&gt;"",ABS(Vorrunde!$L21-Vorrunde!$N21)&gt;1),Vorrunde!$N21,"")</f>
        <v>25</v>
      </c>
      <c r="AF73" s="145" t="str">
        <f ca="1">IF(AND($AA73=1,Vorrunde!$O21&lt;&gt;"",Vorrunde!$Q21&lt;&gt;"",ABS(Vorrunde!$O21-Vorrunde!$Q21)&gt;1),Vorrunde!$O21,"")</f>
        <v/>
      </c>
      <c r="AG73" s="141" t="str">
        <f ca="1">IF(AND($AA73=1,Vorrunde!$O21&lt;&gt;"",Vorrunde!$Q21&lt;&gt;"",ABS(Vorrunde!$O21-Vorrunde!$Q21)&gt;1),Vorrunde!$Q21,"")</f>
        <v/>
      </c>
      <c r="AH73" s="145">
        <f t="shared" ca="1" si="68"/>
        <v>33</v>
      </c>
      <c r="AI73" s="141">
        <f t="shared" ca="1" si="69"/>
        <v>50</v>
      </c>
      <c r="AJ73" s="145">
        <f ca="1">IF(Vorrunde!$R21="",0,Vorrunde!$R21)</f>
        <v>0</v>
      </c>
      <c r="AK73" s="141">
        <f ca="1">IF(Vorrunde!$T21="",0,Vorrunde!$T21)</f>
        <v>2</v>
      </c>
      <c r="AL73" s="145">
        <f ca="1">IF($AA73=0,"",IF($AJ73&gt;$AK73,Einstellungen!$C$4,IF($AJ73=$AK73,1,0)))</f>
        <v>0</v>
      </c>
      <c r="AM73" s="141">
        <f ca="1">IF($AA73=0,"",IF($AJ73&lt;$AK73,Einstellungen!$C$4,IF($AJ73=$AK73,1,0)))</f>
        <v>2</v>
      </c>
      <c r="AN73" s="778"/>
    </row>
    <row r="74" spans="2:40" s="2" customFormat="1" x14ac:dyDescent="0.2">
      <c r="B74" s="4"/>
      <c r="C74" s="4"/>
      <c r="D74" s="4"/>
      <c r="E74" s="4"/>
      <c r="F74" s="778"/>
      <c r="G74" s="778"/>
      <c r="H74" s="778"/>
      <c r="I74" s="778"/>
      <c r="J74" s="778"/>
      <c r="K74" s="778"/>
      <c r="L74" s="778"/>
      <c r="M74" s="778"/>
      <c r="U74" s="66" t="s">
        <v>25</v>
      </c>
      <c r="V74" s="40" t="str">
        <f ca="1">Planung!$L16</f>
        <v>1. FC Nürnberg</v>
      </c>
      <c r="W74" s="778" t="str">
        <f ca="1">Planung!$N16</f>
        <v>Kickers Rodendorf</v>
      </c>
      <c r="X74" s="831">
        <f ca="1">IF(AND($AA74=1,Vorrunde!$I22&lt;&gt;"",Vorrunde!$K22&lt;&gt;"",ABS(Vorrunde!$I22-Vorrunde!$K22)&gt;1),Vorrunde!$I22,"")</f>
        <v>25</v>
      </c>
      <c r="Y74" s="35">
        <f ca="1">IF(AND($AA74=1,Vorrunde!$I22&lt;&gt;"",Vorrunde!$K22&lt;&gt;"",ABS(Vorrunde!$I22-Vorrunde!$K22)&gt;1),Vorrunde!$K22,"")</f>
        <v>22</v>
      </c>
      <c r="Z74" s="34" t="str">
        <f ca="1">V74&amp;W74</f>
        <v>1. FC NürnbergKickers Rodendorf</v>
      </c>
      <c r="AA74" s="831">
        <f ca="1">IF(AND(V74&lt;&gt;"",W74&lt;&gt;"",V74&lt;&gt;W74,Vorrunde!$R22&lt;&gt;"",Vorrunde!$T22&lt;&gt;""),1,0)</f>
        <v>1</v>
      </c>
      <c r="AB74" s="831" t="str">
        <f ca="1">IF(AA74&gt;0,AH74&amp;Sprache!$E$109&amp;AI74,"")</f>
        <v>50 : 42</v>
      </c>
      <c r="AC74" s="141" t="str">
        <f ca="1">IF(AA74&gt;0,AJ74&amp;Sprache!$E$109&amp;AK74,"")</f>
        <v>2 : 0</v>
      </c>
      <c r="AD74" s="145">
        <f ca="1">IF(AND($AA74=1,Vorrunde!$L22&lt;&gt;"",Vorrunde!$N22&lt;&gt;"",ABS(Vorrunde!$L22-Vorrunde!$N22)&gt;1),Vorrunde!$L22,"")</f>
        <v>25</v>
      </c>
      <c r="AE74" s="141">
        <f ca="1">IF(AND($AA74=1,Vorrunde!$L22&lt;&gt;"",Vorrunde!$N22&lt;&gt;"",ABS(Vorrunde!$L22-Vorrunde!$N22)&gt;1),Vorrunde!$N22,"")</f>
        <v>20</v>
      </c>
      <c r="AF74" s="145" t="str">
        <f ca="1">IF(AND($AA74=1,Vorrunde!$O22&lt;&gt;"",Vorrunde!$Q22&lt;&gt;"",ABS(Vorrunde!$O22-Vorrunde!$Q22)&gt;1),Vorrunde!$O22,"")</f>
        <v/>
      </c>
      <c r="AG74" s="141" t="str">
        <f ca="1">IF(AND($AA74=1,Vorrunde!$O22&lt;&gt;"",Vorrunde!$Q22&lt;&gt;"",ABS(Vorrunde!$O22-Vorrunde!$Q22)&gt;1),Vorrunde!$Q22,"")</f>
        <v/>
      </c>
      <c r="AH74" s="145">
        <f t="shared" ca="1" si="68"/>
        <v>50</v>
      </c>
      <c r="AI74" s="141">
        <f t="shared" ca="1" si="69"/>
        <v>42</v>
      </c>
      <c r="AJ74" s="145">
        <f ca="1">IF(Vorrunde!$R22="",0,Vorrunde!$R22)</f>
        <v>2</v>
      </c>
      <c r="AK74" s="141">
        <f ca="1">IF(Vorrunde!$T22="",0,Vorrunde!$T22)</f>
        <v>0</v>
      </c>
      <c r="AL74" s="145">
        <f ca="1">IF($AA74=0,"",IF($AJ74&gt;$AK74,Einstellungen!$C$4,IF($AJ74=$AK74,1,0)))</f>
        <v>2</v>
      </c>
      <c r="AM74" s="141">
        <f ca="1">IF($AA74=0,"",IF($AJ74&lt;$AK74,Einstellungen!$C$4,IF($AJ74=$AK74,1,0)))</f>
        <v>0</v>
      </c>
    </row>
    <row r="75" spans="2:40" s="2" customFormat="1" x14ac:dyDescent="0.2">
      <c r="B75" s="4"/>
      <c r="C75" s="4"/>
      <c r="D75" s="4"/>
      <c r="E75" s="4"/>
      <c r="F75" s="778"/>
      <c r="G75" s="778"/>
      <c r="H75" s="778"/>
      <c r="I75" s="778"/>
      <c r="J75" s="778"/>
      <c r="K75" s="778"/>
      <c r="L75" s="778"/>
      <c r="M75" s="778"/>
      <c r="U75" s="66" t="s">
        <v>26</v>
      </c>
      <c r="V75" s="40" t="str">
        <f ca="1">Planung!$L17</f>
        <v>SV Oberredenburg</v>
      </c>
      <c r="W75" s="778" t="str">
        <f ca="1">Planung!$N17</f>
        <v>TSG Saalberg eV</v>
      </c>
      <c r="X75" s="831">
        <f ca="1">IF(AND($AA75=1,Vorrunde!$I23&lt;&gt;"",Vorrunde!$K23&lt;&gt;"",ABS(Vorrunde!$I23-Vorrunde!$K23)&gt;1),Vorrunde!$I23,"")</f>
        <v>19</v>
      </c>
      <c r="Y75" s="35">
        <f ca="1">IF(AND($AA75=1,Vorrunde!$I23&lt;&gt;"",Vorrunde!$K23&lt;&gt;"",ABS(Vorrunde!$I23-Vorrunde!$K23)&gt;1),Vorrunde!$K23,"")</f>
        <v>25</v>
      </c>
      <c r="Z75" s="34" t="str">
        <f t="shared" ref="Z75:Z123" ca="1" si="70">V75&amp;W75</f>
        <v>SV OberredenburgTSG Saalberg eV</v>
      </c>
      <c r="AA75" s="831">
        <f ca="1">IF(AND(V75&lt;&gt;"",W75&lt;&gt;"",V75&lt;&gt;W75,Vorrunde!$R23&lt;&gt;"",Vorrunde!$T23&lt;&gt;""),1,0)</f>
        <v>1</v>
      </c>
      <c r="AB75" s="831" t="str">
        <f ca="1">IF(AA75&gt;0,AH75&amp;Sprache!$E$109&amp;AI75,"")</f>
        <v>42 : 50</v>
      </c>
      <c r="AC75" s="141" t="str">
        <f ca="1">IF(AA75&gt;0,AJ75&amp;Sprache!$E$109&amp;AK75,"")</f>
        <v>0 : 2</v>
      </c>
      <c r="AD75" s="145">
        <f ca="1">IF(AND($AA75=1,Vorrunde!$L23&lt;&gt;"",Vorrunde!$N23&lt;&gt;"",ABS(Vorrunde!$L23-Vorrunde!$N23)&gt;1),Vorrunde!$L23,"")</f>
        <v>23</v>
      </c>
      <c r="AE75" s="141">
        <f ca="1">IF(AND($AA75=1,Vorrunde!$L23&lt;&gt;"",Vorrunde!$N23&lt;&gt;"",ABS(Vorrunde!$L23-Vorrunde!$N23)&gt;1),Vorrunde!$N23,"")</f>
        <v>25</v>
      </c>
      <c r="AF75" s="145" t="str">
        <f ca="1">IF(AND($AA75=1,Vorrunde!$O23&lt;&gt;"",Vorrunde!$Q23&lt;&gt;"",ABS(Vorrunde!$O23-Vorrunde!$Q23)&gt;1),Vorrunde!$O23,"")</f>
        <v/>
      </c>
      <c r="AG75" s="141" t="str">
        <f ca="1">IF(AND($AA75=1,Vorrunde!$O23&lt;&gt;"",Vorrunde!$Q23&lt;&gt;"",ABS(Vorrunde!$O23-Vorrunde!$Q23)&gt;1),Vorrunde!$Q23,"")</f>
        <v/>
      </c>
      <c r="AH75" s="145">
        <f t="shared" ca="1" si="68"/>
        <v>42</v>
      </c>
      <c r="AI75" s="141">
        <f t="shared" ca="1" si="69"/>
        <v>50</v>
      </c>
      <c r="AJ75" s="145">
        <f ca="1">IF(Vorrunde!$R23="",0,Vorrunde!$R23)</f>
        <v>0</v>
      </c>
      <c r="AK75" s="141">
        <f ca="1">IF(Vorrunde!$T23="",0,Vorrunde!$T23)</f>
        <v>2</v>
      </c>
      <c r="AL75" s="145">
        <f ca="1">IF($AA75=0,"",IF($AJ75&gt;$AK75,Einstellungen!$C$4,IF($AJ75=$AK75,1,0)))</f>
        <v>0</v>
      </c>
      <c r="AM75" s="141">
        <f ca="1">IF($AA75=0,"",IF($AJ75&lt;$AK75,Einstellungen!$C$4,IF($AJ75=$AK75,1,0)))</f>
        <v>2</v>
      </c>
    </row>
    <row r="76" spans="2:40" s="2" customFormat="1" x14ac:dyDescent="0.2">
      <c r="B76" s="4"/>
      <c r="C76" s="4"/>
      <c r="D76" s="4"/>
      <c r="E76" s="4"/>
      <c r="F76" s="778"/>
      <c r="G76" s="778"/>
      <c r="H76" s="778"/>
      <c r="I76" s="778"/>
      <c r="J76" s="778"/>
      <c r="K76" s="778"/>
      <c r="L76" s="778"/>
      <c r="M76" s="778"/>
      <c r="U76" s="66" t="s">
        <v>27</v>
      </c>
      <c r="V76" s="40" t="str">
        <f ca="1">Planung!$L18</f>
        <v>FC Barcelona</v>
      </c>
      <c r="W76" s="778" t="str">
        <f ca="1">Planung!$N18</f>
        <v>Eintracht Frankfurt</v>
      </c>
      <c r="X76" s="831">
        <f ca="1">IF(AND($AA76=1,Vorrunde!$I24&lt;&gt;"",Vorrunde!$K24&lt;&gt;"",ABS(Vorrunde!$I24-Vorrunde!$K24)&gt;1),Vorrunde!$I24,"")</f>
        <v>23</v>
      </c>
      <c r="Y76" s="35">
        <f ca="1">IF(AND($AA76=1,Vorrunde!$I24&lt;&gt;"",Vorrunde!$K24&lt;&gt;"",ABS(Vorrunde!$I24-Vorrunde!$K24)&gt;1),Vorrunde!$K24,"")</f>
        <v>25</v>
      </c>
      <c r="Z76" s="34" t="str">
        <f t="shared" ca="1" si="70"/>
        <v>FC BarcelonaEintracht Frankfurt</v>
      </c>
      <c r="AA76" s="831">
        <f ca="1">IF(AND(V76&lt;&gt;"",W76&lt;&gt;"",V76&lt;&gt;W76,Vorrunde!$R24&lt;&gt;"",Vorrunde!$T24&lt;&gt;""),1,0)</f>
        <v>1</v>
      </c>
      <c r="AB76" s="831" t="str">
        <f ca="1">IF(AA76&gt;0,AH76&amp;Sprache!$E$109&amp;AI76,"")</f>
        <v>69 : 72</v>
      </c>
      <c r="AC76" s="141" t="str">
        <f ca="1">IF(AA76&gt;0,AJ76&amp;Sprache!$E$109&amp;AK76,"")</f>
        <v>1 : 2</v>
      </c>
      <c r="AD76" s="145">
        <f ca="1">IF(AND($AA76=1,Vorrunde!$L24&lt;&gt;"",Vorrunde!$N24&lt;&gt;"",ABS(Vorrunde!$L24-Vorrunde!$N24)&gt;1),Vorrunde!$L24,"")</f>
        <v>25</v>
      </c>
      <c r="AE76" s="141">
        <f ca="1">IF(AND($AA76=1,Vorrunde!$L24&lt;&gt;"",Vorrunde!$N24&lt;&gt;"",ABS(Vorrunde!$L24-Vorrunde!$N24)&gt;1),Vorrunde!$N24,"")</f>
        <v>22</v>
      </c>
      <c r="AF76" s="145">
        <f ca="1">IF(AND($AA76=1,Vorrunde!$O24&lt;&gt;"",Vorrunde!$Q24&lt;&gt;"",ABS(Vorrunde!$O24-Vorrunde!$Q24)&gt;1),Vorrunde!$O24,"")</f>
        <v>21</v>
      </c>
      <c r="AG76" s="141">
        <f ca="1">IF(AND($AA76=1,Vorrunde!$O24&lt;&gt;"",Vorrunde!$Q24&lt;&gt;"",ABS(Vorrunde!$O24-Vorrunde!$Q24)&gt;1),Vorrunde!$Q24,"")</f>
        <v>25</v>
      </c>
      <c r="AH76" s="145">
        <f t="shared" ca="1" si="68"/>
        <v>69</v>
      </c>
      <c r="AI76" s="141">
        <f t="shared" ca="1" si="69"/>
        <v>72</v>
      </c>
      <c r="AJ76" s="145">
        <f ca="1">IF(Vorrunde!$R24="",0,Vorrunde!$R24)</f>
        <v>1</v>
      </c>
      <c r="AK76" s="141">
        <f ca="1">IF(Vorrunde!$T24="",0,Vorrunde!$T24)</f>
        <v>2</v>
      </c>
      <c r="AL76" s="145">
        <f ca="1">IF($AA76=0,"",IF($AJ76&gt;$AK76,Einstellungen!$C$4,IF($AJ76=$AK76,1,0)))</f>
        <v>0</v>
      </c>
      <c r="AM76" s="141">
        <f ca="1">IF($AA76=0,"",IF($AJ76&lt;$AK76,Einstellungen!$C$4,IF($AJ76=$AK76,1,0)))</f>
        <v>2</v>
      </c>
    </row>
    <row r="77" spans="2:40" s="2" customFormat="1" x14ac:dyDescent="0.2">
      <c r="B77" s="4"/>
      <c r="C77" s="4"/>
      <c r="D77" s="4"/>
      <c r="E77" s="4"/>
      <c r="F77" s="778"/>
      <c r="G77" s="778"/>
      <c r="H77" s="778"/>
      <c r="I77" s="778"/>
      <c r="J77" s="778"/>
      <c r="K77" s="778"/>
      <c r="L77" s="778"/>
      <c r="M77" s="778"/>
      <c r="U77" s="66" t="s">
        <v>28</v>
      </c>
      <c r="V77" s="40" t="str">
        <f ca="1">Planung!$L19</f>
        <v>Inter Mailand</v>
      </c>
      <c r="W77" s="778" t="str">
        <f ca="1">Planung!$N19</f>
        <v>SSV Wildbach</v>
      </c>
      <c r="X77" s="831">
        <f ca="1">IF(AND($AA77=1,Vorrunde!$I25&lt;&gt;"",Vorrunde!$K25&lt;&gt;"",ABS(Vorrunde!$I25-Vorrunde!$K25)&gt;1),Vorrunde!$I25,"")</f>
        <v>25</v>
      </c>
      <c r="Y77" s="35">
        <f ca="1">IF(AND($AA77=1,Vorrunde!$I25&lt;&gt;"",Vorrunde!$K25&lt;&gt;"",ABS(Vorrunde!$I25-Vorrunde!$K25)&gt;1),Vorrunde!$K25,"")</f>
        <v>14</v>
      </c>
      <c r="Z77" s="34" t="str">
        <f t="shared" ca="1" si="70"/>
        <v>Inter MailandSSV Wildbach</v>
      </c>
      <c r="AA77" s="831">
        <f ca="1">IF(AND(V77&lt;&gt;"",W77&lt;&gt;"",V77&lt;&gt;W77,Vorrunde!$R25&lt;&gt;"",Vorrunde!$T25&lt;&gt;""),1,0)</f>
        <v>1</v>
      </c>
      <c r="AB77" s="831" t="str">
        <f ca="1">IF(AA77&gt;0,AH77&amp;Sprache!$E$109&amp;AI77,"")</f>
        <v>50 : 37</v>
      </c>
      <c r="AC77" s="141" t="str">
        <f ca="1">IF(AA77&gt;0,AJ77&amp;Sprache!$E$109&amp;AK77,"")</f>
        <v>2 : 0</v>
      </c>
      <c r="AD77" s="145">
        <f ca="1">IF(AND($AA77=1,Vorrunde!$L25&lt;&gt;"",Vorrunde!$N25&lt;&gt;"",ABS(Vorrunde!$L25-Vorrunde!$N25)&gt;1),Vorrunde!$L25,"")</f>
        <v>25</v>
      </c>
      <c r="AE77" s="141">
        <f ca="1">IF(AND($AA77=1,Vorrunde!$L25&lt;&gt;"",Vorrunde!$N25&lt;&gt;"",ABS(Vorrunde!$L25-Vorrunde!$N25)&gt;1),Vorrunde!$N25,"")</f>
        <v>23</v>
      </c>
      <c r="AF77" s="145" t="str">
        <f ca="1">IF(AND($AA77=1,Vorrunde!$O25&lt;&gt;"",Vorrunde!$Q25&lt;&gt;"",ABS(Vorrunde!$O25-Vorrunde!$Q25)&gt;1),Vorrunde!$O25,"")</f>
        <v/>
      </c>
      <c r="AG77" s="141" t="str">
        <f ca="1">IF(AND($AA77=1,Vorrunde!$O25&lt;&gt;"",Vorrunde!$Q25&lt;&gt;"",ABS(Vorrunde!$O25-Vorrunde!$Q25)&gt;1),Vorrunde!$Q25,"")</f>
        <v/>
      </c>
      <c r="AH77" s="145">
        <f t="shared" ca="1" si="68"/>
        <v>50</v>
      </c>
      <c r="AI77" s="141">
        <f t="shared" ca="1" si="69"/>
        <v>37</v>
      </c>
      <c r="AJ77" s="145">
        <f ca="1">IF(Vorrunde!$R25="",0,Vorrunde!$R25)</f>
        <v>2</v>
      </c>
      <c r="AK77" s="141">
        <f ca="1">IF(Vorrunde!$T25="",0,Vorrunde!$T25)</f>
        <v>0</v>
      </c>
      <c r="AL77" s="145">
        <f ca="1">IF($AA77=0,"",IF($AJ77&gt;$AK77,Einstellungen!$C$4,IF($AJ77=$AK77,1,0)))</f>
        <v>2</v>
      </c>
      <c r="AM77" s="141">
        <f ca="1">IF($AA77=0,"",IF($AJ77&lt;$AK77,Einstellungen!$C$4,IF($AJ77=$AK77,1,0)))</f>
        <v>0</v>
      </c>
    </row>
    <row r="78" spans="2:40" s="2" customFormat="1" x14ac:dyDescent="0.2">
      <c r="B78" s="4"/>
      <c r="C78" s="4"/>
      <c r="D78" s="4"/>
      <c r="E78" s="4"/>
      <c r="F78" s="778"/>
      <c r="G78" s="778"/>
      <c r="H78" s="778"/>
      <c r="I78" s="778"/>
      <c r="J78" s="778"/>
      <c r="K78" s="778"/>
      <c r="L78" s="778"/>
      <c r="M78" s="778"/>
      <c r="U78" s="66" t="s">
        <v>29</v>
      </c>
      <c r="V78" s="40" t="str">
        <f ca="1">Planung!$L20</f>
        <v>Real Madrid</v>
      </c>
      <c r="W78" s="778" t="str">
        <f ca="1">Planung!$N20</f>
        <v>Borussia Dortmund</v>
      </c>
      <c r="X78" s="831">
        <f ca="1">IF(AND($AA78=1,Vorrunde!$I26&lt;&gt;"",Vorrunde!$K26&lt;&gt;"",ABS(Vorrunde!$I26-Vorrunde!$K26)&gt;1),Vorrunde!$I26,"")</f>
        <v>21</v>
      </c>
      <c r="Y78" s="35">
        <f ca="1">IF(AND($AA78=1,Vorrunde!$I26&lt;&gt;"",Vorrunde!$K26&lt;&gt;"",ABS(Vorrunde!$I26-Vorrunde!$K26)&gt;1),Vorrunde!$K26,"")</f>
        <v>25</v>
      </c>
      <c r="Z78" s="34" t="str">
        <f t="shared" ca="1" si="70"/>
        <v>Real MadridBorussia Dortmund</v>
      </c>
      <c r="AA78" s="831">
        <f ca="1">IF(AND(V78&lt;&gt;"",W78&lt;&gt;"",V78&lt;&gt;W78,Vorrunde!$R26&lt;&gt;"",Vorrunde!$T26&lt;&gt;""),1,0)</f>
        <v>1</v>
      </c>
      <c r="AB78" s="831" t="str">
        <f ca="1">IF(AA78&gt;0,AH78&amp;Sprache!$E$109&amp;AI78,"")</f>
        <v>71 : 62</v>
      </c>
      <c r="AC78" s="141" t="str">
        <f ca="1">IF(AA78&gt;0,AJ78&amp;Sprache!$E$109&amp;AK78,"")</f>
        <v>2 : 1</v>
      </c>
      <c r="AD78" s="145">
        <f ca="1">IF(AND($AA78=1,Vorrunde!$L26&lt;&gt;"",Vorrunde!$N26&lt;&gt;"",ABS(Vorrunde!$L26-Vorrunde!$N26)&gt;1),Vorrunde!$L26,"")</f>
        <v>25</v>
      </c>
      <c r="AE78" s="141">
        <f ca="1">IF(AND($AA78=1,Vorrunde!$L26&lt;&gt;"",Vorrunde!$N26&lt;&gt;"",ABS(Vorrunde!$L26-Vorrunde!$N26)&gt;1),Vorrunde!$N26,"")</f>
        <v>17</v>
      </c>
      <c r="AF78" s="145">
        <f ca="1">IF(AND($AA78=1,Vorrunde!$O26&lt;&gt;"",Vorrunde!$Q26&lt;&gt;"",ABS(Vorrunde!$O26-Vorrunde!$Q26)&gt;1),Vorrunde!$O26,"")</f>
        <v>25</v>
      </c>
      <c r="AG78" s="141">
        <f ca="1">IF(AND($AA78=1,Vorrunde!$O26&lt;&gt;"",Vorrunde!$Q26&lt;&gt;"",ABS(Vorrunde!$O26-Vorrunde!$Q26)&gt;1),Vorrunde!$Q26,"")</f>
        <v>20</v>
      </c>
      <c r="AH78" s="145">
        <f t="shared" ca="1" si="68"/>
        <v>71</v>
      </c>
      <c r="AI78" s="141">
        <f t="shared" ca="1" si="69"/>
        <v>62</v>
      </c>
      <c r="AJ78" s="145">
        <f ca="1">IF(Vorrunde!$R26="",0,Vorrunde!$R26)</f>
        <v>2</v>
      </c>
      <c r="AK78" s="141">
        <f ca="1">IF(Vorrunde!$T26="",0,Vorrunde!$T26)</f>
        <v>1</v>
      </c>
      <c r="AL78" s="145">
        <f ca="1">IF($AA78=0,"",IF($AJ78&gt;$AK78,Einstellungen!$C$4,IF($AJ78=$AK78,1,0)))</f>
        <v>2</v>
      </c>
      <c r="AM78" s="141">
        <f ca="1">IF($AA78=0,"",IF($AJ78&lt;$AK78,Einstellungen!$C$4,IF($AJ78=$AK78,1,0)))</f>
        <v>0</v>
      </c>
    </row>
    <row r="79" spans="2:40" s="2" customFormat="1" x14ac:dyDescent="0.2">
      <c r="B79" s="4"/>
      <c r="C79" s="4"/>
      <c r="D79" s="4"/>
      <c r="E79" s="4"/>
      <c r="F79" s="778"/>
      <c r="G79" s="778"/>
      <c r="H79" s="778"/>
      <c r="I79" s="778"/>
      <c r="J79" s="778"/>
      <c r="K79" s="778"/>
      <c r="L79" s="778"/>
      <c r="M79" s="778"/>
      <c r="U79" s="66" t="s">
        <v>30</v>
      </c>
      <c r="V79" s="40" t="str">
        <f ca="1">Planung!$L21</f>
        <v>Paris St. Germain</v>
      </c>
      <c r="W79" s="778" t="str">
        <f ca="1">Planung!$N21</f>
        <v>HSV</v>
      </c>
      <c r="X79" s="831">
        <f ca="1">IF(AND($AA79=1,Vorrunde!$I27&lt;&gt;"",Vorrunde!$K27&lt;&gt;"",ABS(Vorrunde!$I27-Vorrunde!$K27)&gt;1),Vorrunde!$I27,"")</f>
        <v>25</v>
      </c>
      <c r="Y79" s="35">
        <f ca="1">IF(AND($AA79=1,Vorrunde!$I27&lt;&gt;"",Vorrunde!$K27&lt;&gt;"",ABS(Vorrunde!$I27-Vorrunde!$K27)&gt;1),Vorrunde!$K27,"")</f>
        <v>12</v>
      </c>
      <c r="Z79" s="34" t="str">
        <f t="shared" ca="1" si="70"/>
        <v>Paris St. GermainHSV</v>
      </c>
      <c r="AA79" s="831">
        <f ca="1">IF(AND(V79&lt;&gt;"",W79&lt;&gt;"",V79&lt;&gt;W79,Vorrunde!$R27&lt;&gt;"",Vorrunde!$T27&lt;&gt;""),1,0)</f>
        <v>1</v>
      </c>
      <c r="AB79" s="831" t="str">
        <f ca="1">IF(AA79&gt;0,AH79&amp;Sprache!$E$109&amp;AI79,"")</f>
        <v>50 : 30</v>
      </c>
      <c r="AC79" s="141" t="str">
        <f ca="1">IF(AA79&gt;0,AJ79&amp;Sprache!$E$109&amp;AK79,"")</f>
        <v>2 : 0</v>
      </c>
      <c r="AD79" s="145">
        <f ca="1">IF(AND($AA79=1,Vorrunde!$L27&lt;&gt;"",Vorrunde!$N27&lt;&gt;"",ABS(Vorrunde!$L27-Vorrunde!$N27)&gt;1),Vorrunde!$L27,"")</f>
        <v>25</v>
      </c>
      <c r="AE79" s="141">
        <f ca="1">IF(AND($AA79=1,Vorrunde!$L27&lt;&gt;"",Vorrunde!$N27&lt;&gt;"",ABS(Vorrunde!$L27-Vorrunde!$N27)&gt;1),Vorrunde!$N27,"")</f>
        <v>18</v>
      </c>
      <c r="AF79" s="145" t="str">
        <f ca="1">IF(AND($AA79=1,Vorrunde!$O27&lt;&gt;"",Vorrunde!$Q27&lt;&gt;"",ABS(Vorrunde!$O27-Vorrunde!$Q27)&gt;1),Vorrunde!$O27,"")</f>
        <v/>
      </c>
      <c r="AG79" s="141" t="str">
        <f ca="1">IF(AND($AA79=1,Vorrunde!$O27&lt;&gt;"",Vorrunde!$Q27&lt;&gt;"",ABS(Vorrunde!$O27-Vorrunde!$Q27)&gt;1),Vorrunde!$Q27,"")</f>
        <v/>
      </c>
      <c r="AH79" s="145">
        <f t="shared" ca="1" si="68"/>
        <v>50</v>
      </c>
      <c r="AI79" s="141">
        <f t="shared" ca="1" si="69"/>
        <v>30</v>
      </c>
      <c r="AJ79" s="145">
        <f ca="1">IF(Vorrunde!$R27="",0,Vorrunde!$R27)</f>
        <v>2</v>
      </c>
      <c r="AK79" s="141">
        <f ca="1">IF(Vorrunde!$T27="",0,Vorrunde!$T27)</f>
        <v>0</v>
      </c>
      <c r="AL79" s="145">
        <f ca="1">IF($AA79=0,"",IF($AJ79&gt;$AK79,Einstellungen!$C$4,IF($AJ79=$AK79,1,0)))</f>
        <v>2</v>
      </c>
      <c r="AM79" s="141">
        <f ca="1">IF($AA79=0,"",IF($AJ79&lt;$AK79,Einstellungen!$C$4,IF($AJ79=$AK79,1,0)))</f>
        <v>0</v>
      </c>
    </row>
    <row r="80" spans="2:40" s="2" customFormat="1" x14ac:dyDescent="0.2">
      <c r="B80" s="4"/>
      <c r="C80" s="4"/>
      <c r="D80" s="4"/>
      <c r="E80" s="4"/>
      <c r="F80" s="778"/>
      <c r="G80" s="778"/>
      <c r="H80" s="778"/>
      <c r="I80" s="778"/>
      <c r="J80" s="778"/>
      <c r="K80" s="778"/>
      <c r="L80" s="778"/>
      <c r="M80" s="778"/>
      <c r="U80" s="66" t="s">
        <v>31</v>
      </c>
      <c r="V80" s="40" t="str">
        <f ca="1">Planung!$L22</f>
        <v>1. FC Riedwald</v>
      </c>
      <c r="W80" s="778" t="str">
        <f ca="1">Planung!$N22</f>
        <v>Maibach 1822 eV</v>
      </c>
      <c r="X80" s="831">
        <f ca="1">IF(AND($AA80=1,Vorrunde!$I28&lt;&gt;"",Vorrunde!$K28&lt;&gt;"",ABS(Vorrunde!$I28-Vorrunde!$K28)&gt;1),Vorrunde!$I28,"")</f>
        <v>25</v>
      </c>
      <c r="Y80" s="35">
        <f ca="1">IF(AND($AA80=1,Vorrunde!$I28&lt;&gt;"",Vorrunde!$K28&lt;&gt;"",ABS(Vorrunde!$I28-Vorrunde!$K28)&gt;1),Vorrunde!$K28,"")</f>
        <v>20</v>
      </c>
      <c r="Z80" s="34" t="str">
        <f t="shared" ca="1" si="70"/>
        <v>1. FC RiedwaldMaibach 1822 eV</v>
      </c>
      <c r="AA80" s="831">
        <f ca="1">IF(AND(V80&lt;&gt;"",W80&lt;&gt;"",V80&lt;&gt;W80,Vorrunde!$R28&lt;&gt;"",Vorrunde!$T28&lt;&gt;""),1,0)</f>
        <v>1</v>
      </c>
      <c r="AB80" s="831" t="str">
        <f ca="1">IF(AA80&gt;0,AH80&amp;Sprache!$E$109&amp;AI80,"")</f>
        <v>50 : 39</v>
      </c>
      <c r="AC80" s="141" t="str">
        <f ca="1">IF(AA80&gt;0,AJ80&amp;Sprache!$E$109&amp;AK80,"")</f>
        <v>2 : 0</v>
      </c>
      <c r="AD80" s="145">
        <f ca="1">IF(AND($AA80=1,Vorrunde!$L28&lt;&gt;"",Vorrunde!$N28&lt;&gt;"",ABS(Vorrunde!$L28-Vorrunde!$N28)&gt;1),Vorrunde!$L28,"")</f>
        <v>25</v>
      </c>
      <c r="AE80" s="141">
        <f ca="1">IF(AND($AA80=1,Vorrunde!$L28&lt;&gt;"",Vorrunde!$N28&lt;&gt;"",ABS(Vorrunde!$L28-Vorrunde!$N28)&gt;1),Vorrunde!$N28,"")</f>
        <v>19</v>
      </c>
      <c r="AF80" s="145" t="str">
        <f ca="1">IF(AND($AA80=1,Vorrunde!$O28&lt;&gt;"",Vorrunde!$Q28&lt;&gt;"",ABS(Vorrunde!$O28-Vorrunde!$Q28)&gt;1),Vorrunde!$O28,"")</f>
        <v/>
      </c>
      <c r="AG80" s="141" t="str">
        <f ca="1">IF(AND($AA80=1,Vorrunde!$O28&lt;&gt;"",Vorrunde!$Q28&lt;&gt;"",ABS(Vorrunde!$O28-Vorrunde!$Q28)&gt;1),Vorrunde!$Q28,"")</f>
        <v/>
      </c>
      <c r="AH80" s="145">
        <f t="shared" ca="1" si="68"/>
        <v>50</v>
      </c>
      <c r="AI80" s="141">
        <f t="shared" ca="1" si="69"/>
        <v>39</v>
      </c>
      <c r="AJ80" s="145">
        <f ca="1">IF(Vorrunde!$R28="",0,Vorrunde!$R28)</f>
        <v>2</v>
      </c>
      <c r="AK80" s="141">
        <f ca="1">IF(Vorrunde!$T28="",0,Vorrunde!$T28)</f>
        <v>0</v>
      </c>
      <c r="AL80" s="145">
        <f ca="1">IF($AA80=0,"",IF($AJ80&gt;$AK80,Einstellungen!$C$4,IF($AJ80=$AK80,1,0)))</f>
        <v>2</v>
      </c>
      <c r="AM80" s="141">
        <f ca="1">IF($AA80=0,"",IF($AJ80&lt;$AK80,Einstellungen!$C$4,IF($AJ80=$AK80,1,0)))</f>
        <v>0</v>
      </c>
    </row>
    <row r="81" spans="2:39" s="2" customFormat="1" x14ac:dyDescent="0.2">
      <c r="B81" s="4"/>
      <c r="C81" s="4"/>
      <c r="D81" s="4"/>
      <c r="E81" s="4"/>
      <c r="F81" s="778"/>
      <c r="G81" s="778"/>
      <c r="H81" s="778"/>
      <c r="I81" s="778"/>
      <c r="J81" s="778"/>
      <c r="K81" s="778"/>
      <c r="L81" s="778"/>
      <c r="M81" s="778"/>
      <c r="U81" s="66" t="s">
        <v>32</v>
      </c>
      <c r="V81" s="40" t="str">
        <f ca="1">Planung!$L23</f>
        <v>Mainz 05</v>
      </c>
      <c r="W81" s="778" t="str">
        <f ca="1">Planung!$N23</f>
        <v>Manchester City</v>
      </c>
      <c r="X81" s="831">
        <f ca="1">IF(AND($AA81=1,Vorrunde!$I29&lt;&gt;"",Vorrunde!$K29&lt;&gt;"",ABS(Vorrunde!$I29-Vorrunde!$K29)&gt;1),Vorrunde!$I29,"")</f>
        <v>9</v>
      </c>
      <c r="Y81" s="35">
        <f ca="1">IF(AND($AA81=1,Vorrunde!$I29&lt;&gt;"",Vorrunde!$K29&lt;&gt;"",ABS(Vorrunde!$I29-Vorrunde!$K29)&gt;1),Vorrunde!$K29,"")</f>
        <v>25</v>
      </c>
      <c r="Z81" s="34" t="str">
        <f t="shared" ca="1" si="70"/>
        <v>Mainz 05Manchester City</v>
      </c>
      <c r="AA81" s="831">
        <f ca="1">IF(AND(V81&lt;&gt;"",W81&lt;&gt;"",V81&lt;&gt;W81,Vorrunde!$R29&lt;&gt;"",Vorrunde!$T29&lt;&gt;""),1,0)</f>
        <v>1</v>
      </c>
      <c r="AB81" s="831" t="str">
        <f ca="1">IF(AA81&gt;0,AH81&amp;Sprache!$E$109&amp;AI81,"")</f>
        <v>23 : 50</v>
      </c>
      <c r="AC81" s="141" t="str">
        <f ca="1">IF(AA81&gt;0,AJ81&amp;Sprache!$E$109&amp;AK81,"")</f>
        <v>0 : 2</v>
      </c>
      <c r="AD81" s="145">
        <f ca="1">IF(AND($AA81=1,Vorrunde!$L29&lt;&gt;"",Vorrunde!$N29&lt;&gt;"",ABS(Vorrunde!$L29-Vorrunde!$N29)&gt;1),Vorrunde!$L29,"")</f>
        <v>14</v>
      </c>
      <c r="AE81" s="141">
        <f ca="1">IF(AND($AA81=1,Vorrunde!$L29&lt;&gt;"",Vorrunde!$N29&lt;&gt;"",ABS(Vorrunde!$L29-Vorrunde!$N29)&gt;1),Vorrunde!$N29,"")</f>
        <v>25</v>
      </c>
      <c r="AF81" s="145" t="str">
        <f ca="1">IF(AND($AA81=1,Vorrunde!$O29&lt;&gt;"",Vorrunde!$Q29&lt;&gt;"",ABS(Vorrunde!$O29-Vorrunde!$Q29)&gt;1),Vorrunde!$O29,"")</f>
        <v/>
      </c>
      <c r="AG81" s="141" t="str">
        <f ca="1">IF(AND($AA81=1,Vorrunde!$O29&lt;&gt;"",Vorrunde!$Q29&lt;&gt;"",ABS(Vorrunde!$O29-Vorrunde!$Q29)&gt;1),Vorrunde!$Q29,"")</f>
        <v/>
      </c>
      <c r="AH81" s="145">
        <f t="shared" ca="1" si="68"/>
        <v>23</v>
      </c>
      <c r="AI81" s="141">
        <f t="shared" ca="1" si="69"/>
        <v>50</v>
      </c>
      <c r="AJ81" s="145">
        <f ca="1">IF(Vorrunde!$R29="",0,Vorrunde!$R29)</f>
        <v>0</v>
      </c>
      <c r="AK81" s="141">
        <f ca="1">IF(Vorrunde!$T29="",0,Vorrunde!$T29)</f>
        <v>2</v>
      </c>
      <c r="AL81" s="145">
        <f ca="1">IF($AA81=0,"",IF($AJ81&gt;$AK81,Einstellungen!$C$4,IF($AJ81=$AK81,1,0)))</f>
        <v>0</v>
      </c>
      <c r="AM81" s="141">
        <f ca="1">IF($AA81=0,"",IF($AJ81&lt;$AK81,Einstellungen!$C$4,IF($AJ81=$AK81,1,0)))</f>
        <v>2</v>
      </c>
    </row>
    <row r="82" spans="2:39" s="2" customFormat="1" x14ac:dyDescent="0.2">
      <c r="B82" s="4"/>
      <c r="C82" s="4"/>
      <c r="D82" s="4"/>
      <c r="E82" s="4"/>
      <c r="F82" s="778"/>
      <c r="G82" s="778"/>
      <c r="H82" s="778"/>
      <c r="I82" s="778"/>
      <c r="J82" s="778"/>
      <c r="K82" s="778"/>
      <c r="L82" s="778"/>
      <c r="M82" s="778"/>
      <c r="U82" s="66" t="s">
        <v>33</v>
      </c>
      <c r="V82" s="40" t="str">
        <f ca="1">Planung!$L24</f>
        <v>Kickers Rodendorf</v>
      </c>
      <c r="W82" s="778" t="str">
        <f ca="1">Planung!$N24</f>
        <v>FSV Rauen</v>
      </c>
      <c r="X82" s="831">
        <f ca="1">IF(AND($AA82=1,Vorrunde!$I30&lt;&gt;"",Vorrunde!$K30&lt;&gt;"",ABS(Vorrunde!$I30-Vorrunde!$K30)&gt;1),Vorrunde!$I30,"")</f>
        <v>25</v>
      </c>
      <c r="Y82" s="35">
        <f ca="1">IF(AND($AA82=1,Vorrunde!$I30&lt;&gt;"",Vorrunde!$K30&lt;&gt;"",ABS(Vorrunde!$I30-Vorrunde!$K30)&gt;1),Vorrunde!$K30,"")</f>
        <v>2</v>
      </c>
      <c r="Z82" s="34" t="str">
        <f t="shared" ca="1" si="70"/>
        <v>Kickers RodendorfFSV Rauen</v>
      </c>
      <c r="AA82" s="831">
        <f ca="1">IF(AND(V82&lt;&gt;"",W82&lt;&gt;"",V82&lt;&gt;W82,Vorrunde!$R30&lt;&gt;"",Vorrunde!$T30&lt;&gt;""),1,0)</f>
        <v>1</v>
      </c>
      <c r="AB82" s="831" t="str">
        <f ca="1">IF(AA82&gt;0,AH82&amp;Sprache!$E$109&amp;AI82,"")</f>
        <v>50 : 23</v>
      </c>
      <c r="AC82" s="141" t="str">
        <f ca="1">IF(AA82&gt;0,AJ82&amp;Sprache!$E$109&amp;AK82,"")</f>
        <v>2 : 0</v>
      </c>
      <c r="AD82" s="145">
        <f ca="1">IF(AND($AA82=1,Vorrunde!$L30&lt;&gt;"",Vorrunde!$N30&lt;&gt;"",ABS(Vorrunde!$L30-Vorrunde!$N30)&gt;1),Vorrunde!$L30,"")</f>
        <v>25</v>
      </c>
      <c r="AE82" s="141">
        <f ca="1">IF(AND($AA82=1,Vorrunde!$L30&lt;&gt;"",Vorrunde!$N30&lt;&gt;"",ABS(Vorrunde!$L30-Vorrunde!$N30)&gt;1),Vorrunde!$N30,"")</f>
        <v>21</v>
      </c>
      <c r="AF82" s="145" t="str">
        <f ca="1">IF(AND($AA82=1,Vorrunde!$O30&lt;&gt;"",Vorrunde!$Q30&lt;&gt;"",ABS(Vorrunde!$O30-Vorrunde!$Q30)&gt;1),Vorrunde!$O30,"")</f>
        <v/>
      </c>
      <c r="AG82" s="141" t="str">
        <f ca="1">IF(AND($AA82=1,Vorrunde!$O30&lt;&gt;"",Vorrunde!$Q30&lt;&gt;"",ABS(Vorrunde!$O30-Vorrunde!$Q30)&gt;1),Vorrunde!$Q30,"")</f>
        <v/>
      </c>
      <c r="AH82" s="145">
        <f t="shared" ca="1" si="68"/>
        <v>50</v>
      </c>
      <c r="AI82" s="141">
        <f t="shared" ca="1" si="69"/>
        <v>23</v>
      </c>
      <c r="AJ82" s="145">
        <f ca="1">IF(Vorrunde!$R30="",0,Vorrunde!$R30)</f>
        <v>2</v>
      </c>
      <c r="AK82" s="141">
        <f ca="1">IF(Vorrunde!$T30="",0,Vorrunde!$T30)</f>
        <v>0</v>
      </c>
      <c r="AL82" s="145">
        <f ca="1">IF($AA82=0,"",IF($AJ82&gt;$AK82,Einstellungen!$C$4,IF($AJ82=$AK82,1,0)))</f>
        <v>2</v>
      </c>
      <c r="AM82" s="141">
        <f ca="1">IF($AA82=0,"",IF($AJ82&lt;$AK82,Einstellungen!$C$4,IF($AJ82=$AK82,1,0)))</f>
        <v>0</v>
      </c>
    </row>
    <row r="83" spans="2:39" s="2" customFormat="1" x14ac:dyDescent="0.2">
      <c r="B83" s="4"/>
      <c r="C83" s="4"/>
      <c r="D83" s="4"/>
      <c r="E83" s="4"/>
      <c r="F83" s="778"/>
      <c r="G83" s="778"/>
      <c r="H83" s="778"/>
      <c r="I83" s="778"/>
      <c r="J83" s="778"/>
      <c r="K83" s="778"/>
      <c r="L83" s="778"/>
      <c r="M83" s="778"/>
      <c r="U83" s="66" t="s">
        <v>34</v>
      </c>
      <c r="V83" s="40" t="str">
        <f ca="1">Planung!$L25</f>
        <v>TSG Saalberg eV</v>
      </c>
      <c r="W83" s="778" t="str">
        <f ca="1">Planung!$N25</f>
        <v>RB Leipzig</v>
      </c>
      <c r="X83" s="831">
        <f ca="1">IF(AND($AA83=1,Vorrunde!$I31&lt;&gt;"",Vorrunde!$K31&lt;&gt;"",ABS(Vorrunde!$I31-Vorrunde!$K31)&gt;1),Vorrunde!$I31,"")</f>
        <v>25</v>
      </c>
      <c r="Y83" s="35">
        <f ca="1">IF(AND($AA83=1,Vorrunde!$I31&lt;&gt;"",Vorrunde!$K31&lt;&gt;"",ABS(Vorrunde!$I31-Vorrunde!$K31)&gt;1),Vorrunde!$K31,"")</f>
        <v>2</v>
      </c>
      <c r="Z83" s="34" t="str">
        <f t="shared" ca="1" si="70"/>
        <v>TSG Saalberg eVRB Leipzig</v>
      </c>
      <c r="AA83" s="831">
        <f ca="1">IF(AND(V83&lt;&gt;"",W83&lt;&gt;"",V83&lt;&gt;W83,Vorrunde!$R31&lt;&gt;"",Vorrunde!$T31&lt;&gt;""),1,0)</f>
        <v>1</v>
      </c>
      <c r="AB83" s="831" t="str">
        <f ca="1">IF(AA83&gt;0,AH83&amp;Sprache!$E$109&amp;AI83,"")</f>
        <v>50 : 24</v>
      </c>
      <c r="AC83" s="141" t="str">
        <f ca="1">IF(AA83&gt;0,AJ83&amp;Sprache!$E$109&amp;AK83,"")</f>
        <v>2 : 0</v>
      </c>
      <c r="AD83" s="145">
        <f ca="1">IF(AND($AA83=1,Vorrunde!$L31&lt;&gt;"",Vorrunde!$N31&lt;&gt;"",ABS(Vorrunde!$L31-Vorrunde!$N31)&gt;1),Vorrunde!$L31,"")</f>
        <v>25</v>
      </c>
      <c r="AE83" s="141">
        <f ca="1">IF(AND($AA83=1,Vorrunde!$L31&lt;&gt;"",Vorrunde!$N31&lt;&gt;"",ABS(Vorrunde!$L31-Vorrunde!$N31)&gt;1),Vorrunde!$N31,"")</f>
        <v>22</v>
      </c>
      <c r="AF83" s="145" t="str">
        <f ca="1">IF(AND($AA83=1,Vorrunde!$O31&lt;&gt;"",Vorrunde!$Q31&lt;&gt;"",ABS(Vorrunde!$O31-Vorrunde!$Q31)&gt;1),Vorrunde!$O31,"")</f>
        <v/>
      </c>
      <c r="AG83" s="141" t="str">
        <f ca="1">IF(AND($AA83=1,Vorrunde!$O31&lt;&gt;"",Vorrunde!$Q31&lt;&gt;"",ABS(Vorrunde!$O31-Vorrunde!$Q31)&gt;1),Vorrunde!$Q31,"")</f>
        <v/>
      </c>
      <c r="AH83" s="145">
        <f t="shared" ca="1" si="68"/>
        <v>50</v>
      </c>
      <c r="AI83" s="141">
        <f t="shared" ca="1" si="69"/>
        <v>24</v>
      </c>
      <c r="AJ83" s="145">
        <f ca="1">IF(Vorrunde!$R31="",0,Vorrunde!$R31)</f>
        <v>2</v>
      </c>
      <c r="AK83" s="141">
        <f ca="1">IF(Vorrunde!$T31="",0,Vorrunde!$T31)</f>
        <v>0</v>
      </c>
      <c r="AL83" s="145">
        <f ca="1">IF($AA83=0,"",IF($AJ83&gt;$AK83,Einstellungen!$C$4,IF($AJ83=$AK83,1,0)))</f>
        <v>2</v>
      </c>
      <c r="AM83" s="141">
        <f ca="1">IF($AA83=0,"",IF($AJ83&lt;$AK83,Einstellungen!$C$4,IF($AJ83=$AK83,1,0)))</f>
        <v>0</v>
      </c>
    </row>
    <row r="84" spans="2:39" s="2" customFormat="1" x14ac:dyDescent="0.2">
      <c r="B84" s="4"/>
      <c r="C84" s="4"/>
      <c r="D84" s="4"/>
      <c r="E84" s="4"/>
      <c r="F84" s="778"/>
      <c r="G84" s="778"/>
      <c r="H84" s="778"/>
      <c r="I84" s="778"/>
      <c r="J84" s="778"/>
      <c r="K84" s="778"/>
      <c r="L84" s="778"/>
      <c r="M84" s="778"/>
      <c r="U84" s="66" t="s">
        <v>35</v>
      </c>
      <c r="V84" s="40" t="str">
        <f ca="1">Planung!$L26</f>
        <v>Eintracht Frankfurt</v>
      </c>
      <c r="W84" s="778" t="str">
        <f ca="1">Planung!$N26</f>
        <v>VFB Essenheim</v>
      </c>
      <c r="X84" s="831">
        <f ca="1">IF(AND($AA84=1,Vorrunde!$I32&lt;&gt;"",Vorrunde!$K32&lt;&gt;"",ABS(Vorrunde!$I32-Vorrunde!$K32)&gt;1),Vorrunde!$I32,"")</f>
        <v>12</v>
      </c>
      <c r="Y84" s="35">
        <f ca="1">IF(AND($AA84=1,Vorrunde!$I32&lt;&gt;"",Vorrunde!$K32&lt;&gt;"",ABS(Vorrunde!$I32-Vorrunde!$K32)&gt;1),Vorrunde!$K32,"")</f>
        <v>25</v>
      </c>
      <c r="Z84" s="34" t="str">
        <f t="shared" ca="1" si="70"/>
        <v>Eintracht FrankfurtVFB Essenheim</v>
      </c>
      <c r="AA84" s="831">
        <f ca="1">IF(AND(V84&lt;&gt;"",W84&lt;&gt;"",V84&lt;&gt;W84,Vorrunde!$R32&lt;&gt;"",Vorrunde!$T32&lt;&gt;""),1,0)</f>
        <v>1</v>
      </c>
      <c r="AB84" s="831" t="str">
        <f ca="1">IF(AA84&gt;0,AH84&amp;Sprache!$E$109&amp;AI84,"")</f>
        <v>37 : 37</v>
      </c>
      <c r="AC84" s="141" t="str">
        <f ca="1">IF(AA84&gt;0,AJ84&amp;Sprache!$E$109&amp;AK84,"")</f>
        <v>1 : 1</v>
      </c>
      <c r="AD84" s="145">
        <f ca="1">IF(AND($AA84=1,Vorrunde!$L32&lt;&gt;"",Vorrunde!$N32&lt;&gt;"",ABS(Vorrunde!$L32-Vorrunde!$N32)&gt;1),Vorrunde!$L32,"")</f>
        <v>25</v>
      </c>
      <c r="AE84" s="141">
        <f ca="1">IF(AND($AA84=1,Vorrunde!$L32&lt;&gt;"",Vorrunde!$N32&lt;&gt;"",ABS(Vorrunde!$L32-Vorrunde!$N32)&gt;1),Vorrunde!$N32,"")</f>
        <v>12</v>
      </c>
      <c r="AF84" s="145" t="str">
        <f ca="1">IF(AND($AA84=1,Vorrunde!$O32&lt;&gt;"",Vorrunde!$Q32&lt;&gt;"",ABS(Vorrunde!$O32-Vorrunde!$Q32)&gt;1),Vorrunde!$O32,"")</f>
        <v/>
      </c>
      <c r="AG84" s="141" t="str">
        <f ca="1">IF(AND($AA84=1,Vorrunde!$O32&lt;&gt;"",Vorrunde!$Q32&lt;&gt;"",ABS(Vorrunde!$O32-Vorrunde!$Q32)&gt;1),Vorrunde!$Q32,"")</f>
        <v/>
      </c>
      <c r="AH84" s="145">
        <f t="shared" ca="1" si="68"/>
        <v>37</v>
      </c>
      <c r="AI84" s="141">
        <f t="shared" ca="1" si="69"/>
        <v>37</v>
      </c>
      <c r="AJ84" s="145">
        <f ca="1">IF(Vorrunde!$R32="",0,Vorrunde!$R32)</f>
        <v>1</v>
      </c>
      <c r="AK84" s="141">
        <f ca="1">IF(Vorrunde!$T32="",0,Vorrunde!$T32)</f>
        <v>1</v>
      </c>
      <c r="AL84" s="145">
        <f ca="1">IF($AA84=0,"",IF($AJ84&gt;$AK84,Einstellungen!$C$4,IF($AJ84=$AK84,1,0)))</f>
        <v>1</v>
      </c>
      <c r="AM84" s="141">
        <f ca="1">IF($AA84=0,"",IF($AJ84&lt;$AK84,Einstellungen!$C$4,IF($AJ84=$AK84,1,0)))</f>
        <v>1</v>
      </c>
    </row>
    <row r="85" spans="2:39" s="2" customFormat="1" x14ac:dyDescent="0.2">
      <c r="B85" s="4"/>
      <c r="C85" s="4"/>
      <c r="D85" s="4"/>
      <c r="E85" s="4"/>
      <c r="F85" s="778"/>
      <c r="G85" s="778"/>
      <c r="H85" s="778"/>
      <c r="I85" s="778"/>
      <c r="J85" s="778"/>
      <c r="K85" s="778"/>
      <c r="L85" s="778"/>
      <c r="M85" s="778"/>
      <c r="U85" s="66" t="s">
        <v>36</v>
      </c>
      <c r="V85" s="40" t="str">
        <f ca="1">Planung!$L27</f>
        <v>SSV Wildbach</v>
      </c>
      <c r="W85" s="778" t="str">
        <f ca="1">Planung!$N27</f>
        <v>FC Grönlingen</v>
      </c>
      <c r="X85" s="831">
        <f ca="1">IF(AND($AA85=1,Vorrunde!$I33&lt;&gt;"",Vorrunde!$K33&lt;&gt;"",ABS(Vorrunde!$I33-Vorrunde!$K33)&gt;1),Vorrunde!$I33,"")</f>
        <v>19</v>
      </c>
      <c r="Y85" s="35">
        <f ca="1">IF(AND($AA85=1,Vorrunde!$I33&lt;&gt;"",Vorrunde!$K33&lt;&gt;"",ABS(Vorrunde!$I33-Vorrunde!$K33)&gt;1),Vorrunde!$K33,"")</f>
        <v>25</v>
      </c>
      <c r="Z85" s="34" t="str">
        <f t="shared" ca="1" si="70"/>
        <v>SSV WildbachFC Grönlingen</v>
      </c>
      <c r="AA85" s="831">
        <f ca="1">IF(AND(V85&lt;&gt;"",W85&lt;&gt;"",V85&lt;&gt;W85,Vorrunde!$R33&lt;&gt;"",Vorrunde!$T33&lt;&gt;""),1,0)</f>
        <v>1</v>
      </c>
      <c r="AB85" s="831" t="str">
        <f ca="1">IF(AA85&gt;0,AH85&amp;Sprache!$E$109&amp;AI85,"")</f>
        <v>44 : 42</v>
      </c>
      <c r="AC85" s="141" t="str">
        <f ca="1">IF(AA85&gt;0,AJ85&amp;Sprache!$E$109&amp;AK85,"")</f>
        <v>1 : 1</v>
      </c>
      <c r="AD85" s="145">
        <f ca="1">IF(AND($AA85=1,Vorrunde!$L33&lt;&gt;"",Vorrunde!$N33&lt;&gt;"",ABS(Vorrunde!$L33-Vorrunde!$N33)&gt;1),Vorrunde!$L33,"")</f>
        <v>25</v>
      </c>
      <c r="AE85" s="141">
        <f ca="1">IF(AND($AA85=1,Vorrunde!$L33&lt;&gt;"",Vorrunde!$N33&lt;&gt;"",ABS(Vorrunde!$L33-Vorrunde!$N33)&gt;1),Vorrunde!$N33,"")</f>
        <v>17</v>
      </c>
      <c r="AF85" s="145" t="str">
        <f ca="1">IF(AND($AA85=1,Vorrunde!$O33&lt;&gt;"",Vorrunde!$Q33&lt;&gt;"",ABS(Vorrunde!$O33-Vorrunde!$Q33)&gt;1),Vorrunde!$O33,"")</f>
        <v/>
      </c>
      <c r="AG85" s="141" t="str">
        <f ca="1">IF(AND($AA85=1,Vorrunde!$O33&lt;&gt;"",Vorrunde!$Q33&lt;&gt;"",ABS(Vorrunde!$O33-Vorrunde!$Q33)&gt;1),Vorrunde!$Q33,"")</f>
        <v/>
      </c>
      <c r="AH85" s="145">
        <f t="shared" ca="1" si="68"/>
        <v>44</v>
      </c>
      <c r="AI85" s="141">
        <f t="shared" ca="1" si="69"/>
        <v>42</v>
      </c>
      <c r="AJ85" s="145">
        <f ca="1">IF(Vorrunde!$R33="",0,Vorrunde!$R33)</f>
        <v>1</v>
      </c>
      <c r="AK85" s="141">
        <f ca="1">IF(Vorrunde!$T33="",0,Vorrunde!$T33)</f>
        <v>1</v>
      </c>
      <c r="AL85" s="145">
        <f ca="1">IF($AA85=0,"",IF($AJ85&gt;$AK85,Einstellungen!$C$4,IF($AJ85=$AK85,1,0)))</f>
        <v>1</v>
      </c>
      <c r="AM85" s="141">
        <f ca="1">IF($AA85=0,"",IF($AJ85&lt;$AK85,Einstellungen!$C$4,IF($AJ85=$AK85,1,0)))</f>
        <v>1</v>
      </c>
    </row>
    <row r="86" spans="2:39" s="2" customFormat="1" x14ac:dyDescent="0.2">
      <c r="B86" s="4"/>
      <c r="C86" s="4"/>
      <c r="D86" s="4"/>
      <c r="E86" s="4"/>
      <c r="F86" s="778"/>
      <c r="G86" s="778"/>
      <c r="H86" s="778"/>
      <c r="I86" s="778"/>
      <c r="J86" s="778"/>
      <c r="K86" s="778"/>
      <c r="L86" s="778"/>
      <c r="M86" s="778"/>
      <c r="U86" s="66" t="s">
        <v>37</v>
      </c>
      <c r="V86" s="40" t="str">
        <f ca="1">Planung!$L28</f>
        <v>Borussia Dortmund</v>
      </c>
      <c r="W86" s="778" t="str">
        <f ca="1">Planung!$N28</f>
        <v>1. FC Nürnberg</v>
      </c>
      <c r="X86" s="831">
        <f ca="1">IF(AND($AA86=1,Vorrunde!$I34&lt;&gt;"",Vorrunde!$K34&lt;&gt;"",ABS(Vorrunde!$I34-Vorrunde!$K34)&gt;1),Vorrunde!$I34,"")</f>
        <v>17</v>
      </c>
      <c r="Y86" s="35">
        <f ca="1">IF(AND($AA86=1,Vorrunde!$I34&lt;&gt;"",Vorrunde!$K34&lt;&gt;"",ABS(Vorrunde!$I34-Vorrunde!$K34)&gt;1),Vorrunde!$K34,"")</f>
        <v>25</v>
      </c>
      <c r="Z86" s="34" t="str">
        <f t="shared" ca="1" si="70"/>
        <v>Borussia Dortmund1. FC Nürnberg</v>
      </c>
      <c r="AA86" s="831">
        <f ca="1">IF(AND(V86&lt;&gt;"",W86&lt;&gt;"",V86&lt;&gt;W86,Vorrunde!$R34&lt;&gt;"",Vorrunde!$T34&lt;&gt;""),1,0)</f>
        <v>1</v>
      </c>
      <c r="AB86" s="831" t="str">
        <f ca="1">IF(AA86&gt;0,AH86&amp;Sprache!$E$109&amp;AI86,"")</f>
        <v>42 : 41</v>
      </c>
      <c r="AC86" s="141" t="str">
        <f ca="1">IF(AA86&gt;0,AJ86&amp;Sprache!$E$109&amp;AK86,"")</f>
        <v>1 : 1</v>
      </c>
      <c r="AD86" s="145">
        <f ca="1">IF(AND($AA86=1,Vorrunde!$L34&lt;&gt;"",Vorrunde!$N34&lt;&gt;"",ABS(Vorrunde!$L34-Vorrunde!$N34)&gt;1),Vorrunde!$L34,"")</f>
        <v>25</v>
      </c>
      <c r="AE86" s="141">
        <f ca="1">IF(AND($AA86=1,Vorrunde!$L34&lt;&gt;"",Vorrunde!$N34&lt;&gt;"",ABS(Vorrunde!$L34-Vorrunde!$N34)&gt;1),Vorrunde!$N34,"")</f>
        <v>16</v>
      </c>
      <c r="AF86" s="145" t="str">
        <f ca="1">IF(AND($AA86=1,Vorrunde!$O34&lt;&gt;"",Vorrunde!$Q34&lt;&gt;"",ABS(Vorrunde!$O34-Vorrunde!$Q34)&gt;1),Vorrunde!$O34,"")</f>
        <v/>
      </c>
      <c r="AG86" s="141" t="str">
        <f ca="1">IF(AND($AA86=1,Vorrunde!$O34&lt;&gt;"",Vorrunde!$Q34&lt;&gt;"",ABS(Vorrunde!$O34-Vorrunde!$Q34)&gt;1),Vorrunde!$Q34,"")</f>
        <v/>
      </c>
      <c r="AH86" s="145">
        <f t="shared" ca="1" si="68"/>
        <v>42</v>
      </c>
      <c r="AI86" s="141">
        <f t="shared" ca="1" si="69"/>
        <v>41</v>
      </c>
      <c r="AJ86" s="145">
        <f ca="1">IF(Vorrunde!$R34="",0,Vorrunde!$R34)</f>
        <v>1</v>
      </c>
      <c r="AK86" s="141">
        <f ca="1">IF(Vorrunde!$T34="",0,Vorrunde!$T34)</f>
        <v>1</v>
      </c>
      <c r="AL86" s="145">
        <f ca="1">IF($AA86=0,"",IF($AJ86&gt;$AK86,Einstellungen!$C$4,IF($AJ86=$AK86,1,0)))</f>
        <v>1</v>
      </c>
      <c r="AM86" s="141">
        <f ca="1">IF($AA86=0,"",IF($AJ86&lt;$AK86,Einstellungen!$C$4,IF($AJ86=$AK86,1,0)))</f>
        <v>1</v>
      </c>
    </row>
    <row r="87" spans="2:39" s="2" customFormat="1" x14ac:dyDescent="0.2">
      <c r="B87" s="4"/>
      <c r="C87" s="4"/>
      <c r="D87" s="4"/>
      <c r="E87" s="4"/>
      <c r="F87" s="778"/>
      <c r="G87" s="778"/>
      <c r="H87" s="778"/>
      <c r="I87" s="778"/>
      <c r="J87" s="778"/>
      <c r="K87" s="778"/>
      <c r="L87" s="778"/>
      <c r="M87" s="778"/>
      <c r="U87" s="66" t="s">
        <v>38</v>
      </c>
      <c r="V87" s="40" t="str">
        <f ca="1">Planung!$L29</f>
        <v>HSV</v>
      </c>
      <c r="W87" s="778" t="str">
        <f ca="1">Planung!$N29</f>
        <v>SV Oberredenburg</v>
      </c>
      <c r="X87" s="831">
        <f ca="1">IF(AND($AA87=1,Vorrunde!$I35&lt;&gt;"",Vorrunde!$K35&lt;&gt;"",ABS(Vorrunde!$I35-Vorrunde!$K35)&gt;1),Vorrunde!$I35,"")</f>
        <v>14</v>
      </c>
      <c r="Y87" s="35">
        <f ca="1">IF(AND($AA87=1,Vorrunde!$I35&lt;&gt;"",Vorrunde!$K35&lt;&gt;"",ABS(Vorrunde!$I35-Vorrunde!$K35)&gt;1),Vorrunde!$K35,"")</f>
        <v>25</v>
      </c>
      <c r="Z87" s="34" t="str">
        <f t="shared" ca="1" si="70"/>
        <v>HSVSV Oberredenburg</v>
      </c>
      <c r="AA87" s="831">
        <f ca="1">IF(AND(V87&lt;&gt;"",W87&lt;&gt;"",V87&lt;&gt;W87,Vorrunde!$R35&lt;&gt;"",Vorrunde!$T35&lt;&gt;""),1,0)</f>
        <v>1</v>
      </c>
      <c r="AB87" s="831" t="str">
        <f ca="1">IF(AA87&gt;0,AH87&amp;Sprache!$E$109&amp;AI87,"")</f>
        <v>39 : 44</v>
      </c>
      <c r="AC87" s="141" t="str">
        <f ca="1">IF(AA87&gt;0,AJ87&amp;Sprache!$E$109&amp;AK87,"")</f>
        <v>1 : 1</v>
      </c>
      <c r="AD87" s="145">
        <f ca="1">IF(AND($AA87=1,Vorrunde!$L35&lt;&gt;"",Vorrunde!$N35&lt;&gt;"",ABS(Vorrunde!$L35-Vorrunde!$N35)&gt;1),Vorrunde!$L35,"")</f>
        <v>25</v>
      </c>
      <c r="AE87" s="141">
        <f ca="1">IF(AND($AA87=1,Vorrunde!$L35&lt;&gt;"",Vorrunde!$N35&lt;&gt;"",ABS(Vorrunde!$L35-Vorrunde!$N35)&gt;1),Vorrunde!$N35,"")</f>
        <v>19</v>
      </c>
      <c r="AF87" s="145" t="str">
        <f ca="1">IF(AND($AA87=1,Vorrunde!$O35&lt;&gt;"",Vorrunde!$Q35&lt;&gt;"",ABS(Vorrunde!$O35-Vorrunde!$Q35)&gt;1),Vorrunde!$O35,"")</f>
        <v/>
      </c>
      <c r="AG87" s="141" t="str">
        <f ca="1">IF(AND($AA87=1,Vorrunde!$O35&lt;&gt;"",Vorrunde!$Q35&lt;&gt;"",ABS(Vorrunde!$O35-Vorrunde!$Q35)&gt;1),Vorrunde!$Q35,"")</f>
        <v/>
      </c>
      <c r="AH87" s="145">
        <f t="shared" ca="1" si="68"/>
        <v>39</v>
      </c>
      <c r="AI87" s="141">
        <f t="shared" ca="1" si="69"/>
        <v>44</v>
      </c>
      <c r="AJ87" s="145">
        <f ca="1">IF(Vorrunde!$R35="",0,Vorrunde!$R35)</f>
        <v>1</v>
      </c>
      <c r="AK87" s="141">
        <f ca="1">IF(Vorrunde!$T35="",0,Vorrunde!$T35)</f>
        <v>1</v>
      </c>
      <c r="AL87" s="145">
        <f ca="1">IF($AA87=0,"",IF($AJ87&gt;$AK87,Einstellungen!$C$4,IF($AJ87=$AK87,1,0)))</f>
        <v>1</v>
      </c>
      <c r="AM87" s="141">
        <f ca="1">IF($AA87=0,"",IF($AJ87&lt;$AK87,Einstellungen!$C$4,IF($AJ87=$AK87,1,0)))</f>
        <v>1</v>
      </c>
    </row>
    <row r="88" spans="2:39" s="2" customFormat="1" x14ac:dyDescent="0.2">
      <c r="B88" s="4"/>
      <c r="C88" s="4"/>
      <c r="D88" s="4"/>
      <c r="E88" s="4"/>
      <c r="F88" s="778"/>
      <c r="G88" s="778"/>
      <c r="H88" s="778"/>
      <c r="I88" s="778"/>
      <c r="J88" s="778"/>
      <c r="K88" s="778"/>
      <c r="L88" s="778"/>
      <c r="M88" s="778"/>
      <c r="U88" s="66" t="s">
        <v>39</v>
      </c>
      <c r="V88" s="40" t="str">
        <f ca="1">Planung!$L30</f>
        <v>FC Barcelona</v>
      </c>
      <c r="W88" s="778" t="str">
        <f ca="1">Planung!$N30</f>
        <v>Maibach 1822 eV</v>
      </c>
      <c r="X88" s="831">
        <f ca="1">IF(AND($AA88=1,Vorrunde!$I36&lt;&gt;"",Vorrunde!$K36&lt;&gt;"",ABS(Vorrunde!$I36-Vorrunde!$K36)&gt;1),Vorrunde!$I36,"")</f>
        <v>20</v>
      </c>
      <c r="Y88" s="35">
        <f ca="1">IF(AND($AA88=1,Vorrunde!$I36&lt;&gt;"",Vorrunde!$K36&lt;&gt;"",ABS(Vorrunde!$I36-Vorrunde!$K36)&gt;1),Vorrunde!$K36,"")</f>
        <v>25</v>
      </c>
      <c r="Z88" s="34" t="str">
        <f t="shared" ca="1" si="70"/>
        <v>FC BarcelonaMaibach 1822 eV</v>
      </c>
      <c r="AA88" s="831">
        <f ca="1">IF(AND(V88&lt;&gt;"",W88&lt;&gt;"",V88&lt;&gt;W88,Vorrunde!$R36&lt;&gt;"",Vorrunde!$T36&lt;&gt;""),1,0)</f>
        <v>1</v>
      </c>
      <c r="AB88" s="831" t="str">
        <f ca="1">IF(AA88&gt;0,AH88&amp;Sprache!$E$109&amp;AI88,"")</f>
        <v>45 : 45</v>
      </c>
      <c r="AC88" s="141" t="str">
        <f ca="1">IF(AA88&gt;0,AJ88&amp;Sprache!$E$109&amp;AK88,"")</f>
        <v>1 : 1</v>
      </c>
      <c r="AD88" s="145">
        <f ca="1">IF(AND($AA88=1,Vorrunde!$L36&lt;&gt;"",Vorrunde!$N36&lt;&gt;"",ABS(Vorrunde!$L36-Vorrunde!$N36)&gt;1),Vorrunde!$L36,"")</f>
        <v>25</v>
      </c>
      <c r="AE88" s="141">
        <f ca="1">IF(AND($AA88=1,Vorrunde!$L36&lt;&gt;"",Vorrunde!$N36&lt;&gt;"",ABS(Vorrunde!$L36-Vorrunde!$N36)&gt;1),Vorrunde!$N36,"")</f>
        <v>20</v>
      </c>
      <c r="AF88" s="145" t="str">
        <f ca="1">IF(AND($AA88=1,Vorrunde!$O36&lt;&gt;"",Vorrunde!$Q36&lt;&gt;"",ABS(Vorrunde!$O36-Vorrunde!$Q36)&gt;1),Vorrunde!$O36,"")</f>
        <v/>
      </c>
      <c r="AG88" s="141" t="str">
        <f ca="1">IF(AND($AA88=1,Vorrunde!$O36&lt;&gt;"",Vorrunde!$Q36&lt;&gt;"",ABS(Vorrunde!$O36-Vorrunde!$Q36)&gt;1),Vorrunde!$Q36,"")</f>
        <v/>
      </c>
      <c r="AH88" s="145">
        <f t="shared" ca="1" si="68"/>
        <v>45</v>
      </c>
      <c r="AI88" s="141">
        <f t="shared" ca="1" si="69"/>
        <v>45</v>
      </c>
      <c r="AJ88" s="145">
        <f ca="1">IF(Vorrunde!$R36="",0,Vorrunde!$R36)</f>
        <v>1</v>
      </c>
      <c r="AK88" s="141">
        <f ca="1">IF(Vorrunde!$T36="",0,Vorrunde!$T36)</f>
        <v>1</v>
      </c>
      <c r="AL88" s="145">
        <f ca="1">IF($AA88=0,"",IF($AJ88&gt;$AK88,Einstellungen!$C$4,IF($AJ88=$AK88,1,0)))</f>
        <v>1</v>
      </c>
      <c r="AM88" s="141">
        <f ca="1">IF($AA88=0,"",IF($AJ88&lt;$AK88,Einstellungen!$C$4,IF($AJ88=$AK88,1,0)))</f>
        <v>1</v>
      </c>
    </row>
    <row r="89" spans="2:39" s="2" customFormat="1" x14ac:dyDescent="0.2">
      <c r="B89" s="4"/>
      <c r="C89" s="4"/>
      <c r="D89" s="4"/>
      <c r="E89" s="4"/>
      <c r="F89" s="778"/>
      <c r="G89" s="778"/>
      <c r="H89" s="778"/>
      <c r="I89" s="778"/>
      <c r="J89" s="778"/>
      <c r="K89" s="778"/>
      <c r="L89" s="778"/>
      <c r="M89" s="778"/>
      <c r="U89" s="66" t="s">
        <v>40</v>
      </c>
      <c r="V89" s="40" t="str">
        <f ca="1">Planung!$L31</f>
        <v>Inter Mailand</v>
      </c>
      <c r="W89" s="778" t="str">
        <f ca="1">Planung!$N31</f>
        <v>Manchester City</v>
      </c>
      <c r="X89" s="831">
        <f ca="1">IF(AND($AA89=1,Vorrunde!$I37&lt;&gt;"",Vorrunde!$K37&lt;&gt;"",ABS(Vorrunde!$I37-Vorrunde!$K37)&gt;1),Vorrunde!$I37,"")</f>
        <v>19</v>
      </c>
      <c r="Y89" s="35">
        <f ca="1">IF(AND($AA89=1,Vorrunde!$I37&lt;&gt;"",Vorrunde!$K37&lt;&gt;"",ABS(Vorrunde!$I37-Vorrunde!$K37)&gt;1),Vorrunde!$K37,"")</f>
        <v>25</v>
      </c>
      <c r="Z89" s="34" t="str">
        <f t="shared" ca="1" si="70"/>
        <v>Inter MailandManchester City</v>
      </c>
      <c r="AA89" s="831">
        <f ca="1">IF(AND(V89&lt;&gt;"",W89&lt;&gt;"",V89&lt;&gt;W89,Vorrunde!$R37&lt;&gt;"",Vorrunde!$T37&lt;&gt;""),1,0)</f>
        <v>1</v>
      </c>
      <c r="AB89" s="831" t="str">
        <f ca="1">IF(AA89&gt;0,AH89&amp;Sprache!$E$109&amp;AI89,"")</f>
        <v>44 : 46</v>
      </c>
      <c r="AC89" s="141" t="str">
        <f ca="1">IF(AA89&gt;0,AJ89&amp;Sprache!$E$109&amp;AK89,"")</f>
        <v>1 : 1</v>
      </c>
      <c r="AD89" s="145">
        <f ca="1">IF(AND($AA89=1,Vorrunde!$L37&lt;&gt;"",Vorrunde!$N37&lt;&gt;"",ABS(Vorrunde!$L37-Vorrunde!$N37)&gt;1),Vorrunde!$L37,"")</f>
        <v>25</v>
      </c>
      <c r="AE89" s="141">
        <f ca="1">IF(AND($AA89=1,Vorrunde!$L37&lt;&gt;"",Vorrunde!$N37&lt;&gt;"",ABS(Vorrunde!$L37-Vorrunde!$N37)&gt;1),Vorrunde!$N37,"")</f>
        <v>21</v>
      </c>
      <c r="AF89" s="145" t="str">
        <f ca="1">IF(AND($AA89=1,Vorrunde!$O37&lt;&gt;"",Vorrunde!$Q37&lt;&gt;"",ABS(Vorrunde!$O37-Vorrunde!$Q37)&gt;1),Vorrunde!$O37,"")</f>
        <v/>
      </c>
      <c r="AG89" s="141" t="str">
        <f ca="1">IF(AND($AA89=1,Vorrunde!$O37&lt;&gt;"",Vorrunde!$Q37&lt;&gt;"",ABS(Vorrunde!$O37-Vorrunde!$Q37)&gt;1),Vorrunde!$Q37,"")</f>
        <v/>
      </c>
      <c r="AH89" s="145">
        <f t="shared" ca="1" si="68"/>
        <v>44</v>
      </c>
      <c r="AI89" s="141">
        <f t="shared" ca="1" si="69"/>
        <v>46</v>
      </c>
      <c r="AJ89" s="145">
        <f ca="1">IF(Vorrunde!$R37="",0,Vorrunde!$R37)</f>
        <v>1</v>
      </c>
      <c r="AK89" s="141">
        <f ca="1">IF(Vorrunde!$T37="",0,Vorrunde!$T37)</f>
        <v>1</v>
      </c>
      <c r="AL89" s="145">
        <f ca="1">IF($AA89=0,"",IF($AJ89&gt;$AK89,Einstellungen!$C$4,IF($AJ89=$AK89,1,0)))</f>
        <v>1</v>
      </c>
      <c r="AM89" s="141">
        <f ca="1">IF($AA89=0,"",IF($AJ89&lt;$AK89,Einstellungen!$C$4,IF($AJ89=$AK89,1,0)))</f>
        <v>1</v>
      </c>
    </row>
    <row r="90" spans="2:39" s="2" customFormat="1" x14ac:dyDescent="0.2">
      <c r="B90" s="4"/>
      <c r="C90" s="4"/>
      <c r="D90" s="4"/>
      <c r="E90" s="4"/>
      <c r="F90" s="778"/>
      <c r="G90" s="778"/>
      <c r="H90" s="778"/>
      <c r="I90" s="778"/>
      <c r="J90" s="778"/>
      <c r="K90" s="778"/>
      <c r="L90" s="778"/>
      <c r="M90" s="778"/>
      <c r="U90" s="66" t="s">
        <v>41</v>
      </c>
      <c r="V90" s="40" t="str">
        <f ca="1">Planung!$L32</f>
        <v>Real Madrid</v>
      </c>
      <c r="W90" s="778" t="str">
        <f ca="1">Planung!$N32</f>
        <v>FSV Rauen</v>
      </c>
      <c r="X90" s="831">
        <f ca="1">IF(AND($AA90=1,Vorrunde!$I38&lt;&gt;"",Vorrunde!$K38&lt;&gt;"",ABS(Vorrunde!$I38-Vorrunde!$K38)&gt;1),Vorrunde!$I38,"")</f>
        <v>17</v>
      </c>
      <c r="Y90" s="35">
        <f ca="1">IF(AND($AA90=1,Vorrunde!$I38&lt;&gt;"",Vorrunde!$K38&lt;&gt;"",ABS(Vorrunde!$I38-Vorrunde!$K38)&gt;1),Vorrunde!$K38,"")</f>
        <v>25</v>
      </c>
      <c r="Z90" s="34" t="str">
        <f t="shared" ca="1" si="70"/>
        <v>Real MadridFSV Rauen</v>
      </c>
      <c r="AA90" s="831">
        <f ca="1">IF(AND(V90&lt;&gt;"",W90&lt;&gt;"",V90&lt;&gt;W90,Vorrunde!$R38&lt;&gt;"",Vorrunde!$T38&lt;&gt;""),1,0)</f>
        <v>1</v>
      </c>
      <c r="AB90" s="831" t="str">
        <f ca="1">IF(AA90&gt;0,AH90&amp;Sprache!$E$109&amp;AI90,"")</f>
        <v>42 : 47</v>
      </c>
      <c r="AC90" s="141" t="str">
        <f ca="1">IF(AA90&gt;0,AJ90&amp;Sprache!$E$109&amp;AK90,"")</f>
        <v>1 : 1</v>
      </c>
      <c r="AD90" s="145">
        <f ca="1">IF(AND($AA90=1,Vorrunde!$L38&lt;&gt;"",Vorrunde!$N38&lt;&gt;"",ABS(Vorrunde!$L38-Vorrunde!$N38)&gt;1),Vorrunde!$L38,"")</f>
        <v>25</v>
      </c>
      <c r="AE90" s="141">
        <f ca="1">IF(AND($AA90=1,Vorrunde!$L38&lt;&gt;"",Vorrunde!$N38&lt;&gt;"",ABS(Vorrunde!$L38-Vorrunde!$N38)&gt;1),Vorrunde!$N38,"")</f>
        <v>22</v>
      </c>
      <c r="AF90" s="145" t="str">
        <f ca="1">IF(AND($AA90=1,Vorrunde!$O38&lt;&gt;"",Vorrunde!$Q38&lt;&gt;"",ABS(Vorrunde!$O38-Vorrunde!$Q38)&gt;1),Vorrunde!$O38,"")</f>
        <v/>
      </c>
      <c r="AG90" s="141" t="str">
        <f ca="1">IF(AND($AA90=1,Vorrunde!$O38&lt;&gt;"",Vorrunde!$Q38&lt;&gt;"",ABS(Vorrunde!$O38-Vorrunde!$Q38)&gt;1),Vorrunde!$Q38,"")</f>
        <v/>
      </c>
      <c r="AH90" s="145">
        <f t="shared" ca="1" si="68"/>
        <v>42</v>
      </c>
      <c r="AI90" s="141">
        <f t="shared" ca="1" si="69"/>
        <v>47</v>
      </c>
      <c r="AJ90" s="145">
        <f ca="1">IF(Vorrunde!$R38="",0,Vorrunde!$R38)</f>
        <v>1</v>
      </c>
      <c r="AK90" s="141">
        <f ca="1">IF(Vorrunde!$T38="",0,Vorrunde!$T38)</f>
        <v>1</v>
      </c>
      <c r="AL90" s="145">
        <f ca="1">IF($AA90=0,"",IF($AJ90&gt;$AK90,Einstellungen!$C$4,IF($AJ90=$AK90,1,0)))</f>
        <v>1</v>
      </c>
      <c r="AM90" s="141">
        <f ca="1">IF($AA90=0,"",IF($AJ90&lt;$AK90,Einstellungen!$C$4,IF($AJ90=$AK90,1,0)))</f>
        <v>1</v>
      </c>
    </row>
    <row r="91" spans="2:39" s="2" customFormat="1" x14ac:dyDescent="0.2">
      <c r="B91" s="4"/>
      <c r="C91" s="4"/>
      <c r="D91" s="4"/>
      <c r="E91" s="4"/>
      <c r="F91" s="778"/>
      <c r="G91" s="778"/>
      <c r="H91" s="778"/>
      <c r="I91" s="778"/>
      <c r="J91" s="778"/>
      <c r="K91" s="778"/>
      <c r="L91" s="778"/>
      <c r="M91" s="778"/>
      <c r="U91" s="66" t="s">
        <v>42</v>
      </c>
      <c r="V91" s="40" t="str">
        <f ca="1">Planung!$L33</f>
        <v>Paris St. Germain</v>
      </c>
      <c r="W91" s="778" t="str">
        <f ca="1">Planung!$N33</f>
        <v>RB Leipzig</v>
      </c>
      <c r="X91" s="831">
        <f ca="1">IF(AND($AA91=1,Vorrunde!$I39&lt;&gt;"",Vorrunde!$K39&lt;&gt;"",ABS(Vorrunde!$I39-Vorrunde!$K39)&gt;1),Vorrunde!$I39,"")</f>
        <v>19</v>
      </c>
      <c r="Y91" s="35">
        <f ca="1">IF(AND($AA91=1,Vorrunde!$I39&lt;&gt;"",Vorrunde!$K39&lt;&gt;"",ABS(Vorrunde!$I39-Vorrunde!$K39)&gt;1),Vorrunde!$K39,"")</f>
        <v>25</v>
      </c>
      <c r="Z91" s="34" t="str">
        <f t="shared" ca="1" si="70"/>
        <v>Paris St. GermainRB Leipzig</v>
      </c>
      <c r="AA91" s="831">
        <f ca="1">IF(AND(V91&lt;&gt;"",W91&lt;&gt;"",V91&lt;&gt;W91,Vorrunde!$R39&lt;&gt;"",Vorrunde!$T39&lt;&gt;""),1,0)</f>
        <v>1</v>
      </c>
      <c r="AB91" s="831" t="str">
        <f ca="1">IF(AA91&gt;0,AH91&amp;Sprache!$E$109&amp;AI91,"")</f>
        <v>44 : 48</v>
      </c>
      <c r="AC91" s="141" t="str">
        <f ca="1">IF(AA91&gt;0,AJ91&amp;Sprache!$E$109&amp;AK91,"")</f>
        <v>1 : 1</v>
      </c>
      <c r="AD91" s="145">
        <f ca="1">IF(AND($AA91=1,Vorrunde!$L39&lt;&gt;"",Vorrunde!$N39&lt;&gt;"",ABS(Vorrunde!$L39-Vorrunde!$N39)&gt;1),Vorrunde!$L39,"")</f>
        <v>25</v>
      </c>
      <c r="AE91" s="141">
        <f ca="1">IF(AND($AA91=1,Vorrunde!$L39&lt;&gt;"",Vorrunde!$N39&lt;&gt;"",ABS(Vorrunde!$L39-Vorrunde!$N39)&gt;1),Vorrunde!$N39,"")</f>
        <v>23</v>
      </c>
      <c r="AF91" s="145" t="str">
        <f ca="1">IF(AND($AA91=1,Vorrunde!$O39&lt;&gt;"",Vorrunde!$Q39&lt;&gt;"",ABS(Vorrunde!$O39-Vorrunde!$Q39)&gt;1),Vorrunde!$O39,"")</f>
        <v/>
      </c>
      <c r="AG91" s="141" t="str">
        <f ca="1">IF(AND($AA91=1,Vorrunde!$O39&lt;&gt;"",Vorrunde!$Q39&lt;&gt;"",ABS(Vorrunde!$O39-Vorrunde!$Q39)&gt;1),Vorrunde!$Q39,"")</f>
        <v/>
      </c>
      <c r="AH91" s="145">
        <f t="shared" ca="1" si="68"/>
        <v>44</v>
      </c>
      <c r="AI91" s="141">
        <f t="shared" ca="1" si="69"/>
        <v>48</v>
      </c>
      <c r="AJ91" s="145">
        <f ca="1">IF(Vorrunde!$R39="",0,Vorrunde!$R39)</f>
        <v>1</v>
      </c>
      <c r="AK91" s="141">
        <f ca="1">IF(Vorrunde!$T39="",0,Vorrunde!$T39)</f>
        <v>1</v>
      </c>
      <c r="AL91" s="145">
        <f ca="1">IF($AA91=0,"",IF($AJ91&gt;$AK91,Einstellungen!$C$4,IF($AJ91=$AK91,1,0)))</f>
        <v>1</v>
      </c>
      <c r="AM91" s="141">
        <f ca="1">IF($AA91=0,"",IF($AJ91&lt;$AK91,Einstellungen!$C$4,IF($AJ91=$AK91,1,0)))</f>
        <v>1</v>
      </c>
    </row>
    <row r="92" spans="2:39" s="2" customFormat="1" x14ac:dyDescent="0.2">
      <c r="B92" s="4"/>
      <c r="C92" s="4"/>
      <c r="D92" s="4"/>
      <c r="E92" s="4"/>
      <c r="F92" s="778"/>
      <c r="G92" s="778"/>
      <c r="H92" s="778"/>
      <c r="I92" s="778"/>
      <c r="J92" s="778"/>
      <c r="K92" s="778"/>
      <c r="L92" s="778"/>
      <c r="M92" s="778"/>
      <c r="U92" s="66" t="s">
        <v>43</v>
      </c>
      <c r="V92" s="40" t="str">
        <f ca="1">Planung!$L34</f>
        <v>Eintracht Frankfurt</v>
      </c>
      <c r="W92" s="778" t="str">
        <f ca="1">Planung!$N34</f>
        <v>1. FC Riedwald</v>
      </c>
      <c r="X92" s="831">
        <f ca="1">IF(AND($AA92=1,Vorrunde!$I40&lt;&gt;"",Vorrunde!$K40&lt;&gt;"",ABS(Vorrunde!$I40-Vorrunde!$K40)&gt;1),Vorrunde!$I40,"")</f>
        <v>25</v>
      </c>
      <c r="Y92" s="35">
        <f ca="1">IF(AND($AA92=1,Vorrunde!$I40&lt;&gt;"",Vorrunde!$K40&lt;&gt;"",ABS(Vorrunde!$I40-Vorrunde!$K40)&gt;1),Vorrunde!$K40,"")</f>
        <v>17</v>
      </c>
      <c r="Z92" s="34" t="str">
        <f t="shared" ca="1" si="70"/>
        <v>Eintracht Frankfurt1. FC Riedwald</v>
      </c>
      <c r="AA92" s="831">
        <f ca="1">IF(AND(V92&lt;&gt;"",W92&lt;&gt;"",V92&lt;&gt;W92,Vorrunde!$R40&lt;&gt;"",Vorrunde!$T40&lt;&gt;""),1,0)</f>
        <v>1</v>
      </c>
      <c r="AB92" s="831" t="str">
        <f ca="1">IF(AA92&gt;0,AH92&amp;Sprache!$E$109&amp;AI92,"")</f>
        <v>50 : 34</v>
      </c>
      <c r="AC92" s="141" t="str">
        <f ca="1">IF(AA92&gt;0,AJ92&amp;Sprache!$E$109&amp;AK92,"")</f>
        <v>2 : 0</v>
      </c>
      <c r="AD92" s="145">
        <f ca="1">IF(AND($AA92=1,Vorrunde!$L40&lt;&gt;"",Vorrunde!$N40&lt;&gt;"",ABS(Vorrunde!$L40-Vorrunde!$N40)&gt;1),Vorrunde!$L40,"")</f>
        <v>25</v>
      </c>
      <c r="AE92" s="141">
        <f ca="1">IF(AND($AA92=1,Vorrunde!$L40&lt;&gt;"",Vorrunde!$N40&lt;&gt;"",ABS(Vorrunde!$L40-Vorrunde!$N40)&gt;1),Vorrunde!$N40,"")</f>
        <v>17</v>
      </c>
      <c r="AF92" s="145" t="str">
        <f ca="1">IF(AND($AA92=1,Vorrunde!$O40&lt;&gt;"",Vorrunde!$Q40&lt;&gt;"",ABS(Vorrunde!$O40-Vorrunde!$Q40)&gt;1),Vorrunde!$O40,"")</f>
        <v/>
      </c>
      <c r="AG92" s="141" t="str">
        <f ca="1">IF(AND($AA92=1,Vorrunde!$O40&lt;&gt;"",Vorrunde!$Q40&lt;&gt;"",ABS(Vorrunde!$O40-Vorrunde!$Q40)&gt;1),Vorrunde!$Q40,"")</f>
        <v/>
      </c>
      <c r="AH92" s="145">
        <f t="shared" ca="1" si="68"/>
        <v>50</v>
      </c>
      <c r="AI92" s="141">
        <f t="shared" ca="1" si="69"/>
        <v>34</v>
      </c>
      <c r="AJ92" s="145">
        <f ca="1">IF(Vorrunde!$R40="",0,Vorrunde!$R40)</f>
        <v>2</v>
      </c>
      <c r="AK92" s="141">
        <f ca="1">IF(Vorrunde!$T40="",0,Vorrunde!$T40)</f>
        <v>0</v>
      </c>
      <c r="AL92" s="145">
        <f ca="1">IF($AA92=0,"",IF($AJ92&gt;$AK92,Einstellungen!$C$4,IF($AJ92=$AK92,1,0)))</f>
        <v>2</v>
      </c>
      <c r="AM92" s="141">
        <f ca="1">IF($AA92=0,"",IF($AJ92&lt;$AK92,Einstellungen!$C$4,IF($AJ92=$AK92,1,0)))</f>
        <v>0</v>
      </c>
    </row>
    <row r="93" spans="2:39" s="2" customFormat="1" x14ac:dyDescent="0.2">
      <c r="B93" s="4"/>
      <c r="C93" s="4"/>
      <c r="D93" s="4"/>
      <c r="E93" s="4"/>
      <c r="F93" s="778"/>
      <c r="G93" s="778"/>
      <c r="H93" s="778"/>
      <c r="I93" s="778"/>
      <c r="J93" s="778"/>
      <c r="K93" s="778"/>
      <c r="L93" s="778"/>
      <c r="M93" s="778"/>
      <c r="U93" s="66" t="s">
        <v>44</v>
      </c>
      <c r="V93" s="40" t="str">
        <f ca="1">Planung!$L35</f>
        <v>SSV Wildbach</v>
      </c>
      <c r="W93" s="778" t="str">
        <f ca="1">Planung!$N35</f>
        <v>Mainz 05</v>
      </c>
      <c r="X93" s="831">
        <f ca="1">IF(AND($AA93=1,Vorrunde!$I41&lt;&gt;"",Vorrunde!$K41&lt;&gt;"",ABS(Vorrunde!$I41-Vorrunde!$K41)&gt;1),Vorrunde!$I41,"")</f>
        <v>14</v>
      </c>
      <c r="Y93" s="35">
        <f ca="1">IF(AND($AA93=1,Vorrunde!$I41&lt;&gt;"",Vorrunde!$K41&lt;&gt;"",ABS(Vorrunde!$I41-Vorrunde!$K41)&gt;1),Vorrunde!$K41,"")</f>
        <v>25</v>
      </c>
      <c r="Z93" s="34" t="str">
        <f t="shared" ca="1" si="70"/>
        <v>SSV WildbachMainz 05</v>
      </c>
      <c r="AA93" s="831">
        <f ca="1">IF(AND(V93&lt;&gt;"",W93&lt;&gt;"",V93&lt;&gt;W93,Vorrunde!$R41&lt;&gt;"",Vorrunde!$T41&lt;&gt;""),1,0)</f>
        <v>1</v>
      </c>
      <c r="AB93" s="831" t="str">
        <f ca="1">IF(AA93&gt;0,AH93&amp;Sprache!$E$109&amp;AI93,"")</f>
        <v>39 : 43</v>
      </c>
      <c r="AC93" s="141" t="str">
        <f ca="1">IF(AA93&gt;0,AJ93&amp;Sprache!$E$109&amp;AK93,"")</f>
        <v>1 : 1</v>
      </c>
      <c r="AD93" s="145">
        <f ca="1">IF(AND($AA93=1,Vorrunde!$L41&lt;&gt;"",Vorrunde!$N41&lt;&gt;"",ABS(Vorrunde!$L41-Vorrunde!$N41)&gt;1),Vorrunde!$L41,"")</f>
        <v>25</v>
      </c>
      <c r="AE93" s="141">
        <f ca="1">IF(AND($AA93=1,Vorrunde!$L41&lt;&gt;"",Vorrunde!$N41&lt;&gt;"",ABS(Vorrunde!$L41-Vorrunde!$N41)&gt;1),Vorrunde!$N41,"")</f>
        <v>18</v>
      </c>
      <c r="AF93" s="145" t="str">
        <f ca="1">IF(AND($AA93=1,Vorrunde!$O41&lt;&gt;"",Vorrunde!$Q41&lt;&gt;"",ABS(Vorrunde!$O41-Vorrunde!$Q41)&gt;1),Vorrunde!$O41,"")</f>
        <v/>
      </c>
      <c r="AG93" s="141" t="str">
        <f ca="1">IF(AND($AA93=1,Vorrunde!$O41&lt;&gt;"",Vorrunde!$Q41&lt;&gt;"",ABS(Vorrunde!$O41-Vorrunde!$Q41)&gt;1),Vorrunde!$Q41,"")</f>
        <v/>
      </c>
      <c r="AH93" s="145">
        <f t="shared" ca="1" si="68"/>
        <v>39</v>
      </c>
      <c r="AI93" s="141">
        <f t="shared" ca="1" si="69"/>
        <v>43</v>
      </c>
      <c r="AJ93" s="145">
        <f ca="1">IF(Vorrunde!$R41="",0,Vorrunde!$R41)</f>
        <v>1</v>
      </c>
      <c r="AK93" s="141">
        <f ca="1">IF(Vorrunde!$T41="",0,Vorrunde!$T41)</f>
        <v>1</v>
      </c>
      <c r="AL93" s="145">
        <f ca="1">IF($AA93=0,"",IF($AJ93&gt;$AK93,Einstellungen!$C$4,IF($AJ93=$AK93,1,0)))</f>
        <v>1</v>
      </c>
      <c r="AM93" s="141">
        <f ca="1">IF($AA93=0,"",IF($AJ93&lt;$AK93,Einstellungen!$C$4,IF($AJ93=$AK93,1,0)))</f>
        <v>1</v>
      </c>
    </row>
    <row r="94" spans="2:39" s="2" customFormat="1" x14ac:dyDescent="0.2">
      <c r="B94" s="4"/>
      <c r="C94" s="4"/>
      <c r="D94" s="4"/>
      <c r="E94" s="4"/>
      <c r="F94" s="778"/>
      <c r="G94" s="778"/>
      <c r="H94" s="778"/>
      <c r="I94" s="778"/>
      <c r="J94" s="778"/>
      <c r="K94" s="778"/>
      <c r="L94" s="778"/>
      <c r="M94" s="778"/>
      <c r="U94" s="66" t="s">
        <v>45</v>
      </c>
      <c r="V94" s="40" t="str">
        <f ca="1">Planung!$L36</f>
        <v>Borussia Dortmund</v>
      </c>
      <c r="W94" s="778" t="str">
        <f ca="1">Planung!$N36</f>
        <v>Kickers Rodendorf</v>
      </c>
      <c r="X94" s="831">
        <f ca="1">IF(AND($AA94=1,Vorrunde!$I42&lt;&gt;"",Vorrunde!$K42&lt;&gt;"",ABS(Vorrunde!$I42-Vorrunde!$K42)&gt;1),Vorrunde!$I42,"")</f>
        <v>20</v>
      </c>
      <c r="Y94" s="35">
        <f ca="1">IF(AND($AA94=1,Vorrunde!$I42&lt;&gt;"",Vorrunde!$K42&lt;&gt;"",ABS(Vorrunde!$I42-Vorrunde!$K42)&gt;1),Vorrunde!$K42,"")</f>
        <v>25</v>
      </c>
      <c r="Z94" s="34" t="str">
        <f t="shared" ca="1" si="70"/>
        <v>Borussia DortmundKickers Rodendorf</v>
      </c>
      <c r="AA94" s="831">
        <f ca="1">IF(AND(V94&lt;&gt;"",W94&lt;&gt;"",V94&lt;&gt;W94,Vorrunde!$R42&lt;&gt;"",Vorrunde!$T42&lt;&gt;""),1,0)</f>
        <v>1</v>
      </c>
      <c r="AB94" s="831" t="str">
        <f ca="1">IF(AA94&gt;0,AH94&amp;Sprache!$E$109&amp;AI94,"")</f>
        <v>45 : 44</v>
      </c>
      <c r="AC94" s="141" t="str">
        <f ca="1">IF(AA94&gt;0,AJ94&amp;Sprache!$E$109&amp;AK94,"")</f>
        <v>1 : 1</v>
      </c>
      <c r="AD94" s="145">
        <f ca="1">IF(AND($AA94=1,Vorrunde!$L42&lt;&gt;"",Vorrunde!$N42&lt;&gt;"",ABS(Vorrunde!$L42-Vorrunde!$N42)&gt;1),Vorrunde!$L42,"")</f>
        <v>25</v>
      </c>
      <c r="AE94" s="141">
        <f ca="1">IF(AND($AA94=1,Vorrunde!$L42&lt;&gt;"",Vorrunde!$N42&lt;&gt;"",ABS(Vorrunde!$L42-Vorrunde!$N42)&gt;1),Vorrunde!$N42,"")</f>
        <v>19</v>
      </c>
      <c r="AF94" s="145" t="str">
        <f ca="1">IF(AND($AA94=1,Vorrunde!$O42&lt;&gt;"",Vorrunde!$Q42&lt;&gt;"",ABS(Vorrunde!$O42-Vorrunde!$Q42)&gt;1),Vorrunde!$O42,"")</f>
        <v/>
      </c>
      <c r="AG94" s="141" t="str">
        <f ca="1">IF(AND($AA94=1,Vorrunde!$O42&lt;&gt;"",Vorrunde!$Q42&lt;&gt;"",ABS(Vorrunde!$O42-Vorrunde!$Q42)&gt;1),Vorrunde!$Q42,"")</f>
        <v/>
      </c>
      <c r="AH94" s="145">
        <f t="shared" ca="1" si="68"/>
        <v>45</v>
      </c>
      <c r="AI94" s="141">
        <f t="shared" ca="1" si="69"/>
        <v>44</v>
      </c>
      <c r="AJ94" s="145">
        <f ca="1">IF(Vorrunde!$R42="",0,Vorrunde!$R42)</f>
        <v>1</v>
      </c>
      <c r="AK94" s="141">
        <f ca="1">IF(Vorrunde!$T42="",0,Vorrunde!$T42)</f>
        <v>1</v>
      </c>
      <c r="AL94" s="145">
        <f ca="1">IF($AA94=0,"",IF($AJ94&gt;$AK94,Einstellungen!$C$4,IF($AJ94=$AK94,1,0)))</f>
        <v>1</v>
      </c>
      <c r="AM94" s="141">
        <f ca="1">IF($AA94=0,"",IF($AJ94&lt;$AK94,Einstellungen!$C$4,IF($AJ94=$AK94,1,0)))</f>
        <v>1</v>
      </c>
    </row>
    <row r="95" spans="2:39" s="2" customFormat="1" x14ac:dyDescent="0.2">
      <c r="B95" s="4"/>
      <c r="C95" s="4"/>
      <c r="D95" s="4"/>
      <c r="E95" s="4"/>
      <c r="F95" s="778"/>
      <c r="G95" s="778"/>
      <c r="H95" s="778"/>
      <c r="I95" s="778"/>
      <c r="J95" s="778"/>
      <c r="K95" s="778"/>
      <c r="L95" s="778"/>
      <c r="M95" s="778"/>
      <c r="U95" s="66" t="s">
        <v>46</v>
      </c>
      <c r="V95" s="40" t="str">
        <f ca="1">Planung!$L37</f>
        <v>HSV</v>
      </c>
      <c r="W95" s="778" t="str">
        <f ca="1">Planung!$N37</f>
        <v>TSG Saalberg eV</v>
      </c>
      <c r="X95" s="831">
        <f ca="1">IF(AND($AA95=1,Vorrunde!$I43&lt;&gt;"",Vorrunde!$K43&lt;&gt;"",ABS(Vorrunde!$I43-Vorrunde!$K43)&gt;1),Vorrunde!$I43,"")</f>
        <v>19</v>
      </c>
      <c r="Y95" s="35">
        <f ca="1">IF(AND($AA95=1,Vorrunde!$I43&lt;&gt;"",Vorrunde!$K43&lt;&gt;"",ABS(Vorrunde!$I43-Vorrunde!$K43)&gt;1),Vorrunde!$K43,"")</f>
        <v>25</v>
      </c>
      <c r="Z95" s="34" t="str">
        <f t="shared" ca="1" si="70"/>
        <v>HSVTSG Saalberg eV</v>
      </c>
      <c r="AA95" s="831">
        <f ca="1">IF(AND(V95&lt;&gt;"",W95&lt;&gt;"",V95&lt;&gt;W95,Vorrunde!$R43&lt;&gt;"",Vorrunde!$T43&lt;&gt;""),1,0)</f>
        <v>1</v>
      </c>
      <c r="AB95" s="831" t="str">
        <f ca="1">IF(AA95&gt;0,AH95&amp;Sprache!$E$109&amp;AI95,"")</f>
        <v>44 : 45</v>
      </c>
      <c r="AC95" s="141" t="str">
        <f ca="1">IF(AA95&gt;0,AJ95&amp;Sprache!$E$109&amp;AK95,"")</f>
        <v>1 : 1</v>
      </c>
      <c r="AD95" s="145">
        <f ca="1">IF(AND($AA95=1,Vorrunde!$L43&lt;&gt;"",Vorrunde!$N43&lt;&gt;"",ABS(Vorrunde!$L43-Vorrunde!$N43)&gt;1),Vorrunde!$L43,"")</f>
        <v>25</v>
      </c>
      <c r="AE95" s="141">
        <f ca="1">IF(AND($AA95=1,Vorrunde!$L43&lt;&gt;"",Vorrunde!$N43&lt;&gt;"",ABS(Vorrunde!$L43-Vorrunde!$N43)&gt;1),Vorrunde!$N43,"")</f>
        <v>20</v>
      </c>
      <c r="AF95" s="145" t="str">
        <f ca="1">IF(AND($AA95=1,Vorrunde!$O43&lt;&gt;"",Vorrunde!$Q43&lt;&gt;"",ABS(Vorrunde!$O43-Vorrunde!$Q43)&gt;1),Vorrunde!$O43,"")</f>
        <v/>
      </c>
      <c r="AG95" s="141" t="str">
        <f ca="1">IF(AND($AA95=1,Vorrunde!$O43&lt;&gt;"",Vorrunde!$Q43&lt;&gt;"",ABS(Vorrunde!$O43-Vorrunde!$Q43)&gt;1),Vorrunde!$Q43,"")</f>
        <v/>
      </c>
      <c r="AH95" s="145">
        <f t="shared" ca="1" si="68"/>
        <v>44</v>
      </c>
      <c r="AI95" s="141">
        <f t="shared" ca="1" si="69"/>
        <v>45</v>
      </c>
      <c r="AJ95" s="145">
        <f ca="1">IF(Vorrunde!$R43="",0,Vorrunde!$R43)</f>
        <v>1</v>
      </c>
      <c r="AK95" s="141">
        <f ca="1">IF(Vorrunde!$T43="",0,Vorrunde!$T43)</f>
        <v>1</v>
      </c>
      <c r="AL95" s="145">
        <f ca="1">IF($AA95=0,"",IF($AJ95&gt;$AK95,Einstellungen!$C$4,IF($AJ95=$AK95,1,0)))</f>
        <v>1</v>
      </c>
      <c r="AM95" s="141">
        <f ca="1">IF($AA95=0,"",IF($AJ95&lt;$AK95,Einstellungen!$C$4,IF($AJ95=$AK95,1,0)))</f>
        <v>1</v>
      </c>
    </row>
    <row r="96" spans="2:39" s="2" customFormat="1" x14ac:dyDescent="0.2">
      <c r="B96" s="4"/>
      <c r="C96" s="4"/>
      <c r="D96" s="4"/>
      <c r="E96" s="4"/>
      <c r="F96" s="778"/>
      <c r="G96" s="778"/>
      <c r="H96" s="778"/>
      <c r="I96" s="778"/>
      <c r="J96" s="778"/>
      <c r="K96" s="778"/>
      <c r="L96" s="778"/>
      <c r="M96" s="778"/>
      <c r="U96" s="66" t="s">
        <v>47</v>
      </c>
      <c r="V96" s="40" t="str">
        <f ca="1">Planung!$L38</f>
        <v>Maibach 1822 eV</v>
      </c>
      <c r="W96" s="778" t="str">
        <f ca="1">Planung!$N38</f>
        <v>VFB Essenheim</v>
      </c>
      <c r="X96" s="831">
        <f ca="1">IF(AND($AA96=1,Vorrunde!$I44&lt;&gt;"",Vorrunde!$K44&lt;&gt;"",ABS(Vorrunde!$I44-Vorrunde!$K44)&gt;1),Vorrunde!$I44,"")</f>
        <v>17</v>
      </c>
      <c r="Y96" s="35">
        <f ca="1">IF(AND($AA96=1,Vorrunde!$I44&lt;&gt;"",Vorrunde!$K44&lt;&gt;"",ABS(Vorrunde!$I44-Vorrunde!$K44)&gt;1),Vorrunde!$K44,"")</f>
        <v>25</v>
      </c>
      <c r="Z96" s="34" t="str">
        <f t="shared" ca="1" si="70"/>
        <v>Maibach 1822 eVVFB Essenheim</v>
      </c>
      <c r="AA96" s="831">
        <f ca="1">IF(AND(V96&lt;&gt;"",W96&lt;&gt;"",V96&lt;&gt;W96,Vorrunde!$R44&lt;&gt;"",Vorrunde!$T44&lt;&gt;""),1,0)</f>
        <v>1</v>
      </c>
      <c r="AB96" s="831" t="str">
        <f ca="1">IF(AA96&gt;0,AH96&amp;Sprache!$E$109&amp;AI96,"")</f>
        <v>42 : 46</v>
      </c>
      <c r="AC96" s="141" t="str">
        <f ca="1">IF(AA96&gt;0,AJ96&amp;Sprache!$E$109&amp;AK96,"")</f>
        <v>1 : 1</v>
      </c>
      <c r="AD96" s="145">
        <f ca="1">IF(AND($AA96=1,Vorrunde!$L44&lt;&gt;"",Vorrunde!$N44&lt;&gt;"",ABS(Vorrunde!$L44-Vorrunde!$N44)&gt;1),Vorrunde!$L44,"")</f>
        <v>25</v>
      </c>
      <c r="AE96" s="141">
        <f ca="1">IF(AND($AA96=1,Vorrunde!$L44&lt;&gt;"",Vorrunde!$N44&lt;&gt;"",ABS(Vorrunde!$L44-Vorrunde!$N44)&gt;1),Vorrunde!$N44,"")</f>
        <v>21</v>
      </c>
      <c r="AF96" s="145" t="str">
        <f ca="1">IF(AND($AA96=1,Vorrunde!$O44&lt;&gt;"",Vorrunde!$Q44&lt;&gt;"",ABS(Vorrunde!$O44-Vorrunde!$Q44)&gt;1),Vorrunde!$O44,"")</f>
        <v/>
      </c>
      <c r="AG96" s="141" t="str">
        <f ca="1">IF(AND($AA96=1,Vorrunde!$O44&lt;&gt;"",Vorrunde!$Q44&lt;&gt;"",ABS(Vorrunde!$O44-Vorrunde!$Q44)&gt;1),Vorrunde!$Q44,"")</f>
        <v/>
      </c>
      <c r="AH96" s="145">
        <f t="shared" ca="1" si="68"/>
        <v>42</v>
      </c>
      <c r="AI96" s="141">
        <f t="shared" ca="1" si="69"/>
        <v>46</v>
      </c>
      <c r="AJ96" s="145">
        <f ca="1">IF(Vorrunde!$R44="",0,Vorrunde!$R44)</f>
        <v>1</v>
      </c>
      <c r="AK96" s="141">
        <f ca="1">IF(Vorrunde!$T44="",0,Vorrunde!$T44)</f>
        <v>1</v>
      </c>
      <c r="AL96" s="145">
        <f ca="1">IF($AA96=0,"",IF($AJ96&gt;$AK96,Einstellungen!$C$4,IF($AJ96=$AK96,1,0)))</f>
        <v>1</v>
      </c>
      <c r="AM96" s="141">
        <f ca="1">IF($AA96=0,"",IF($AJ96&lt;$AK96,Einstellungen!$C$4,IF($AJ96=$AK96,1,0)))</f>
        <v>1</v>
      </c>
    </row>
    <row r="97" spans="2:39" s="2" customFormat="1" x14ac:dyDescent="0.2">
      <c r="B97" s="4"/>
      <c r="C97" s="4"/>
      <c r="D97" s="4"/>
      <c r="E97" s="4"/>
      <c r="F97" s="778"/>
      <c r="G97" s="778"/>
      <c r="H97" s="778"/>
      <c r="I97" s="778"/>
      <c r="J97" s="778"/>
      <c r="K97" s="778"/>
      <c r="L97" s="778"/>
      <c r="M97" s="778"/>
      <c r="U97" s="66" t="s">
        <v>48</v>
      </c>
      <c r="V97" s="40" t="str">
        <f ca="1">Planung!$L39</f>
        <v>Manchester City</v>
      </c>
      <c r="W97" s="778" t="str">
        <f ca="1">Planung!$N39</f>
        <v>FC Grönlingen</v>
      </c>
      <c r="X97" s="831">
        <f ca="1">IF(AND($AA97=1,Vorrunde!$I45&lt;&gt;"",Vorrunde!$K45&lt;&gt;"",ABS(Vorrunde!$I45-Vorrunde!$K45)&gt;1),Vorrunde!$I45,"")</f>
        <v>14</v>
      </c>
      <c r="Y97" s="35">
        <f ca="1">IF(AND($AA97=1,Vorrunde!$I45&lt;&gt;"",Vorrunde!$K45&lt;&gt;"",ABS(Vorrunde!$I45-Vorrunde!$K45)&gt;1),Vorrunde!$K45,"")</f>
        <v>25</v>
      </c>
      <c r="Z97" s="34" t="str">
        <f t="shared" ca="1" si="70"/>
        <v>Manchester CityFC Grönlingen</v>
      </c>
      <c r="AA97" s="831">
        <f ca="1">IF(AND(V97&lt;&gt;"",W97&lt;&gt;"",V97&lt;&gt;W97,Vorrunde!$R45&lt;&gt;"",Vorrunde!$T45&lt;&gt;""),1,0)</f>
        <v>1</v>
      </c>
      <c r="AB97" s="831" t="str">
        <f ca="1">IF(AA97&gt;0,AH97&amp;Sprache!$E$109&amp;AI97,"")</f>
        <v>39 : 47</v>
      </c>
      <c r="AC97" s="141" t="str">
        <f ca="1">IF(AA97&gt;0,AJ97&amp;Sprache!$E$109&amp;AK97,"")</f>
        <v>1 : 1</v>
      </c>
      <c r="AD97" s="145">
        <f ca="1">IF(AND($AA97=1,Vorrunde!$L45&lt;&gt;"",Vorrunde!$N45&lt;&gt;"",ABS(Vorrunde!$L45-Vorrunde!$N45)&gt;1),Vorrunde!$L45,"")</f>
        <v>25</v>
      </c>
      <c r="AE97" s="141">
        <f ca="1">IF(AND($AA97=1,Vorrunde!$L45&lt;&gt;"",Vorrunde!$N45&lt;&gt;"",ABS(Vorrunde!$L45-Vorrunde!$N45)&gt;1),Vorrunde!$N45,"")</f>
        <v>22</v>
      </c>
      <c r="AF97" s="145" t="str">
        <f ca="1">IF(AND($AA97=1,Vorrunde!$O45&lt;&gt;"",Vorrunde!$Q45&lt;&gt;"",ABS(Vorrunde!$O45-Vorrunde!$Q45)&gt;1),Vorrunde!$O45,"")</f>
        <v/>
      </c>
      <c r="AG97" s="141" t="str">
        <f ca="1">IF(AND($AA97=1,Vorrunde!$O45&lt;&gt;"",Vorrunde!$Q45&lt;&gt;"",ABS(Vorrunde!$O45-Vorrunde!$Q45)&gt;1),Vorrunde!$Q45,"")</f>
        <v/>
      </c>
      <c r="AH97" s="145">
        <f t="shared" ca="1" si="68"/>
        <v>39</v>
      </c>
      <c r="AI97" s="141">
        <f t="shared" ca="1" si="69"/>
        <v>47</v>
      </c>
      <c r="AJ97" s="145">
        <f ca="1">IF(Vorrunde!$R45="",0,Vorrunde!$R45)</f>
        <v>1</v>
      </c>
      <c r="AK97" s="141">
        <f ca="1">IF(Vorrunde!$T45="",0,Vorrunde!$T45)</f>
        <v>1</v>
      </c>
      <c r="AL97" s="145">
        <f ca="1">IF($AA97=0,"",IF($AJ97&gt;$AK97,Einstellungen!$C$4,IF($AJ97=$AK97,1,0)))</f>
        <v>1</v>
      </c>
      <c r="AM97" s="141">
        <f ca="1">IF($AA97=0,"",IF($AJ97&lt;$AK97,Einstellungen!$C$4,IF($AJ97=$AK97,1,0)))</f>
        <v>1</v>
      </c>
    </row>
    <row r="98" spans="2:39" s="2" customFormat="1" x14ac:dyDescent="0.2">
      <c r="B98" s="4"/>
      <c r="C98" s="4"/>
      <c r="D98" s="4"/>
      <c r="E98" s="4"/>
      <c r="F98" s="778"/>
      <c r="G98" s="778"/>
      <c r="H98" s="778"/>
      <c r="I98" s="778"/>
      <c r="J98" s="778"/>
      <c r="K98" s="778"/>
      <c r="L98" s="778"/>
      <c r="M98" s="778"/>
      <c r="U98" s="66" t="s">
        <v>49</v>
      </c>
      <c r="V98" s="40" t="str">
        <f ca="1">Planung!$L40</f>
        <v>FSV Rauen</v>
      </c>
      <c r="W98" s="778" t="str">
        <f ca="1">Planung!$N40</f>
        <v>1. FC Nürnberg</v>
      </c>
      <c r="X98" s="831">
        <f ca="1">IF(AND($AA98=1,Vorrunde!$I46&lt;&gt;"",Vorrunde!$K46&lt;&gt;"",ABS(Vorrunde!$I46-Vorrunde!$K46)&gt;1),Vorrunde!$I46,"")</f>
        <v>25</v>
      </c>
      <c r="Y98" s="35">
        <f ca="1">IF(AND($AA98=1,Vorrunde!$I46&lt;&gt;"",Vorrunde!$K46&lt;&gt;"",ABS(Vorrunde!$I46-Vorrunde!$K46)&gt;1),Vorrunde!$K46,"")</f>
        <v>21</v>
      </c>
      <c r="Z98" s="34" t="str">
        <f t="shared" ca="1" si="70"/>
        <v>FSV Rauen1. FC Nürnberg</v>
      </c>
      <c r="AA98" s="831">
        <f ca="1">IF(AND(V98&lt;&gt;"",W98&lt;&gt;"",V98&lt;&gt;W98,Vorrunde!$R46&lt;&gt;"",Vorrunde!$T46&lt;&gt;""),1,0)</f>
        <v>1</v>
      </c>
      <c r="AB98" s="831" t="str">
        <f ca="1">IF(AA98&gt;0,AH98&amp;Sprache!$E$109&amp;AI98,"")</f>
        <v>50 : 34</v>
      </c>
      <c r="AC98" s="141" t="str">
        <f ca="1">IF(AA98&gt;0,AJ98&amp;Sprache!$E$109&amp;AK98,"")</f>
        <v>2 : 0</v>
      </c>
      <c r="AD98" s="145">
        <f ca="1">IF(AND($AA98=1,Vorrunde!$L46&lt;&gt;"",Vorrunde!$N46&lt;&gt;"",ABS(Vorrunde!$L46-Vorrunde!$N46)&gt;1),Vorrunde!$L46,"")</f>
        <v>25</v>
      </c>
      <c r="AE98" s="141">
        <f ca="1">IF(AND($AA98=1,Vorrunde!$L46&lt;&gt;"",Vorrunde!$N46&lt;&gt;"",ABS(Vorrunde!$L46-Vorrunde!$N46)&gt;1),Vorrunde!$N46,"")</f>
        <v>13</v>
      </c>
      <c r="AF98" s="145" t="str">
        <f ca="1">IF(AND($AA98=1,Vorrunde!$O46&lt;&gt;"",Vorrunde!$Q46&lt;&gt;"",ABS(Vorrunde!$O46-Vorrunde!$Q46)&gt;1),Vorrunde!$O46,"")</f>
        <v/>
      </c>
      <c r="AG98" s="141" t="str">
        <f ca="1">IF(AND($AA98=1,Vorrunde!$O46&lt;&gt;"",Vorrunde!$Q46&lt;&gt;"",ABS(Vorrunde!$O46-Vorrunde!$Q46)&gt;1),Vorrunde!$Q46,"")</f>
        <v/>
      </c>
      <c r="AH98" s="145">
        <f t="shared" ca="1" si="68"/>
        <v>50</v>
      </c>
      <c r="AI98" s="141">
        <f t="shared" ca="1" si="69"/>
        <v>34</v>
      </c>
      <c r="AJ98" s="145">
        <f ca="1">IF(Vorrunde!$R46="",0,Vorrunde!$R46)</f>
        <v>2</v>
      </c>
      <c r="AK98" s="141">
        <f ca="1">IF(Vorrunde!$T46="",0,Vorrunde!$T46)</f>
        <v>0</v>
      </c>
      <c r="AL98" s="145">
        <f ca="1">IF($AA98=0,"",IF($AJ98&gt;$AK98,Einstellungen!$C$4,IF($AJ98=$AK98,1,0)))</f>
        <v>2</v>
      </c>
      <c r="AM98" s="141">
        <f ca="1">IF($AA98=0,"",IF($AJ98&lt;$AK98,Einstellungen!$C$4,IF($AJ98=$AK98,1,0)))</f>
        <v>0</v>
      </c>
    </row>
    <row r="99" spans="2:39" s="2" customFormat="1" x14ac:dyDescent="0.2">
      <c r="B99" s="4"/>
      <c r="C99" s="4"/>
      <c r="D99" s="4"/>
      <c r="E99" s="4"/>
      <c r="F99" s="778"/>
      <c r="G99" s="778"/>
      <c r="H99" s="778"/>
      <c r="I99" s="778"/>
      <c r="J99" s="778"/>
      <c r="K99" s="778"/>
      <c r="L99" s="778"/>
      <c r="M99" s="778"/>
      <c r="U99" s="66" t="s">
        <v>50</v>
      </c>
      <c r="V99" s="40" t="str">
        <f ca="1">Planung!$L41</f>
        <v>RB Leipzig</v>
      </c>
      <c r="W99" s="778" t="str">
        <f ca="1">Planung!$N41</f>
        <v>SV Oberredenburg</v>
      </c>
      <c r="X99" s="831">
        <f ca="1">IF(AND($AA99=1,Vorrunde!$I47&lt;&gt;"",Vorrunde!$K47&lt;&gt;"",ABS(Vorrunde!$I47-Vorrunde!$K47)&gt;1),Vorrunde!$I47,"")</f>
        <v>25</v>
      </c>
      <c r="Y99" s="35">
        <f ca="1">IF(AND($AA99=1,Vorrunde!$I47&lt;&gt;"",Vorrunde!$K47&lt;&gt;"",ABS(Vorrunde!$I47-Vorrunde!$K47)&gt;1),Vorrunde!$K47,"")</f>
        <v>19</v>
      </c>
      <c r="Z99" s="34" t="str">
        <f t="shared" ca="1" si="70"/>
        <v>RB LeipzigSV Oberredenburg</v>
      </c>
      <c r="AA99" s="831">
        <f ca="1">IF(AND(V99&lt;&gt;"",W99&lt;&gt;"",V99&lt;&gt;W99,Vorrunde!$R47&lt;&gt;"",Vorrunde!$T47&lt;&gt;""),1,0)</f>
        <v>1</v>
      </c>
      <c r="AB99" s="831" t="str">
        <f ca="1">IF(AA99&gt;0,AH99&amp;Sprache!$E$109&amp;AI99,"")</f>
        <v>50 : 36</v>
      </c>
      <c r="AC99" s="141" t="str">
        <f ca="1">IF(AA99&gt;0,AJ99&amp;Sprache!$E$109&amp;AK99,"")</f>
        <v>2 : 0</v>
      </c>
      <c r="AD99" s="145">
        <f ca="1">IF(AND($AA99=1,Vorrunde!$L47&lt;&gt;"",Vorrunde!$N47&lt;&gt;"",ABS(Vorrunde!$L47-Vorrunde!$N47)&gt;1),Vorrunde!$L47,"")</f>
        <v>25</v>
      </c>
      <c r="AE99" s="141">
        <f ca="1">IF(AND($AA99=1,Vorrunde!$L47&lt;&gt;"",Vorrunde!$N47&lt;&gt;"",ABS(Vorrunde!$L47-Vorrunde!$N47)&gt;1),Vorrunde!$N47,"")</f>
        <v>17</v>
      </c>
      <c r="AF99" s="145" t="str">
        <f ca="1">IF(AND($AA99=1,Vorrunde!$O47&lt;&gt;"",Vorrunde!$Q47&lt;&gt;"",ABS(Vorrunde!$O47-Vorrunde!$Q47)&gt;1),Vorrunde!$O47,"")</f>
        <v/>
      </c>
      <c r="AG99" s="141" t="str">
        <f ca="1">IF(AND($AA99=1,Vorrunde!$O47&lt;&gt;"",Vorrunde!$Q47&lt;&gt;"",ABS(Vorrunde!$O47-Vorrunde!$Q47)&gt;1),Vorrunde!$Q47,"")</f>
        <v/>
      </c>
      <c r="AH99" s="145">
        <f t="shared" ca="1" si="68"/>
        <v>50</v>
      </c>
      <c r="AI99" s="141">
        <f t="shared" ca="1" si="69"/>
        <v>36</v>
      </c>
      <c r="AJ99" s="145">
        <f ca="1">IF(Vorrunde!$R47="",0,Vorrunde!$R47)</f>
        <v>2</v>
      </c>
      <c r="AK99" s="141">
        <f ca="1">IF(Vorrunde!$T47="",0,Vorrunde!$T47)</f>
        <v>0</v>
      </c>
      <c r="AL99" s="145">
        <f ca="1">IF($AA99=0,"",IF($AJ99&gt;$AK99,Einstellungen!$C$4,IF($AJ99=$AK99,1,0)))</f>
        <v>2</v>
      </c>
      <c r="AM99" s="141">
        <f ca="1">IF($AA99=0,"",IF($AJ99&lt;$AK99,Einstellungen!$C$4,IF($AJ99=$AK99,1,0)))</f>
        <v>0</v>
      </c>
    </row>
    <row r="100" spans="2:39" s="2" customFormat="1" x14ac:dyDescent="0.2">
      <c r="B100" s="4"/>
      <c r="C100" s="4"/>
      <c r="D100" s="4"/>
      <c r="E100" s="4"/>
      <c r="F100" s="778"/>
      <c r="G100" s="778"/>
      <c r="H100" s="778"/>
      <c r="I100" s="778"/>
      <c r="J100" s="778"/>
      <c r="K100" s="778"/>
      <c r="L100" s="778"/>
      <c r="M100" s="778"/>
      <c r="U100" s="66" t="s">
        <v>58</v>
      </c>
      <c r="V100" s="40" t="str">
        <f ca="1">Planung!$L42</f>
        <v>1. FC Riedwald</v>
      </c>
      <c r="W100" s="778" t="str">
        <f ca="1">Planung!$N42</f>
        <v>FC Barcelona</v>
      </c>
      <c r="X100" s="831">
        <f ca="1">IF(AND($AA100=1,Vorrunde!$I48&lt;&gt;"",Vorrunde!$K48&lt;&gt;"",ABS(Vorrunde!$I48-Vorrunde!$K48)&gt;1),Vorrunde!$I48,"")</f>
        <v>17</v>
      </c>
      <c r="Y100" s="35">
        <f ca="1">IF(AND($AA100=1,Vorrunde!$I48&lt;&gt;"",Vorrunde!$K48&lt;&gt;"",ABS(Vorrunde!$I48-Vorrunde!$K48)&gt;1),Vorrunde!$K48,"")</f>
        <v>25</v>
      </c>
      <c r="Z100" s="34" t="str">
        <f t="shared" ca="1" si="70"/>
        <v>1. FC RiedwaldFC Barcelona</v>
      </c>
      <c r="AA100" s="831">
        <f ca="1">IF(AND(V100&lt;&gt;"",W100&lt;&gt;"",V100&lt;&gt;W100,Vorrunde!$R48&lt;&gt;"",Vorrunde!$T48&lt;&gt;""),1,0)</f>
        <v>1</v>
      </c>
      <c r="AB100" s="831" t="str">
        <f ca="1">IF(AA100&gt;0,AH100&amp;Sprache!$E$109&amp;AI100,"")</f>
        <v>35 : 50</v>
      </c>
      <c r="AC100" s="141" t="str">
        <f ca="1">IF(AA100&gt;0,AJ100&amp;Sprache!$E$109&amp;AK100,"")</f>
        <v>0 : 2</v>
      </c>
      <c r="AD100" s="145">
        <f ca="1">IF(AND($AA100=1,Vorrunde!$L48&lt;&gt;"",Vorrunde!$N48&lt;&gt;"",ABS(Vorrunde!$L48-Vorrunde!$N48)&gt;1),Vorrunde!$L48,"")</f>
        <v>18</v>
      </c>
      <c r="AE100" s="141">
        <f ca="1">IF(AND($AA100=1,Vorrunde!$L48&lt;&gt;"",Vorrunde!$N48&lt;&gt;"",ABS(Vorrunde!$L48-Vorrunde!$N48)&gt;1),Vorrunde!$N48,"")</f>
        <v>25</v>
      </c>
      <c r="AF100" s="145" t="str">
        <f ca="1">IF(AND($AA100=1,Vorrunde!$O48&lt;&gt;"",Vorrunde!$Q48&lt;&gt;"",ABS(Vorrunde!$O48-Vorrunde!$Q48)&gt;1),Vorrunde!$O48,"")</f>
        <v/>
      </c>
      <c r="AG100" s="141" t="str">
        <f ca="1">IF(AND($AA100=1,Vorrunde!$O48&lt;&gt;"",Vorrunde!$Q48&lt;&gt;"",ABS(Vorrunde!$O48-Vorrunde!$Q48)&gt;1),Vorrunde!$Q48,"")</f>
        <v/>
      </c>
      <c r="AH100" s="145">
        <f t="shared" ca="1" si="68"/>
        <v>35</v>
      </c>
      <c r="AI100" s="141">
        <f t="shared" ca="1" si="69"/>
        <v>50</v>
      </c>
      <c r="AJ100" s="145">
        <f ca="1">IF(Vorrunde!$R48="",0,Vorrunde!$R48)</f>
        <v>0</v>
      </c>
      <c r="AK100" s="141">
        <f ca="1">IF(Vorrunde!$T48="",0,Vorrunde!$T48)</f>
        <v>2</v>
      </c>
      <c r="AL100" s="145">
        <f ca="1">IF($AA100=0,"",IF($AJ100&gt;$AK100,Einstellungen!$C$4,IF($AJ100=$AK100,1,0)))</f>
        <v>0</v>
      </c>
      <c r="AM100" s="141">
        <f ca="1">IF($AA100=0,"",IF($AJ100&lt;$AK100,Einstellungen!$C$4,IF($AJ100=$AK100,1,0)))</f>
        <v>2</v>
      </c>
    </row>
    <row r="101" spans="2:39" s="2" customFormat="1" x14ac:dyDescent="0.2">
      <c r="B101" s="4"/>
      <c r="C101" s="4"/>
      <c r="D101" s="4"/>
      <c r="E101" s="4"/>
      <c r="F101" s="778"/>
      <c r="G101" s="778"/>
      <c r="H101" s="778"/>
      <c r="I101" s="778"/>
      <c r="J101" s="778"/>
      <c r="K101" s="778"/>
      <c r="L101" s="778"/>
      <c r="M101" s="778"/>
      <c r="U101" s="66" t="s">
        <v>59</v>
      </c>
      <c r="V101" s="40" t="str">
        <f ca="1">Planung!$L43</f>
        <v>Mainz 05</v>
      </c>
      <c r="W101" s="778" t="str">
        <f ca="1">Planung!$N43</f>
        <v>Inter Mailand</v>
      </c>
      <c r="X101" s="831">
        <f ca="1">IF(AND($AA101=1,Vorrunde!$I49&lt;&gt;"",Vorrunde!$K49&lt;&gt;"",ABS(Vorrunde!$I49-Vorrunde!$K49)&gt;1),Vorrunde!$I49,"")</f>
        <v>14</v>
      </c>
      <c r="Y101" s="35">
        <f ca="1">IF(AND($AA101=1,Vorrunde!$I49&lt;&gt;"",Vorrunde!$K49&lt;&gt;"",ABS(Vorrunde!$I49-Vorrunde!$K49)&gt;1),Vorrunde!$K49,"")</f>
        <v>25</v>
      </c>
      <c r="Z101" s="34" t="str">
        <f t="shared" ca="1" si="70"/>
        <v>Mainz 05Inter Mailand</v>
      </c>
      <c r="AA101" s="831">
        <f ca="1">IF(AND(V101&lt;&gt;"",W101&lt;&gt;"",V101&lt;&gt;W101,Vorrunde!$R49&lt;&gt;"",Vorrunde!$T49&lt;&gt;""),1,0)</f>
        <v>1</v>
      </c>
      <c r="AB101" s="831" t="str">
        <f ca="1">IF(AA101&gt;0,AH101&amp;Sprache!$E$109&amp;AI101,"")</f>
        <v>33 : 50</v>
      </c>
      <c r="AC101" s="141" t="str">
        <f ca="1">IF(AA101&gt;0,AJ101&amp;Sprache!$E$109&amp;AK101,"")</f>
        <v>0 : 2</v>
      </c>
      <c r="AD101" s="145">
        <f ca="1">IF(AND($AA101=1,Vorrunde!$L49&lt;&gt;"",Vorrunde!$N49&lt;&gt;"",ABS(Vorrunde!$L49-Vorrunde!$N49)&gt;1),Vorrunde!$L49,"")</f>
        <v>19</v>
      </c>
      <c r="AE101" s="141">
        <f ca="1">IF(AND($AA101=1,Vorrunde!$L49&lt;&gt;"",Vorrunde!$N49&lt;&gt;"",ABS(Vorrunde!$L49-Vorrunde!$N49)&gt;1),Vorrunde!$N49,"")</f>
        <v>25</v>
      </c>
      <c r="AF101" s="145" t="str">
        <f ca="1">IF(AND($AA101=1,Vorrunde!$O49&lt;&gt;"",Vorrunde!$Q49&lt;&gt;"",ABS(Vorrunde!$O49-Vorrunde!$Q49)&gt;1),Vorrunde!$O49,"")</f>
        <v/>
      </c>
      <c r="AG101" s="141" t="str">
        <f ca="1">IF(AND($AA101=1,Vorrunde!$O49&lt;&gt;"",Vorrunde!$Q49&lt;&gt;"",ABS(Vorrunde!$O49-Vorrunde!$Q49)&gt;1),Vorrunde!$Q49,"")</f>
        <v/>
      </c>
      <c r="AH101" s="145">
        <f t="shared" ca="1" si="68"/>
        <v>33</v>
      </c>
      <c r="AI101" s="141">
        <f t="shared" ca="1" si="69"/>
        <v>50</v>
      </c>
      <c r="AJ101" s="145">
        <f ca="1">IF(Vorrunde!$R49="",0,Vorrunde!$R49)</f>
        <v>0</v>
      </c>
      <c r="AK101" s="141">
        <f ca="1">IF(Vorrunde!$T49="",0,Vorrunde!$T49)</f>
        <v>2</v>
      </c>
      <c r="AL101" s="145">
        <f ca="1">IF($AA101=0,"",IF($AJ101&gt;$AK101,Einstellungen!$C$4,IF($AJ101=$AK101,1,0)))</f>
        <v>0</v>
      </c>
      <c r="AM101" s="141">
        <f ca="1">IF($AA101=0,"",IF($AJ101&lt;$AK101,Einstellungen!$C$4,IF($AJ101=$AK101,1,0)))</f>
        <v>2</v>
      </c>
    </row>
    <row r="102" spans="2:39" s="2" customFormat="1" x14ac:dyDescent="0.2">
      <c r="B102" s="4"/>
      <c r="C102" s="4"/>
      <c r="D102" s="4"/>
      <c r="E102" s="4"/>
      <c r="F102" s="778"/>
      <c r="G102" s="778"/>
      <c r="H102" s="778"/>
      <c r="I102" s="778"/>
      <c r="J102" s="778"/>
      <c r="K102" s="778"/>
      <c r="L102" s="778"/>
      <c r="M102" s="778"/>
      <c r="U102" s="66" t="s">
        <v>60</v>
      </c>
      <c r="V102" s="40" t="str">
        <f ca="1">Planung!$L44</f>
        <v>Kickers Rodendorf</v>
      </c>
      <c r="W102" s="778" t="str">
        <f ca="1">Planung!$N44</f>
        <v>Real Madrid</v>
      </c>
      <c r="X102" s="831">
        <f ca="1">IF(AND($AA102=1,Vorrunde!$I50&lt;&gt;"",Vorrunde!$K50&lt;&gt;"",ABS(Vorrunde!$I50-Vorrunde!$K50)&gt;1),Vorrunde!$I50,"")</f>
        <v>13</v>
      </c>
      <c r="Y102" s="35">
        <f ca="1">IF(AND($AA102=1,Vorrunde!$I50&lt;&gt;"",Vorrunde!$K50&lt;&gt;"",ABS(Vorrunde!$I50-Vorrunde!$K50)&gt;1),Vorrunde!$K50,"")</f>
        <v>25</v>
      </c>
      <c r="Z102" s="34" t="str">
        <f t="shared" ca="1" si="70"/>
        <v>Kickers RodendorfReal Madrid</v>
      </c>
      <c r="AA102" s="831">
        <f ca="1">IF(AND(V102&lt;&gt;"",W102&lt;&gt;"",V102&lt;&gt;W102,Vorrunde!$R50&lt;&gt;"",Vorrunde!$T50&lt;&gt;""),1,0)</f>
        <v>1</v>
      </c>
      <c r="AB102" s="831" t="str">
        <f ca="1">IF(AA102&gt;0,AH102&amp;Sprache!$E$109&amp;AI102,"")</f>
        <v>38 : 45</v>
      </c>
      <c r="AC102" s="141" t="str">
        <f ca="1">IF(AA102&gt;0,AJ102&amp;Sprache!$E$109&amp;AK102,"")</f>
        <v>1 : 1</v>
      </c>
      <c r="AD102" s="145">
        <f ca="1">IF(AND($AA102=1,Vorrunde!$L50&lt;&gt;"",Vorrunde!$N50&lt;&gt;"",ABS(Vorrunde!$L50-Vorrunde!$N50)&gt;1),Vorrunde!$L50,"")</f>
        <v>25</v>
      </c>
      <c r="AE102" s="141">
        <f ca="1">IF(AND($AA102=1,Vorrunde!$L50&lt;&gt;"",Vorrunde!$N50&lt;&gt;"",ABS(Vorrunde!$L50-Vorrunde!$N50)&gt;1),Vorrunde!$N50,"")</f>
        <v>20</v>
      </c>
      <c r="AF102" s="145" t="str">
        <f ca="1">IF(AND($AA102=1,Vorrunde!$O50&lt;&gt;"",Vorrunde!$Q50&lt;&gt;"",ABS(Vorrunde!$O50-Vorrunde!$Q50)&gt;1),Vorrunde!$O50,"")</f>
        <v/>
      </c>
      <c r="AG102" s="141" t="str">
        <f ca="1">IF(AND($AA102=1,Vorrunde!$O50&lt;&gt;"",Vorrunde!$Q50&lt;&gt;"",ABS(Vorrunde!$O50-Vorrunde!$Q50)&gt;1),Vorrunde!$Q50,"")</f>
        <v/>
      </c>
      <c r="AH102" s="145">
        <f t="shared" ca="1" si="68"/>
        <v>38</v>
      </c>
      <c r="AI102" s="141">
        <f t="shared" ca="1" si="69"/>
        <v>45</v>
      </c>
      <c r="AJ102" s="145">
        <f ca="1">IF(Vorrunde!$R50="",0,Vorrunde!$R50)</f>
        <v>1</v>
      </c>
      <c r="AK102" s="141">
        <f ca="1">IF(Vorrunde!$T50="",0,Vorrunde!$T50)</f>
        <v>1</v>
      </c>
      <c r="AL102" s="145">
        <f ca="1">IF($AA102=0,"",IF($AJ102&gt;$AK102,Einstellungen!$C$4,IF($AJ102=$AK102,1,0)))</f>
        <v>1</v>
      </c>
      <c r="AM102" s="141">
        <f ca="1">IF($AA102=0,"",IF($AJ102&lt;$AK102,Einstellungen!$C$4,IF($AJ102=$AK102,1,0)))</f>
        <v>1</v>
      </c>
    </row>
    <row r="103" spans="2:39" s="2" customFormat="1" x14ac:dyDescent="0.2">
      <c r="B103" s="4"/>
      <c r="C103" s="4"/>
      <c r="D103" s="4"/>
      <c r="E103" s="4"/>
      <c r="F103" s="778"/>
      <c r="G103" s="778"/>
      <c r="H103" s="778"/>
      <c r="I103" s="778"/>
      <c r="J103" s="778"/>
      <c r="K103" s="778"/>
      <c r="L103" s="778"/>
      <c r="M103" s="778"/>
      <c r="U103" s="66" t="s">
        <v>61</v>
      </c>
      <c r="V103" s="40" t="str">
        <f ca="1">Planung!$L45</f>
        <v>TSG Saalberg eV</v>
      </c>
      <c r="W103" s="778" t="str">
        <f ca="1">Planung!$N45</f>
        <v>Paris St. Germain</v>
      </c>
      <c r="X103" s="831">
        <f ca="1">IF(AND($AA103=1,Vorrunde!$I51&lt;&gt;"",Vorrunde!$K51&lt;&gt;"",ABS(Vorrunde!$I51-Vorrunde!$K51)&gt;1),Vorrunde!$I51,"")</f>
        <v>18</v>
      </c>
      <c r="Y103" s="35">
        <f ca="1">IF(AND($AA103=1,Vorrunde!$I51&lt;&gt;"",Vorrunde!$K51&lt;&gt;"",ABS(Vorrunde!$I51-Vorrunde!$K51)&gt;1),Vorrunde!$K51,"")</f>
        <v>25</v>
      </c>
      <c r="Z103" s="34" t="str">
        <f t="shared" ca="1" si="70"/>
        <v>TSG Saalberg eVParis St. Germain</v>
      </c>
      <c r="AA103" s="831">
        <f ca="1">IF(AND(V103&lt;&gt;"",W103&lt;&gt;"",V103&lt;&gt;W103,Vorrunde!$R51&lt;&gt;"",Vorrunde!$T51&lt;&gt;""),1,0)</f>
        <v>1</v>
      </c>
      <c r="AB103" s="831" t="str">
        <f ca="1">IF(AA103&gt;0,AH103&amp;Sprache!$E$109&amp;AI103,"")</f>
        <v>43 : 46</v>
      </c>
      <c r="AC103" s="141" t="str">
        <f ca="1">IF(AA103&gt;0,AJ103&amp;Sprache!$E$109&amp;AK103,"")</f>
        <v>1 : 1</v>
      </c>
      <c r="AD103" s="145">
        <f ca="1">IF(AND($AA103=1,Vorrunde!$L51&lt;&gt;"",Vorrunde!$N51&lt;&gt;"",ABS(Vorrunde!$L51-Vorrunde!$N51)&gt;1),Vorrunde!$L51,"")</f>
        <v>25</v>
      </c>
      <c r="AE103" s="141">
        <f ca="1">IF(AND($AA103=1,Vorrunde!$L51&lt;&gt;"",Vorrunde!$N51&lt;&gt;"",ABS(Vorrunde!$L51-Vorrunde!$N51)&gt;1),Vorrunde!$N51,"")</f>
        <v>21</v>
      </c>
      <c r="AF103" s="145" t="str">
        <f ca="1">IF(AND($AA103=1,Vorrunde!$O51&lt;&gt;"",Vorrunde!$Q51&lt;&gt;"",ABS(Vorrunde!$O51-Vorrunde!$Q51)&gt;1),Vorrunde!$O51,"")</f>
        <v/>
      </c>
      <c r="AG103" s="141" t="str">
        <f ca="1">IF(AND($AA103=1,Vorrunde!$O51&lt;&gt;"",Vorrunde!$Q51&lt;&gt;"",ABS(Vorrunde!$O51-Vorrunde!$Q51)&gt;1),Vorrunde!$Q51,"")</f>
        <v/>
      </c>
      <c r="AH103" s="145">
        <f t="shared" ca="1" si="68"/>
        <v>43</v>
      </c>
      <c r="AI103" s="141">
        <f t="shared" ca="1" si="69"/>
        <v>46</v>
      </c>
      <c r="AJ103" s="145">
        <f ca="1">IF(Vorrunde!$R51="",0,Vorrunde!$R51)</f>
        <v>1</v>
      </c>
      <c r="AK103" s="141">
        <f ca="1">IF(Vorrunde!$T51="",0,Vorrunde!$T51)</f>
        <v>1</v>
      </c>
      <c r="AL103" s="145">
        <f ca="1">IF($AA103=0,"",IF($AJ103&gt;$AK103,Einstellungen!$C$4,IF($AJ103=$AK103,1,0)))</f>
        <v>1</v>
      </c>
      <c r="AM103" s="141">
        <f ca="1">IF($AA103=0,"",IF($AJ103&lt;$AK103,Einstellungen!$C$4,IF($AJ103=$AK103,1,0)))</f>
        <v>1</v>
      </c>
    </row>
    <row r="104" spans="2:39" s="2" customFormat="1" x14ac:dyDescent="0.2">
      <c r="B104" s="4"/>
      <c r="C104" s="4"/>
      <c r="D104" s="4"/>
      <c r="E104" s="4"/>
      <c r="F104" s="778"/>
      <c r="G104" s="778"/>
      <c r="H104" s="778"/>
      <c r="I104" s="778"/>
      <c r="J104" s="778"/>
      <c r="K104" s="778"/>
      <c r="L104" s="778"/>
      <c r="M104" s="778"/>
      <c r="U104" s="66" t="s">
        <v>62</v>
      </c>
      <c r="V104" s="40" t="str">
        <f ca="1">Planung!$L46</f>
        <v/>
      </c>
      <c r="W104" s="778" t="str">
        <f ca="1">Planung!$N46</f>
        <v/>
      </c>
      <c r="X104" s="831" t="str">
        <f ca="1">IF(AND($AA104=1,Vorrunde!$I52&lt;&gt;"",Vorrunde!$K52&lt;&gt;"",ABS(Vorrunde!$I52-Vorrunde!$K52)&gt;1),Vorrunde!$I52,"")</f>
        <v/>
      </c>
      <c r="Y104" s="35" t="str">
        <f ca="1">IF(AND($AA104=1,Vorrunde!$I52&lt;&gt;"",Vorrunde!$K52&lt;&gt;"",ABS(Vorrunde!$I52-Vorrunde!$K52)&gt;1),Vorrunde!$K52,"")</f>
        <v/>
      </c>
      <c r="Z104" s="34" t="str">
        <f t="shared" ca="1" si="70"/>
        <v/>
      </c>
      <c r="AA104" s="831">
        <f ca="1">IF(AND(V104&lt;&gt;"",W104&lt;&gt;"",V104&lt;&gt;W104,Vorrunde!$R52&lt;&gt;"",Vorrunde!$T52&lt;&gt;""),1,0)</f>
        <v>0</v>
      </c>
      <c r="AB104" s="831" t="str">
        <f ca="1">IF(AA104&gt;0,AH104&amp;Sprache!$E$109&amp;AI104,"")</f>
        <v/>
      </c>
      <c r="AC104" s="141" t="str">
        <f ca="1">IF(AA104&gt;0,AJ104&amp;Sprache!$E$109&amp;AK104,"")</f>
        <v/>
      </c>
      <c r="AD104" s="145" t="str">
        <f ca="1">IF(AND($AA104=1,Vorrunde!$L52&lt;&gt;"",Vorrunde!$N52&lt;&gt;"",ABS(Vorrunde!$L52-Vorrunde!$N52)&gt;1),Vorrunde!$L52,"")</f>
        <v/>
      </c>
      <c r="AE104" s="141" t="str">
        <f ca="1">IF(AND($AA104=1,Vorrunde!$L52&lt;&gt;"",Vorrunde!$N52&lt;&gt;"",ABS(Vorrunde!$L52-Vorrunde!$N52)&gt;1),Vorrunde!$N52,"")</f>
        <v/>
      </c>
      <c r="AF104" s="145" t="str">
        <f ca="1">IF(AND($AA104=1,Vorrunde!$O52&lt;&gt;"",Vorrunde!$Q52&lt;&gt;"",ABS(Vorrunde!$O52-Vorrunde!$Q52)&gt;1),Vorrunde!$O52,"")</f>
        <v/>
      </c>
      <c r="AG104" s="141" t="str">
        <f ca="1">IF(AND($AA104=1,Vorrunde!$O52&lt;&gt;"",Vorrunde!$Q52&lt;&gt;"",ABS(Vorrunde!$O52-Vorrunde!$Q52)&gt;1),Vorrunde!$Q52,"")</f>
        <v/>
      </c>
      <c r="AH104" s="145" t="str">
        <f t="shared" ca="1" si="68"/>
        <v/>
      </c>
      <c r="AI104" s="141" t="str">
        <f t="shared" ca="1" si="69"/>
        <v/>
      </c>
      <c r="AJ104" s="145">
        <f ca="1">IF(Vorrunde!$R52="",0,Vorrunde!$R52)</f>
        <v>0</v>
      </c>
      <c r="AK104" s="141">
        <f ca="1">IF(Vorrunde!$T52="",0,Vorrunde!$T52)</f>
        <v>0</v>
      </c>
      <c r="AL104" s="145" t="str">
        <f ca="1">IF($AA104=0,"",IF($AJ104&gt;$AK104,Einstellungen!$C$4,IF($AJ104=$AK104,1,0)))</f>
        <v/>
      </c>
      <c r="AM104" s="141" t="str">
        <f ca="1">IF($AA104=0,"",IF($AJ104&lt;$AK104,Einstellungen!$C$4,IF($AJ104=$AK104,1,0)))</f>
        <v/>
      </c>
    </row>
    <row r="105" spans="2:39" s="2" customFormat="1" x14ac:dyDescent="0.2">
      <c r="B105" s="4"/>
      <c r="C105" s="4"/>
      <c r="D105" s="4"/>
      <c r="E105" s="4"/>
      <c r="F105" s="778"/>
      <c r="G105" s="778"/>
      <c r="H105" s="778"/>
      <c r="I105" s="778"/>
      <c r="J105" s="778"/>
      <c r="K105" s="778"/>
      <c r="L105" s="778"/>
      <c r="M105" s="778"/>
      <c r="U105" s="66" t="s">
        <v>63</v>
      </c>
      <c r="V105" s="40" t="str">
        <f ca="1">Planung!$L47</f>
        <v/>
      </c>
      <c r="W105" s="778" t="str">
        <f ca="1">Planung!$N47</f>
        <v/>
      </c>
      <c r="X105" s="831" t="str">
        <f ca="1">IF(AND($AA105=1,Vorrunde!$I53&lt;&gt;"",Vorrunde!$K53&lt;&gt;"",ABS(Vorrunde!$I53-Vorrunde!$K53)&gt;1),Vorrunde!$I53,"")</f>
        <v/>
      </c>
      <c r="Y105" s="35" t="str">
        <f ca="1">IF(AND($AA105=1,Vorrunde!$I53&lt;&gt;"",Vorrunde!$K53&lt;&gt;"",ABS(Vorrunde!$I53-Vorrunde!$K53)&gt;1),Vorrunde!$K53,"")</f>
        <v/>
      </c>
      <c r="Z105" s="34" t="str">
        <f t="shared" ca="1" si="70"/>
        <v/>
      </c>
      <c r="AA105" s="831">
        <f ca="1">IF(AND(V105&lt;&gt;"",W105&lt;&gt;"",V105&lt;&gt;W105,Vorrunde!$R53&lt;&gt;"",Vorrunde!$T53&lt;&gt;""),1,0)</f>
        <v>0</v>
      </c>
      <c r="AB105" s="831" t="str">
        <f ca="1">IF(AA105&gt;0,AH105&amp;Sprache!$E$109&amp;AI105,"")</f>
        <v/>
      </c>
      <c r="AC105" s="141" t="str">
        <f ca="1">IF(AA105&gt;0,AJ105&amp;Sprache!$E$109&amp;AK105,"")</f>
        <v/>
      </c>
      <c r="AD105" s="145" t="str">
        <f ca="1">IF(AND($AA105=1,Vorrunde!$L53&lt;&gt;"",Vorrunde!$N53&lt;&gt;"",ABS(Vorrunde!$L53-Vorrunde!$N53)&gt;1),Vorrunde!$L53,"")</f>
        <v/>
      </c>
      <c r="AE105" s="141" t="str">
        <f ca="1">IF(AND($AA105=1,Vorrunde!$L53&lt;&gt;"",Vorrunde!$N53&lt;&gt;"",ABS(Vorrunde!$L53-Vorrunde!$N53)&gt;1),Vorrunde!$N53,"")</f>
        <v/>
      </c>
      <c r="AF105" s="145" t="str">
        <f ca="1">IF(AND($AA105=1,Vorrunde!$O53&lt;&gt;"",Vorrunde!$Q53&lt;&gt;"",ABS(Vorrunde!$O53-Vorrunde!$Q53)&gt;1),Vorrunde!$O53,"")</f>
        <v/>
      </c>
      <c r="AG105" s="141" t="str">
        <f ca="1">IF(AND($AA105=1,Vorrunde!$O53&lt;&gt;"",Vorrunde!$Q53&lt;&gt;"",ABS(Vorrunde!$O53-Vorrunde!$Q53)&gt;1),Vorrunde!$Q53,"")</f>
        <v/>
      </c>
      <c r="AH105" s="145" t="str">
        <f t="shared" ca="1" si="68"/>
        <v/>
      </c>
      <c r="AI105" s="141" t="str">
        <f t="shared" ca="1" si="69"/>
        <v/>
      </c>
      <c r="AJ105" s="145">
        <f ca="1">IF(Vorrunde!$R53="",0,Vorrunde!$R53)</f>
        <v>0</v>
      </c>
      <c r="AK105" s="141">
        <f ca="1">IF(Vorrunde!$T53="",0,Vorrunde!$T53)</f>
        <v>0</v>
      </c>
      <c r="AL105" s="145" t="str">
        <f ca="1">IF($AA105=0,"",IF($AJ105&gt;$AK105,Einstellungen!$C$4,IF($AJ105=$AK105,1,0)))</f>
        <v/>
      </c>
      <c r="AM105" s="141" t="str">
        <f ca="1">IF($AA105=0,"",IF($AJ105&lt;$AK105,Einstellungen!$C$4,IF($AJ105=$AK105,1,0)))</f>
        <v/>
      </c>
    </row>
    <row r="106" spans="2:39" s="2" customFormat="1" x14ac:dyDescent="0.2">
      <c r="B106" s="4"/>
      <c r="C106" s="4"/>
      <c r="D106" s="4"/>
      <c r="E106" s="4"/>
      <c r="F106" s="778"/>
      <c r="G106" s="778"/>
      <c r="H106" s="778"/>
      <c r="I106" s="778"/>
      <c r="J106" s="778"/>
      <c r="K106" s="778"/>
      <c r="L106" s="778"/>
      <c r="M106" s="778"/>
      <c r="U106" s="66" t="s">
        <v>64</v>
      </c>
      <c r="V106" s="40" t="str">
        <f ca="1">Planung!$L48</f>
        <v/>
      </c>
      <c r="W106" s="778" t="str">
        <f ca="1">Planung!$N48</f>
        <v/>
      </c>
      <c r="X106" s="831" t="str">
        <f ca="1">IF(AND($AA106=1,Vorrunde!$I54&lt;&gt;"",Vorrunde!$K54&lt;&gt;"",ABS(Vorrunde!$I54-Vorrunde!$K54)&gt;1),Vorrunde!$I54,"")</f>
        <v/>
      </c>
      <c r="Y106" s="35" t="str">
        <f ca="1">IF(AND($AA106=1,Vorrunde!$I54&lt;&gt;"",Vorrunde!$K54&lt;&gt;"",ABS(Vorrunde!$I54-Vorrunde!$K54)&gt;1),Vorrunde!$K54,"")</f>
        <v/>
      </c>
      <c r="Z106" s="34" t="str">
        <f t="shared" ca="1" si="70"/>
        <v/>
      </c>
      <c r="AA106" s="831">
        <f ca="1">IF(AND(V106&lt;&gt;"",W106&lt;&gt;"",V106&lt;&gt;W106,Vorrunde!$R54&lt;&gt;"",Vorrunde!$T54&lt;&gt;""),1,0)</f>
        <v>0</v>
      </c>
      <c r="AB106" s="831" t="str">
        <f ca="1">IF(AA106&gt;0,AH106&amp;Sprache!$E$109&amp;AI106,"")</f>
        <v/>
      </c>
      <c r="AC106" s="141" t="str">
        <f ca="1">IF(AA106&gt;0,AJ106&amp;Sprache!$E$109&amp;AK106,"")</f>
        <v/>
      </c>
      <c r="AD106" s="145" t="str">
        <f ca="1">IF(AND($AA106=1,Vorrunde!$L54&lt;&gt;"",Vorrunde!$N54&lt;&gt;"",ABS(Vorrunde!$L54-Vorrunde!$N54)&gt;1),Vorrunde!$L54,"")</f>
        <v/>
      </c>
      <c r="AE106" s="141" t="str">
        <f ca="1">IF(AND($AA106=1,Vorrunde!$L54&lt;&gt;"",Vorrunde!$N54&lt;&gt;"",ABS(Vorrunde!$L54-Vorrunde!$N54)&gt;1),Vorrunde!$N54,"")</f>
        <v/>
      </c>
      <c r="AF106" s="145" t="str">
        <f ca="1">IF(AND($AA106=1,Vorrunde!$O54&lt;&gt;"",Vorrunde!$Q54&lt;&gt;"",ABS(Vorrunde!$O54-Vorrunde!$Q54)&gt;1),Vorrunde!$O54,"")</f>
        <v/>
      </c>
      <c r="AG106" s="141" t="str">
        <f ca="1">IF(AND($AA106=1,Vorrunde!$O54&lt;&gt;"",Vorrunde!$Q54&lt;&gt;"",ABS(Vorrunde!$O54-Vorrunde!$Q54)&gt;1),Vorrunde!$Q54,"")</f>
        <v/>
      </c>
      <c r="AH106" s="145" t="str">
        <f t="shared" ca="1" si="68"/>
        <v/>
      </c>
      <c r="AI106" s="141" t="str">
        <f t="shared" ca="1" si="69"/>
        <v/>
      </c>
      <c r="AJ106" s="145">
        <f ca="1">IF(Vorrunde!$R54="",0,Vorrunde!$R54)</f>
        <v>0</v>
      </c>
      <c r="AK106" s="141">
        <f ca="1">IF(Vorrunde!$T54="",0,Vorrunde!$T54)</f>
        <v>0</v>
      </c>
      <c r="AL106" s="145" t="str">
        <f ca="1">IF($AA106=0,"",IF($AJ106&gt;$AK106,Einstellungen!$C$4,IF($AJ106=$AK106,1,0)))</f>
        <v/>
      </c>
      <c r="AM106" s="141" t="str">
        <f ca="1">IF($AA106=0,"",IF($AJ106&lt;$AK106,Einstellungen!$C$4,IF($AJ106=$AK106,1,0)))</f>
        <v/>
      </c>
    </row>
    <row r="107" spans="2:39" s="2" customFormat="1" x14ac:dyDescent="0.2">
      <c r="B107" s="4"/>
      <c r="C107" s="4"/>
      <c r="D107" s="4"/>
      <c r="E107" s="4"/>
      <c r="F107" s="778"/>
      <c r="G107" s="778"/>
      <c r="H107" s="778"/>
      <c r="I107" s="778"/>
      <c r="J107" s="778"/>
      <c r="K107" s="778"/>
      <c r="L107" s="778"/>
      <c r="M107" s="778"/>
      <c r="U107" s="66" t="s">
        <v>65</v>
      </c>
      <c r="V107" s="40" t="str">
        <f ca="1">Planung!$L49</f>
        <v/>
      </c>
      <c r="W107" s="778" t="str">
        <f ca="1">Planung!$N49</f>
        <v/>
      </c>
      <c r="X107" s="831" t="str">
        <f ca="1">IF(AND($AA107=1,Vorrunde!$I55&lt;&gt;"",Vorrunde!$K55&lt;&gt;"",ABS(Vorrunde!$I55-Vorrunde!$K55)&gt;1),Vorrunde!$I55,"")</f>
        <v/>
      </c>
      <c r="Y107" s="35" t="str">
        <f ca="1">IF(AND($AA107=1,Vorrunde!$I55&lt;&gt;"",Vorrunde!$K55&lt;&gt;"",ABS(Vorrunde!$I55-Vorrunde!$K55)&gt;1),Vorrunde!$K55,"")</f>
        <v/>
      </c>
      <c r="Z107" s="34" t="str">
        <f t="shared" ca="1" si="70"/>
        <v/>
      </c>
      <c r="AA107" s="831">
        <f ca="1">IF(AND(V107&lt;&gt;"",W107&lt;&gt;"",V107&lt;&gt;W107,Vorrunde!$R55&lt;&gt;"",Vorrunde!$T55&lt;&gt;""),1,0)</f>
        <v>0</v>
      </c>
      <c r="AB107" s="831" t="str">
        <f ca="1">IF(AA107&gt;0,AH107&amp;Sprache!$E$109&amp;AI107,"")</f>
        <v/>
      </c>
      <c r="AC107" s="141" t="str">
        <f ca="1">IF(AA107&gt;0,AJ107&amp;Sprache!$E$109&amp;AK107,"")</f>
        <v/>
      </c>
      <c r="AD107" s="145" t="str">
        <f ca="1">IF(AND($AA107=1,Vorrunde!$L55&lt;&gt;"",Vorrunde!$N55&lt;&gt;"",ABS(Vorrunde!$L55-Vorrunde!$N55)&gt;1),Vorrunde!$L55,"")</f>
        <v/>
      </c>
      <c r="AE107" s="141" t="str">
        <f ca="1">IF(AND($AA107=1,Vorrunde!$L55&lt;&gt;"",Vorrunde!$N55&lt;&gt;"",ABS(Vorrunde!$L55-Vorrunde!$N55)&gt;1),Vorrunde!$N55,"")</f>
        <v/>
      </c>
      <c r="AF107" s="145" t="str">
        <f ca="1">IF(AND($AA107=1,Vorrunde!$O55&lt;&gt;"",Vorrunde!$Q55&lt;&gt;"",ABS(Vorrunde!$O55-Vorrunde!$Q55)&gt;1),Vorrunde!$O55,"")</f>
        <v/>
      </c>
      <c r="AG107" s="141" t="str">
        <f ca="1">IF(AND($AA107=1,Vorrunde!$O55&lt;&gt;"",Vorrunde!$Q55&lt;&gt;"",ABS(Vorrunde!$O55-Vorrunde!$Q55)&gt;1),Vorrunde!$Q55,"")</f>
        <v/>
      </c>
      <c r="AH107" s="145" t="str">
        <f t="shared" ca="1" si="68"/>
        <v/>
      </c>
      <c r="AI107" s="141" t="str">
        <f t="shared" ca="1" si="69"/>
        <v/>
      </c>
      <c r="AJ107" s="145">
        <f ca="1">IF(Vorrunde!$R55="",0,Vorrunde!$R55)</f>
        <v>0</v>
      </c>
      <c r="AK107" s="141">
        <f ca="1">IF(Vorrunde!$T55="",0,Vorrunde!$T55)</f>
        <v>0</v>
      </c>
      <c r="AL107" s="145" t="str">
        <f ca="1">IF($AA107=0,"",IF($AJ107&gt;$AK107,Einstellungen!$C$4,IF($AJ107=$AK107,1,0)))</f>
        <v/>
      </c>
      <c r="AM107" s="141" t="str">
        <f ca="1">IF($AA107=0,"",IF($AJ107&lt;$AK107,Einstellungen!$C$4,IF($AJ107=$AK107,1,0)))</f>
        <v/>
      </c>
    </row>
    <row r="108" spans="2:39" s="2" customFormat="1" x14ac:dyDescent="0.2">
      <c r="B108" s="4"/>
      <c r="C108" s="4"/>
      <c r="D108" s="4"/>
      <c r="E108" s="4"/>
      <c r="F108" s="778"/>
      <c r="G108" s="778"/>
      <c r="H108" s="778"/>
      <c r="I108" s="778"/>
      <c r="J108" s="778"/>
      <c r="K108" s="778"/>
      <c r="L108" s="778"/>
      <c r="M108" s="778"/>
      <c r="U108" s="66" t="s">
        <v>66</v>
      </c>
      <c r="V108" s="40" t="str">
        <f ca="1">Planung!$L50</f>
        <v/>
      </c>
      <c r="W108" s="778" t="str">
        <f ca="1">Planung!$N50</f>
        <v/>
      </c>
      <c r="X108" s="831" t="str">
        <f ca="1">IF(AND($AA108=1,Vorrunde!$I56&lt;&gt;"",Vorrunde!$K56&lt;&gt;"",ABS(Vorrunde!$I56-Vorrunde!$K56)&gt;1),Vorrunde!$I56,"")</f>
        <v/>
      </c>
      <c r="Y108" s="35" t="str">
        <f ca="1">IF(AND($AA108=1,Vorrunde!$I56&lt;&gt;"",Vorrunde!$K56&lt;&gt;"",ABS(Vorrunde!$I56-Vorrunde!$K56)&gt;1),Vorrunde!$K56,"")</f>
        <v/>
      </c>
      <c r="Z108" s="34" t="str">
        <f t="shared" ca="1" si="70"/>
        <v/>
      </c>
      <c r="AA108" s="831">
        <f ca="1">IF(AND(V108&lt;&gt;"",W108&lt;&gt;"",V108&lt;&gt;W108,Vorrunde!$R56&lt;&gt;"",Vorrunde!$T56&lt;&gt;""),1,0)</f>
        <v>0</v>
      </c>
      <c r="AB108" s="831" t="str">
        <f ca="1">IF(AA108&gt;0,AH108&amp;Sprache!$E$109&amp;AI108,"")</f>
        <v/>
      </c>
      <c r="AC108" s="141" t="str">
        <f ca="1">IF(AA108&gt;0,AJ108&amp;Sprache!$E$109&amp;AK108,"")</f>
        <v/>
      </c>
      <c r="AD108" s="145" t="str">
        <f ca="1">IF(AND($AA108=1,Vorrunde!$L56&lt;&gt;"",Vorrunde!$N56&lt;&gt;"",ABS(Vorrunde!$L56-Vorrunde!$N56)&gt;1),Vorrunde!$L56,"")</f>
        <v/>
      </c>
      <c r="AE108" s="141" t="str">
        <f ca="1">IF(AND($AA108=1,Vorrunde!$L56&lt;&gt;"",Vorrunde!$N56&lt;&gt;"",ABS(Vorrunde!$L56-Vorrunde!$N56)&gt;1),Vorrunde!$N56,"")</f>
        <v/>
      </c>
      <c r="AF108" s="145" t="str">
        <f ca="1">IF(AND($AA108=1,Vorrunde!$O56&lt;&gt;"",Vorrunde!$Q56&lt;&gt;"",ABS(Vorrunde!$O56-Vorrunde!$Q56)&gt;1),Vorrunde!$O56,"")</f>
        <v/>
      </c>
      <c r="AG108" s="141" t="str">
        <f ca="1">IF(AND($AA108=1,Vorrunde!$O56&lt;&gt;"",Vorrunde!$Q56&lt;&gt;"",ABS(Vorrunde!$O56-Vorrunde!$Q56)&gt;1),Vorrunde!$Q56,"")</f>
        <v/>
      </c>
      <c r="AH108" s="145" t="str">
        <f t="shared" ca="1" si="68"/>
        <v/>
      </c>
      <c r="AI108" s="141" t="str">
        <f t="shared" ca="1" si="69"/>
        <v/>
      </c>
      <c r="AJ108" s="145">
        <f ca="1">IF(Vorrunde!$R56="",0,Vorrunde!$R56)</f>
        <v>0</v>
      </c>
      <c r="AK108" s="141">
        <f ca="1">IF(Vorrunde!$T56="",0,Vorrunde!$T56)</f>
        <v>0</v>
      </c>
      <c r="AL108" s="145" t="str">
        <f ca="1">IF($AA108=0,"",IF($AJ108&gt;$AK108,Einstellungen!$C$4,IF($AJ108=$AK108,1,0)))</f>
        <v/>
      </c>
      <c r="AM108" s="141" t="str">
        <f ca="1">IF($AA108=0,"",IF($AJ108&lt;$AK108,Einstellungen!$C$4,IF($AJ108=$AK108,1,0)))</f>
        <v/>
      </c>
    </row>
    <row r="109" spans="2:39" s="2" customFormat="1" x14ac:dyDescent="0.2">
      <c r="B109" s="4"/>
      <c r="C109" s="4"/>
      <c r="D109" s="4"/>
      <c r="E109" s="4"/>
      <c r="F109" s="778"/>
      <c r="G109" s="778"/>
      <c r="H109" s="778"/>
      <c r="I109" s="778"/>
      <c r="J109" s="778"/>
      <c r="K109" s="778"/>
      <c r="L109" s="778"/>
      <c r="M109" s="778"/>
      <c r="U109" s="66" t="s">
        <v>67</v>
      </c>
      <c r="V109" s="40" t="str">
        <f ca="1">Planung!$L51</f>
        <v/>
      </c>
      <c r="W109" s="778" t="str">
        <f ca="1">Planung!$N51</f>
        <v/>
      </c>
      <c r="X109" s="831" t="str">
        <f ca="1">IF(AND($AA109=1,Vorrunde!$I57&lt;&gt;"",Vorrunde!$K57&lt;&gt;"",ABS(Vorrunde!$I57-Vorrunde!$K57)&gt;1),Vorrunde!$I57,"")</f>
        <v/>
      </c>
      <c r="Y109" s="35" t="str">
        <f ca="1">IF(AND($AA109=1,Vorrunde!$I57&lt;&gt;"",Vorrunde!$K57&lt;&gt;"",ABS(Vorrunde!$I57-Vorrunde!$K57)&gt;1),Vorrunde!$K57,"")</f>
        <v/>
      </c>
      <c r="Z109" s="34" t="str">
        <f t="shared" ca="1" si="70"/>
        <v/>
      </c>
      <c r="AA109" s="831">
        <f ca="1">IF(AND(V109&lt;&gt;"",W109&lt;&gt;"",V109&lt;&gt;W109,Vorrunde!$R57&lt;&gt;"",Vorrunde!$T57&lt;&gt;""),1,0)</f>
        <v>0</v>
      </c>
      <c r="AB109" s="831" t="str">
        <f ca="1">IF(AA109&gt;0,AH109&amp;Sprache!$E$109&amp;AI109,"")</f>
        <v/>
      </c>
      <c r="AC109" s="141" t="str">
        <f ca="1">IF(AA109&gt;0,AJ109&amp;Sprache!$E$109&amp;AK109,"")</f>
        <v/>
      </c>
      <c r="AD109" s="145" t="str">
        <f ca="1">IF(AND($AA109=1,Vorrunde!$L57&lt;&gt;"",Vorrunde!$N57&lt;&gt;"",ABS(Vorrunde!$L57-Vorrunde!$N57)&gt;1),Vorrunde!$L57,"")</f>
        <v/>
      </c>
      <c r="AE109" s="141" t="str">
        <f ca="1">IF(AND($AA109=1,Vorrunde!$L57&lt;&gt;"",Vorrunde!$N57&lt;&gt;"",ABS(Vorrunde!$L57-Vorrunde!$N57)&gt;1),Vorrunde!$N57,"")</f>
        <v/>
      </c>
      <c r="AF109" s="145" t="str">
        <f ca="1">IF(AND($AA109=1,Vorrunde!$O57&lt;&gt;"",Vorrunde!$Q57&lt;&gt;"",ABS(Vorrunde!$O57-Vorrunde!$Q57)&gt;1),Vorrunde!$O57,"")</f>
        <v/>
      </c>
      <c r="AG109" s="141" t="str">
        <f ca="1">IF(AND($AA109=1,Vorrunde!$O57&lt;&gt;"",Vorrunde!$Q57&lt;&gt;"",ABS(Vorrunde!$O57-Vorrunde!$Q57)&gt;1),Vorrunde!$Q57,"")</f>
        <v/>
      </c>
      <c r="AH109" s="145" t="str">
        <f t="shared" ca="1" si="68"/>
        <v/>
      </c>
      <c r="AI109" s="141" t="str">
        <f t="shared" ca="1" si="69"/>
        <v/>
      </c>
      <c r="AJ109" s="145">
        <f ca="1">IF(Vorrunde!$R57="",0,Vorrunde!$R57)</f>
        <v>0</v>
      </c>
      <c r="AK109" s="141">
        <f ca="1">IF(Vorrunde!$T57="",0,Vorrunde!$T57)</f>
        <v>0</v>
      </c>
      <c r="AL109" s="145" t="str">
        <f ca="1">IF($AA109=0,"",IF($AJ109&gt;$AK109,Einstellungen!$C$4,IF($AJ109=$AK109,1,0)))</f>
        <v/>
      </c>
      <c r="AM109" s="141" t="str">
        <f ca="1">IF($AA109=0,"",IF($AJ109&lt;$AK109,Einstellungen!$C$4,IF($AJ109=$AK109,1,0)))</f>
        <v/>
      </c>
    </row>
    <row r="110" spans="2:39" s="2" customFormat="1" x14ac:dyDescent="0.2">
      <c r="B110" s="4"/>
      <c r="C110" s="4"/>
      <c r="D110" s="4"/>
      <c r="E110" s="4"/>
      <c r="F110" s="778"/>
      <c r="G110" s="778"/>
      <c r="H110" s="778"/>
      <c r="I110" s="778"/>
      <c r="J110" s="778"/>
      <c r="K110" s="778"/>
      <c r="L110" s="778"/>
      <c r="M110" s="778"/>
      <c r="U110" s="66" t="s">
        <v>68</v>
      </c>
      <c r="V110" s="40" t="str">
        <f ca="1">Planung!$L52</f>
        <v/>
      </c>
      <c r="W110" s="778" t="str">
        <f ca="1">Planung!$N52</f>
        <v/>
      </c>
      <c r="X110" s="831" t="str">
        <f ca="1">IF(AND($AA110=1,Vorrunde!$I58&lt;&gt;"",Vorrunde!$K58&lt;&gt;"",ABS(Vorrunde!$I58-Vorrunde!$K58)&gt;1),Vorrunde!$I58,"")</f>
        <v/>
      </c>
      <c r="Y110" s="35" t="str">
        <f ca="1">IF(AND($AA110=1,Vorrunde!$I58&lt;&gt;"",Vorrunde!$K58&lt;&gt;"",ABS(Vorrunde!$I58-Vorrunde!$K58)&gt;1),Vorrunde!$K58,"")</f>
        <v/>
      </c>
      <c r="Z110" s="34" t="str">
        <f t="shared" ca="1" si="70"/>
        <v/>
      </c>
      <c r="AA110" s="831">
        <f ca="1">IF(AND(V110&lt;&gt;"",W110&lt;&gt;"",V110&lt;&gt;W110,Vorrunde!$R58&lt;&gt;"",Vorrunde!$T58&lt;&gt;""),1,0)</f>
        <v>0</v>
      </c>
      <c r="AB110" s="831" t="str">
        <f ca="1">IF(AA110&gt;0,AH110&amp;Sprache!$E$109&amp;AI110,"")</f>
        <v/>
      </c>
      <c r="AC110" s="141" t="str">
        <f ca="1">IF(AA110&gt;0,AJ110&amp;Sprache!$E$109&amp;AK110,"")</f>
        <v/>
      </c>
      <c r="AD110" s="145" t="str">
        <f ca="1">IF(AND($AA110=1,Vorrunde!$L58&lt;&gt;"",Vorrunde!$N58&lt;&gt;"",ABS(Vorrunde!$L58-Vorrunde!$N58)&gt;1),Vorrunde!$L58,"")</f>
        <v/>
      </c>
      <c r="AE110" s="141" t="str">
        <f ca="1">IF(AND($AA110=1,Vorrunde!$L58&lt;&gt;"",Vorrunde!$N58&lt;&gt;"",ABS(Vorrunde!$L58-Vorrunde!$N58)&gt;1),Vorrunde!$N58,"")</f>
        <v/>
      </c>
      <c r="AF110" s="145" t="str">
        <f ca="1">IF(AND($AA110=1,Vorrunde!$O58&lt;&gt;"",Vorrunde!$Q58&lt;&gt;"",ABS(Vorrunde!$O58-Vorrunde!$Q58)&gt;1),Vorrunde!$O58,"")</f>
        <v/>
      </c>
      <c r="AG110" s="141" t="str">
        <f ca="1">IF(AND($AA110=1,Vorrunde!$O58&lt;&gt;"",Vorrunde!$Q58&lt;&gt;"",ABS(Vorrunde!$O58-Vorrunde!$Q58)&gt;1),Vorrunde!$Q58,"")</f>
        <v/>
      </c>
      <c r="AH110" s="145" t="str">
        <f t="shared" ca="1" si="68"/>
        <v/>
      </c>
      <c r="AI110" s="141" t="str">
        <f t="shared" ca="1" si="69"/>
        <v/>
      </c>
      <c r="AJ110" s="145">
        <f ca="1">IF(Vorrunde!$R58="",0,Vorrunde!$R58)</f>
        <v>0</v>
      </c>
      <c r="AK110" s="141">
        <f ca="1">IF(Vorrunde!$T58="",0,Vorrunde!$T58)</f>
        <v>0</v>
      </c>
      <c r="AL110" s="145" t="str">
        <f ca="1">IF($AA110=0,"",IF($AJ110&gt;$AK110,Einstellungen!$C$4,IF($AJ110=$AK110,1,0)))</f>
        <v/>
      </c>
      <c r="AM110" s="141" t="str">
        <f ca="1">IF($AA110=0,"",IF($AJ110&lt;$AK110,Einstellungen!$C$4,IF($AJ110=$AK110,1,0)))</f>
        <v/>
      </c>
    </row>
    <row r="111" spans="2:39" s="2" customFormat="1" x14ac:dyDescent="0.2">
      <c r="B111" s="4"/>
      <c r="C111" s="4"/>
      <c r="D111" s="4"/>
      <c r="E111" s="4"/>
      <c r="F111" s="778"/>
      <c r="G111" s="778"/>
      <c r="H111" s="778"/>
      <c r="I111" s="778"/>
      <c r="J111" s="778"/>
      <c r="K111" s="778"/>
      <c r="L111" s="778"/>
      <c r="M111" s="778"/>
      <c r="U111" s="66" t="s">
        <v>69</v>
      </c>
      <c r="V111" s="40" t="str">
        <f ca="1">Planung!$L53</f>
        <v/>
      </c>
      <c r="W111" s="778" t="str">
        <f ca="1">Planung!$N53</f>
        <v/>
      </c>
      <c r="X111" s="831" t="str">
        <f ca="1">IF(AND($AA111=1,Vorrunde!$I59&lt;&gt;"",Vorrunde!$K59&lt;&gt;"",ABS(Vorrunde!$I59-Vorrunde!$K59)&gt;1),Vorrunde!$I59,"")</f>
        <v/>
      </c>
      <c r="Y111" s="35" t="str">
        <f ca="1">IF(AND($AA111=1,Vorrunde!$I59&lt;&gt;"",Vorrunde!$K59&lt;&gt;"",ABS(Vorrunde!$I59-Vorrunde!$K59)&gt;1),Vorrunde!$K59,"")</f>
        <v/>
      </c>
      <c r="Z111" s="34" t="str">
        <f t="shared" ca="1" si="70"/>
        <v/>
      </c>
      <c r="AA111" s="831">
        <f ca="1">IF(AND(V111&lt;&gt;"",W111&lt;&gt;"",V111&lt;&gt;W111,Vorrunde!$R59&lt;&gt;"",Vorrunde!$T59&lt;&gt;""),1,0)</f>
        <v>0</v>
      </c>
      <c r="AB111" s="831" t="str">
        <f ca="1">IF(AA111&gt;0,AH111&amp;Sprache!$E$109&amp;AI111,"")</f>
        <v/>
      </c>
      <c r="AC111" s="141" t="str">
        <f ca="1">IF(AA111&gt;0,AJ111&amp;Sprache!$E$109&amp;AK111,"")</f>
        <v/>
      </c>
      <c r="AD111" s="145" t="str">
        <f ca="1">IF(AND($AA111=1,Vorrunde!$L59&lt;&gt;"",Vorrunde!$N59&lt;&gt;"",ABS(Vorrunde!$L59-Vorrunde!$N59)&gt;1),Vorrunde!$L59,"")</f>
        <v/>
      </c>
      <c r="AE111" s="141" t="str">
        <f ca="1">IF(AND($AA111=1,Vorrunde!$L59&lt;&gt;"",Vorrunde!$N59&lt;&gt;"",ABS(Vorrunde!$L59-Vorrunde!$N59)&gt;1),Vorrunde!$N59,"")</f>
        <v/>
      </c>
      <c r="AF111" s="145" t="str">
        <f ca="1">IF(AND($AA111=1,Vorrunde!$O59&lt;&gt;"",Vorrunde!$Q59&lt;&gt;"",ABS(Vorrunde!$O59-Vorrunde!$Q59)&gt;1),Vorrunde!$O59,"")</f>
        <v/>
      </c>
      <c r="AG111" s="141" t="str">
        <f ca="1">IF(AND($AA111=1,Vorrunde!$O59&lt;&gt;"",Vorrunde!$Q59&lt;&gt;"",ABS(Vorrunde!$O59-Vorrunde!$Q59)&gt;1),Vorrunde!$Q59,"")</f>
        <v/>
      </c>
      <c r="AH111" s="145" t="str">
        <f t="shared" ca="1" si="68"/>
        <v/>
      </c>
      <c r="AI111" s="141" t="str">
        <f t="shared" ca="1" si="69"/>
        <v/>
      </c>
      <c r="AJ111" s="145">
        <f ca="1">IF(Vorrunde!$R59="",0,Vorrunde!$R59)</f>
        <v>0</v>
      </c>
      <c r="AK111" s="141">
        <f ca="1">IF(Vorrunde!$T59="",0,Vorrunde!$T59)</f>
        <v>0</v>
      </c>
      <c r="AL111" s="145" t="str">
        <f ca="1">IF($AA111=0,"",IF($AJ111&gt;$AK111,Einstellungen!$C$4,IF($AJ111=$AK111,1,0)))</f>
        <v/>
      </c>
      <c r="AM111" s="141" t="str">
        <f ca="1">IF($AA111=0,"",IF($AJ111&lt;$AK111,Einstellungen!$C$4,IF($AJ111=$AK111,1,0)))</f>
        <v/>
      </c>
    </row>
    <row r="112" spans="2:39" s="2" customFormat="1" x14ac:dyDescent="0.2">
      <c r="B112" s="4"/>
      <c r="C112" s="4"/>
      <c r="D112" s="4"/>
      <c r="E112" s="4"/>
      <c r="F112" s="778"/>
      <c r="G112" s="778"/>
      <c r="H112" s="778"/>
      <c r="I112" s="778"/>
      <c r="J112" s="778"/>
      <c r="K112" s="778"/>
      <c r="L112" s="778"/>
      <c r="M112" s="778"/>
      <c r="U112" s="66" t="s">
        <v>70</v>
      </c>
      <c r="V112" s="40" t="str">
        <f ca="1">Planung!$L54</f>
        <v/>
      </c>
      <c r="W112" s="778" t="str">
        <f ca="1">Planung!$N54</f>
        <v/>
      </c>
      <c r="X112" s="831" t="str">
        <f ca="1">IF(AND($AA112=1,Vorrunde!$I60&lt;&gt;"",Vorrunde!$K60&lt;&gt;"",ABS(Vorrunde!$I60-Vorrunde!$K60)&gt;1),Vorrunde!$I60,"")</f>
        <v/>
      </c>
      <c r="Y112" s="35" t="str">
        <f ca="1">IF(AND($AA112=1,Vorrunde!$I60&lt;&gt;"",Vorrunde!$K60&lt;&gt;"",ABS(Vorrunde!$I60-Vorrunde!$K60)&gt;1),Vorrunde!$K60,"")</f>
        <v/>
      </c>
      <c r="Z112" s="34" t="str">
        <f t="shared" ca="1" si="70"/>
        <v/>
      </c>
      <c r="AA112" s="831">
        <f ca="1">IF(AND(V112&lt;&gt;"",W112&lt;&gt;"",V112&lt;&gt;W112,Vorrunde!$R60&lt;&gt;"",Vorrunde!$T60&lt;&gt;""),1,0)</f>
        <v>0</v>
      </c>
      <c r="AB112" s="831" t="str">
        <f ca="1">IF(AA112&gt;0,AH112&amp;Sprache!$E$109&amp;AI112,"")</f>
        <v/>
      </c>
      <c r="AC112" s="141" t="str">
        <f ca="1">IF(AA112&gt;0,AJ112&amp;Sprache!$E$109&amp;AK112,"")</f>
        <v/>
      </c>
      <c r="AD112" s="145" t="str">
        <f ca="1">IF(AND($AA112=1,Vorrunde!$L60&lt;&gt;"",Vorrunde!$N60&lt;&gt;"",ABS(Vorrunde!$L60-Vorrunde!$N60)&gt;1),Vorrunde!$L60,"")</f>
        <v/>
      </c>
      <c r="AE112" s="141" t="str">
        <f ca="1">IF(AND($AA112=1,Vorrunde!$L60&lt;&gt;"",Vorrunde!$N60&lt;&gt;"",ABS(Vorrunde!$L60-Vorrunde!$N60)&gt;1),Vorrunde!$N60,"")</f>
        <v/>
      </c>
      <c r="AF112" s="145" t="str">
        <f ca="1">IF(AND($AA112=1,Vorrunde!$O60&lt;&gt;"",Vorrunde!$Q60&lt;&gt;"",ABS(Vorrunde!$O60-Vorrunde!$Q60)&gt;1),Vorrunde!$O60,"")</f>
        <v/>
      </c>
      <c r="AG112" s="141" t="str">
        <f ca="1">IF(AND($AA112=1,Vorrunde!$O60&lt;&gt;"",Vorrunde!$Q60&lt;&gt;"",ABS(Vorrunde!$O60-Vorrunde!$Q60)&gt;1),Vorrunde!$Q60,"")</f>
        <v/>
      </c>
      <c r="AH112" s="145" t="str">
        <f t="shared" ca="1" si="68"/>
        <v/>
      </c>
      <c r="AI112" s="141" t="str">
        <f t="shared" ca="1" si="69"/>
        <v/>
      </c>
      <c r="AJ112" s="145">
        <f ca="1">IF(Vorrunde!$R60="",0,Vorrunde!$R60)</f>
        <v>0</v>
      </c>
      <c r="AK112" s="141">
        <f ca="1">IF(Vorrunde!$T60="",0,Vorrunde!$T60)</f>
        <v>0</v>
      </c>
      <c r="AL112" s="145" t="str">
        <f ca="1">IF($AA112=0,"",IF($AJ112&gt;$AK112,Einstellungen!$C$4,IF($AJ112=$AK112,1,0)))</f>
        <v/>
      </c>
      <c r="AM112" s="141" t="str">
        <f ca="1">IF($AA112=0,"",IF($AJ112&lt;$AK112,Einstellungen!$C$4,IF($AJ112=$AK112,1,0)))</f>
        <v/>
      </c>
    </row>
    <row r="113" spans="2:39" s="2" customFormat="1" x14ac:dyDescent="0.2">
      <c r="B113" s="4"/>
      <c r="C113" s="4"/>
      <c r="D113" s="4"/>
      <c r="E113" s="4"/>
      <c r="F113" s="778"/>
      <c r="G113" s="778"/>
      <c r="H113" s="778"/>
      <c r="I113" s="778"/>
      <c r="J113" s="778"/>
      <c r="K113" s="778"/>
      <c r="L113" s="778"/>
      <c r="M113" s="778"/>
      <c r="U113" s="66" t="s">
        <v>71</v>
      </c>
      <c r="V113" s="40" t="str">
        <f ca="1">Planung!$L55</f>
        <v/>
      </c>
      <c r="W113" s="778" t="str">
        <f ca="1">Planung!$N55</f>
        <v/>
      </c>
      <c r="X113" s="831" t="str">
        <f ca="1">IF(AND($AA113=1,Vorrunde!$I61&lt;&gt;"",Vorrunde!$K61&lt;&gt;"",ABS(Vorrunde!$I61-Vorrunde!$K61)&gt;1),Vorrunde!$I61,"")</f>
        <v/>
      </c>
      <c r="Y113" s="35" t="str">
        <f ca="1">IF(AND($AA113=1,Vorrunde!$I61&lt;&gt;"",Vorrunde!$K61&lt;&gt;"",ABS(Vorrunde!$I61-Vorrunde!$K61)&gt;1),Vorrunde!$K61,"")</f>
        <v/>
      </c>
      <c r="Z113" s="34" t="str">
        <f t="shared" ca="1" si="70"/>
        <v/>
      </c>
      <c r="AA113" s="831">
        <f ca="1">IF(AND(V113&lt;&gt;"",W113&lt;&gt;"",V113&lt;&gt;W113,Vorrunde!$R61&lt;&gt;"",Vorrunde!$T61&lt;&gt;""),1,0)</f>
        <v>0</v>
      </c>
      <c r="AB113" s="831" t="str">
        <f ca="1">IF(AA113&gt;0,AH113&amp;Sprache!$E$109&amp;AI113,"")</f>
        <v/>
      </c>
      <c r="AC113" s="141" t="str">
        <f ca="1">IF(AA113&gt;0,AJ113&amp;Sprache!$E$109&amp;AK113,"")</f>
        <v/>
      </c>
      <c r="AD113" s="145" t="str">
        <f ca="1">IF(AND($AA113=1,Vorrunde!$L61&lt;&gt;"",Vorrunde!$N61&lt;&gt;"",ABS(Vorrunde!$L61-Vorrunde!$N61)&gt;1),Vorrunde!$L61,"")</f>
        <v/>
      </c>
      <c r="AE113" s="141" t="str">
        <f ca="1">IF(AND($AA113=1,Vorrunde!$L61&lt;&gt;"",Vorrunde!$N61&lt;&gt;"",ABS(Vorrunde!$L61-Vorrunde!$N61)&gt;1),Vorrunde!$N61,"")</f>
        <v/>
      </c>
      <c r="AF113" s="145" t="str">
        <f ca="1">IF(AND($AA113=1,Vorrunde!$O61&lt;&gt;"",Vorrunde!$Q61&lt;&gt;"",ABS(Vorrunde!$O61-Vorrunde!$Q61)&gt;1),Vorrunde!$O61,"")</f>
        <v/>
      </c>
      <c r="AG113" s="141" t="str">
        <f ca="1">IF(AND($AA113=1,Vorrunde!$O61&lt;&gt;"",Vorrunde!$Q61&lt;&gt;"",ABS(Vorrunde!$O61-Vorrunde!$Q61)&gt;1),Vorrunde!$Q61,"")</f>
        <v/>
      </c>
      <c r="AH113" s="145" t="str">
        <f t="shared" ca="1" si="68"/>
        <v/>
      </c>
      <c r="AI113" s="141" t="str">
        <f t="shared" ca="1" si="69"/>
        <v/>
      </c>
      <c r="AJ113" s="145">
        <f ca="1">IF(Vorrunde!$R61="",0,Vorrunde!$R61)</f>
        <v>0</v>
      </c>
      <c r="AK113" s="141">
        <f ca="1">IF(Vorrunde!$T61="",0,Vorrunde!$T61)</f>
        <v>0</v>
      </c>
      <c r="AL113" s="145" t="str">
        <f ca="1">IF($AA113=0,"",IF($AJ113&gt;$AK113,Einstellungen!$C$4,IF($AJ113=$AK113,1,0)))</f>
        <v/>
      </c>
      <c r="AM113" s="141" t="str">
        <f ca="1">IF($AA113=0,"",IF($AJ113&lt;$AK113,Einstellungen!$C$4,IF($AJ113=$AK113,1,0)))</f>
        <v/>
      </c>
    </row>
    <row r="114" spans="2:39" s="2" customFormat="1" x14ac:dyDescent="0.2">
      <c r="B114" s="4"/>
      <c r="C114" s="4"/>
      <c r="D114" s="4"/>
      <c r="E114" s="4"/>
      <c r="F114" s="778"/>
      <c r="G114" s="778"/>
      <c r="H114" s="778"/>
      <c r="I114" s="778"/>
      <c r="J114" s="778"/>
      <c r="K114" s="778"/>
      <c r="L114" s="778"/>
      <c r="M114" s="778"/>
      <c r="U114" s="66" t="s">
        <v>72</v>
      </c>
      <c r="V114" s="40" t="str">
        <f ca="1">Planung!$L56</f>
        <v/>
      </c>
      <c r="W114" s="778" t="str">
        <f ca="1">Planung!$N56</f>
        <v/>
      </c>
      <c r="X114" s="831" t="str">
        <f ca="1">IF(AND($AA114=1,Vorrunde!$I62&lt;&gt;"",Vorrunde!$K62&lt;&gt;"",ABS(Vorrunde!$I62-Vorrunde!$K62)&gt;1),Vorrunde!$I62,"")</f>
        <v/>
      </c>
      <c r="Y114" s="35" t="str">
        <f ca="1">IF(AND($AA114=1,Vorrunde!$I62&lt;&gt;"",Vorrunde!$K62&lt;&gt;"",ABS(Vorrunde!$I62-Vorrunde!$K62)&gt;1),Vorrunde!$K62,"")</f>
        <v/>
      </c>
      <c r="Z114" s="34" t="str">
        <f t="shared" ca="1" si="70"/>
        <v/>
      </c>
      <c r="AA114" s="831">
        <f ca="1">IF(AND(V114&lt;&gt;"",W114&lt;&gt;"",V114&lt;&gt;W114,Vorrunde!$R62&lt;&gt;"",Vorrunde!$T62&lt;&gt;""),1,0)</f>
        <v>0</v>
      </c>
      <c r="AB114" s="831" t="str">
        <f ca="1">IF(AA114&gt;0,AH114&amp;Sprache!$E$109&amp;AI114,"")</f>
        <v/>
      </c>
      <c r="AC114" s="141" t="str">
        <f ca="1">IF(AA114&gt;0,AJ114&amp;Sprache!$E$109&amp;AK114,"")</f>
        <v/>
      </c>
      <c r="AD114" s="145" t="str">
        <f ca="1">IF(AND($AA114=1,Vorrunde!$L62&lt;&gt;"",Vorrunde!$N62&lt;&gt;"",ABS(Vorrunde!$L62-Vorrunde!$N62)&gt;1),Vorrunde!$L62,"")</f>
        <v/>
      </c>
      <c r="AE114" s="141" t="str">
        <f ca="1">IF(AND($AA114=1,Vorrunde!$L62&lt;&gt;"",Vorrunde!$N62&lt;&gt;"",ABS(Vorrunde!$L62-Vorrunde!$N62)&gt;1),Vorrunde!$N62,"")</f>
        <v/>
      </c>
      <c r="AF114" s="145" t="str">
        <f ca="1">IF(AND($AA114=1,Vorrunde!$O62&lt;&gt;"",Vorrunde!$Q62&lt;&gt;"",ABS(Vorrunde!$O62-Vorrunde!$Q62)&gt;1),Vorrunde!$O62,"")</f>
        <v/>
      </c>
      <c r="AG114" s="141" t="str">
        <f ca="1">IF(AND($AA114=1,Vorrunde!$O62&lt;&gt;"",Vorrunde!$Q62&lt;&gt;"",ABS(Vorrunde!$O62-Vorrunde!$Q62)&gt;1),Vorrunde!$Q62,"")</f>
        <v/>
      </c>
      <c r="AH114" s="145" t="str">
        <f t="shared" ca="1" si="68"/>
        <v/>
      </c>
      <c r="AI114" s="141" t="str">
        <f t="shared" ca="1" si="69"/>
        <v/>
      </c>
      <c r="AJ114" s="145">
        <f ca="1">IF(Vorrunde!$R62="",0,Vorrunde!$R62)</f>
        <v>0</v>
      </c>
      <c r="AK114" s="141">
        <f ca="1">IF(Vorrunde!$T62="",0,Vorrunde!$T62)</f>
        <v>0</v>
      </c>
      <c r="AL114" s="145" t="str">
        <f ca="1">IF($AA114=0,"",IF($AJ114&gt;$AK114,Einstellungen!$C$4,IF($AJ114=$AK114,1,0)))</f>
        <v/>
      </c>
      <c r="AM114" s="141" t="str">
        <f ca="1">IF($AA114=0,"",IF($AJ114&lt;$AK114,Einstellungen!$C$4,IF($AJ114=$AK114,1,0)))</f>
        <v/>
      </c>
    </row>
    <row r="115" spans="2:39" s="2" customFormat="1" x14ac:dyDescent="0.2">
      <c r="B115" s="4"/>
      <c r="C115" s="4"/>
      <c r="D115" s="4"/>
      <c r="E115" s="4"/>
      <c r="F115" s="778"/>
      <c r="G115" s="778"/>
      <c r="H115" s="778"/>
      <c r="I115" s="778"/>
      <c r="J115" s="778"/>
      <c r="K115" s="778"/>
      <c r="L115" s="778"/>
      <c r="M115" s="778"/>
      <c r="U115" s="66" t="s">
        <v>73</v>
      </c>
      <c r="V115" s="40" t="str">
        <f ca="1">Planung!$L57</f>
        <v/>
      </c>
      <c r="W115" s="778" t="str">
        <f ca="1">Planung!$N57</f>
        <v/>
      </c>
      <c r="X115" s="831" t="str">
        <f ca="1">IF(AND($AA115=1,Vorrunde!$I63&lt;&gt;"",Vorrunde!$K63&lt;&gt;"",ABS(Vorrunde!$I63-Vorrunde!$K63)&gt;1),Vorrunde!$I63,"")</f>
        <v/>
      </c>
      <c r="Y115" s="35" t="str">
        <f ca="1">IF(AND($AA115=1,Vorrunde!$I63&lt;&gt;"",Vorrunde!$K63&lt;&gt;"",ABS(Vorrunde!$I63-Vorrunde!$K63)&gt;1),Vorrunde!$K63,"")</f>
        <v/>
      </c>
      <c r="Z115" s="34" t="str">
        <f t="shared" ca="1" si="70"/>
        <v/>
      </c>
      <c r="AA115" s="831">
        <f ca="1">IF(AND(V115&lt;&gt;"",W115&lt;&gt;"",V115&lt;&gt;W115,Vorrunde!$R63&lt;&gt;"",Vorrunde!$T63&lt;&gt;""),1,0)</f>
        <v>0</v>
      </c>
      <c r="AB115" s="831" t="str">
        <f ca="1">IF(AA115&gt;0,AH115&amp;Sprache!$E$109&amp;AI115,"")</f>
        <v/>
      </c>
      <c r="AC115" s="141" t="str">
        <f ca="1">IF(AA115&gt;0,AJ115&amp;Sprache!$E$109&amp;AK115,"")</f>
        <v/>
      </c>
      <c r="AD115" s="145" t="str">
        <f ca="1">IF(AND($AA115=1,Vorrunde!$L63&lt;&gt;"",Vorrunde!$N63&lt;&gt;"",ABS(Vorrunde!$L63-Vorrunde!$N63)&gt;1),Vorrunde!$L63,"")</f>
        <v/>
      </c>
      <c r="AE115" s="141" t="str">
        <f ca="1">IF(AND($AA115=1,Vorrunde!$L63&lt;&gt;"",Vorrunde!$N63&lt;&gt;"",ABS(Vorrunde!$L63-Vorrunde!$N63)&gt;1),Vorrunde!$N63,"")</f>
        <v/>
      </c>
      <c r="AF115" s="145" t="str">
        <f ca="1">IF(AND($AA115=1,Vorrunde!$O63&lt;&gt;"",Vorrunde!$Q63&lt;&gt;"",ABS(Vorrunde!$O63-Vorrunde!$Q63)&gt;1),Vorrunde!$O63,"")</f>
        <v/>
      </c>
      <c r="AG115" s="141" t="str">
        <f ca="1">IF(AND($AA115=1,Vorrunde!$O63&lt;&gt;"",Vorrunde!$Q63&lt;&gt;"",ABS(Vorrunde!$O63-Vorrunde!$Q63)&gt;1),Vorrunde!$Q63,"")</f>
        <v/>
      </c>
      <c r="AH115" s="145" t="str">
        <f t="shared" ca="1" si="68"/>
        <v/>
      </c>
      <c r="AI115" s="141" t="str">
        <f t="shared" ca="1" si="69"/>
        <v/>
      </c>
      <c r="AJ115" s="145">
        <f ca="1">IF(Vorrunde!$R63="",0,Vorrunde!$R63)</f>
        <v>0</v>
      </c>
      <c r="AK115" s="141">
        <f ca="1">IF(Vorrunde!$T63="",0,Vorrunde!$T63)</f>
        <v>0</v>
      </c>
      <c r="AL115" s="145" t="str">
        <f ca="1">IF($AA115=0,"",IF($AJ115&gt;$AK115,Einstellungen!$C$4,IF($AJ115=$AK115,1,0)))</f>
        <v/>
      </c>
      <c r="AM115" s="141" t="str">
        <f ca="1">IF($AA115=0,"",IF($AJ115&lt;$AK115,Einstellungen!$C$4,IF($AJ115=$AK115,1,0)))</f>
        <v/>
      </c>
    </row>
    <row r="116" spans="2:39" s="2" customFormat="1" x14ac:dyDescent="0.2">
      <c r="B116" s="4"/>
      <c r="C116" s="4"/>
      <c r="D116" s="4"/>
      <c r="E116" s="4"/>
      <c r="F116" s="778"/>
      <c r="G116" s="778"/>
      <c r="H116" s="778"/>
      <c r="I116" s="778"/>
      <c r="J116" s="778"/>
      <c r="K116" s="778"/>
      <c r="L116" s="778"/>
      <c r="M116" s="778"/>
      <c r="U116" s="66" t="s">
        <v>74</v>
      </c>
      <c r="V116" s="40" t="str">
        <f ca="1">Planung!$L58</f>
        <v/>
      </c>
      <c r="W116" s="778" t="str">
        <f ca="1">Planung!$N58</f>
        <v/>
      </c>
      <c r="X116" s="831" t="str">
        <f ca="1">IF(AND($AA116=1,Vorrunde!$I64&lt;&gt;"",Vorrunde!$K64&lt;&gt;"",ABS(Vorrunde!$I64-Vorrunde!$K64)&gt;1),Vorrunde!$I64,"")</f>
        <v/>
      </c>
      <c r="Y116" s="35" t="str">
        <f ca="1">IF(AND($AA116=1,Vorrunde!$I64&lt;&gt;"",Vorrunde!$K64&lt;&gt;"",ABS(Vorrunde!$I64-Vorrunde!$K64)&gt;1),Vorrunde!$K64,"")</f>
        <v/>
      </c>
      <c r="Z116" s="34" t="str">
        <f t="shared" ca="1" si="70"/>
        <v/>
      </c>
      <c r="AA116" s="831">
        <f ca="1">IF(AND(V116&lt;&gt;"",W116&lt;&gt;"",V116&lt;&gt;W116,Vorrunde!$R64&lt;&gt;"",Vorrunde!$T64&lt;&gt;""),1,0)</f>
        <v>0</v>
      </c>
      <c r="AB116" s="831" t="str">
        <f ca="1">IF(AA116&gt;0,AH116&amp;Sprache!$E$109&amp;AI116,"")</f>
        <v/>
      </c>
      <c r="AC116" s="141" t="str">
        <f ca="1">IF(AA116&gt;0,AJ116&amp;Sprache!$E$109&amp;AK116,"")</f>
        <v/>
      </c>
      <c r="AD116" s="145" t="str">
        <f ca="1">IF(AND($AA116=1,Vorrunde!$L64&lt;&gt;"",Vorrunde!$N64&lt;&gt;"",ABS(Vorrunde!$L64-Vorrunde!$N64)&gt;1),Vorrunde!$L64,"")</f>
        <v/>
      </c>
      <c r="AE116" s="141" t="str">
        <f ca="1">IF(AND($AA116=1,Vorrunde!$L64&lt;&gt;"",Vorrunde!$N64&lt;&gt;"",ABS(Vorrunde!$L64-Vorrunde!$N64)&gt;1),Vorrunde!$N64,"")</f>
        <v/>
      </c>
      <c r="AF116" s="145" t="str">
        <f ca="1">IF(AND($AA116=1,Vorrunde!$O64&lt;&gt;"",Vorrunde!$Q64&lt;&gt;"",ABS(Vorrunde!$O64-Vorrunde!$Q64)&gt;1),Vorrunde!$O64,"")</f>
        <v/>
      </c>
      <c r="AG116" s="141" t="str">
        <f ca="1">IF(AND($AA116=1,Vorrunde!$O64&lt;&gt;"",Vorrunde!$Q64&lt;&gt;"",ABS(Vorrunde!$O64-Vorrunde!$Q64)&gt;1),Vorrunde!$Q64,"")</f>
        <v/>
      </c>
      <c r="AH116" s="145" t="str">
        <f t="shared" ca="1" si="68"/>
        <v/>
      </c>
      <c r="AI116" s="141" t="str">
        <f t="shared" ca="1" si="69"/>
        <v/>
      </c>
      <c r="AJ116" s="145">
        <f ca="1">IF(Vorrunde!$R64="",0,Vorrunde!$R64)</f>
        <v>0</v>
      </c>
      <c r="AK116" s="141">
        <f ca="1">IF(Vorrunde!$T64="",0,Vorrunde!$T64)</f>
        <v>0</v>
      </c>
      <c r="AL116" s="145" t="str">
        <f ca="1">IF($AA116=0,"",IF($AJ116&gt;$AK116,Einstellungen!$C$4,IF($AJ116=$AK116,1,0)))</f>
        <v/>
      </c>
      <c r="AM116" s="141" t="str">
        <f ca="1">IF($AA116=0,"",IF($AJ116&lt;$AK116,Einstellungen!$C$4,IF($AJ116=$AK116,1,0)))</f>
        <v/>
      </c>
    </row>
    <row r="117" spans="2:39" s="2" customFormat="1" x14ac:dyDescent="0.2">
      <c r="B117" s="4"/>
      <c r="C117" s="4"/>
      <c r="D117" s="4"/>
      <c r="E117" s="4"/>
      <c r="F117" s="778"/>
      <c r="G117" s="778"/>
      <c r="H117" s="778"/>
      <c r="I117" s="778"/>
      <c r="J117" s="778"/>
      <c r="K117" s="778"/>
      <c r="L117" s="778"/>
      <c r="M117" s="778"/>
      <c r="U117" s="66" t="s">
        <v>75</v>
      </c>
      <c r="V117" s="40" t="str">
        <f ca="1">Planung!$L59</f>
        <v/>
      </c>
      <c r="W117" s="778" t="str">
        <f ca="1">Planung!$N59</f>
        <v/>
      </c>
      <c r="X117" s="831" t="str">
        <f ca="1">IF(AND($AA117=1,Vorrunde!$I65&lt;&gt;"",Vorrunde!$K65&lt;&gt;"",ABS(Vorrunde!$I65-Vorrunde!$K65)&gt;1),Vorrunde!$I65,"")</f>
        <v/>
      </c>
      <c r="Y117" s="35" t="str">
        <f ca="1">IF(AND($AA117=1,Vorrunde!$I65&lt;&gt;"",Vorrunde!$K65&lt;&gt;"",ABS(Vorrunde!$I65-Vorrunde!$K65)&gt;1),Vorrunde!$K65,"")</f>
        <v/>
      </c>
      <c r="Z117" s="34" t="str">
        <f t="shared" ca="1" si="70"/>
        <v/>
      </c>
      <c r="AA117" s="831">
        <f ca="1">IF(AND(V117&lt;&gt;"",W117&lt;&gt;"",V117&lt;&gt;W117,Vorrunde!$R65&lt;&gt;"",Vorrunde!$T65&lt;&gt;""),1,0)</f>
        <v>0</v>
      </c>
      <c r="AB117" s="831" t="str">
        <f ca="1">IF(AA117&gt;0,AH117&amp;Sprache!$E$109&amp;AI117,"")</f>
        <v/>
      </c>
      <c r="AC117" s="141" t="str">
        <f ca="1">IF(AA117&gt;0,AJ117&amp;Sprache!$E$109&amp;AK117,"")</f>
        <v/>
      </c>
      <c r="AD117" s="145" t="str">
        <f ca="1">IF(AND($AA117=1,Vorrunde!$L65&lt;&gt;"",Vorrunde!$N65&lt;&gt;"",ABS(Vorrunde!$L65-Vorrunde!$N65)&gt;1),Vorrunde!$L65,"")</f>
        <v/>
      </c>
      <c r="AE117" s="141" t="str">
        <f ca="1">IF(AND($AA117=1,Vorrunde!$L65&lt;&gt;"",Vorrunde!$N65&lt;&gt;"",ABS(Vorrunde!$L65-Vorrunde!$N65)&gt;1),Vorrunde!$N65,"")</f>
        <v/>
      </c>
      <c r="AF117" s="145" t="str">
        <f ca="1">IF(AND($AA117=1,Vorrunde!$O65&lt;&gt;"",Vorrunde!$Q65&lt;&gt;"",ABS(Vorrunde!$O65-Vorrunde!$Q65)&gt;1),Vorrunde!$O65,"")</f>
        <v/>
      </c>
      <c r="AG117" s="141" t="str">
        <f ca="1">IF(AND($AA117=1,Vorrunde!$O65&lt;&gt;"",Vorrunde!$Q65&lt;&gt;"",ABS(Vorrunde!$O65-Vorrunde!$Q65)&gt;1),Vorrunde!$Q65,"")</f>
        <v/>
      </c>
      <c r="AH117" s="145" t="str">
        <f t="shared" ca="1" si="68"/>
        <v/>
      </c>
      <c r="AI117" s="141" t="str">
        <f t="shared" ca="1" si="69"/>
        <v/>
      </c>
      <c r="AJ117" s="145">
        <f ca="1">IF(Vorrunde!$R65="",0,Vorrunde!$R65)</f>
        <v>0</v>
      </c>
      <c r="AK117" s="141">
        <f ca="1">IF(Vorrunde!$T65="",0,Vorrunde!$T65)</f>
        <v>0</v>
      </c>
      <c r="AL117" s="145" t="str">
        <f ca="1">IF($AA117=0,"",IF($AJ117&gt;$AK117,Einstellungen!$C$4,IF($AJ117=$AK117,1,0)))</f>
        <v/>
      </c>
      <c r="AM117" s="141" t="str">
        <f ca="1">IF($AA117=0,"",IF($AJ117&lt;$AK117,Einstellungen!$C$4,IF($AJ117=$AK117,1,0)))</f>
        <v/>
      </c>
    </row>
    <row r="118" spans="2:39" s="2" customFormat="1" x14ac:dyDescent="0.2">
      <c r="B118" s="4"/>
      <c r="C118" s="4"/>
      <c r="D118" s="4"/>
      <c r="E118" s="4"/>
      <c r="F118" s="778"/>
      <c r="G118" s="778"/>
      <c r="H118" s="778"/>
      <c r="I118" s="778"/>
      <c r="J118" s="778"/>
      <c r="K118" s="778"/>
      <c r="L118" s="778"/>
      <c r="M118" s="778"/>
      <c r="U118" s="66" t="s">
        <v>76</v>
      </c>
      <c r="V118" s="40" t="str">
        <f ca="1">Planung!$L60</f>
        <v/>
      </c>
      <c r="W118" s="778" t="str">
        <f ca="1">Planung!$N60</f>
        <v/>
      </c>
      <c r="X118" s="831" t="str">
        <f ca="1">IF(AND($AA118=1,Vorrunde!$I66&lt;&gt;"",Vorrunde!$K66&lt;&gt;"",ABS(Vorrunde!$I66-Vorrunde!$K66)&gt;1),Vorrunde!$I66,"")</f>
        <v/>
      </c>
      <c r="Y118" s="35" t="str">
        <f ca="1">IF(AND($AA118=1,Vorrunde!$I66&lt;&gt;"",Vorrunde!$K66&lt;&gt;"",ABS(Vorrunde!$I66-Vorrunde!$K66)&gt;1),Vorrunde!$K66,"")</f>
        <v/>
      </c>
      <c r="Z118" s="34" t="str">
        <f t="shared" ca="1" si="70"/>
        <v/>
      </c>
      <c r="AA118" s="831">
        <f ca="1">IF(AND(V118&lt;&gt;"",W118&lt;&gt;"",V118&lt;&gt;W118,Vorrunde!$R66&lt;&gt;"",Vorrunde!$T66&lt;&gt;""),1,0)</f>
        <v>0</v>
      </c>
      <c r="AB118" s="831" t="str">
        <f ca="1">IF(AA118&gt;0,AH118&amp;Sprache!$E$109&amp;AI118,"")</f>
        <v/>
      </c>
      <c r="AC118" s="141" t="str">
        <f ca="1">IF(AA118&gt;0,AJ118&amp;Sprache!$E$109&amp;AK118,"")</f>
        <v/>
      </c>
      <c r="AD118" s="145" t="str">
        <f ca="1">IF(AND($AA118=1,Vorrunde!$L66&lt;&gt;"",Vorrunde!$N66&lt;&gt;"",ABS(Vorrunde!$L66-Vorrunde!$N66)&gt;1),Vorrunde!$L66,"")</f>
        <v/>
      </c>
      <c r="AE118" s="141" t="str">
        <f ca="1">IF(AND($AA118=1,Vorrunde!$L66&lt;&gt;"",Vorrunde!$N66&lt;&gt;"",ABS(Vorrunde!$L66-Vorrunde!$N66)&gt;1),Vorrunde!$N66,"")</f>
        <v/>
      </c>
      <c r="AF118" s="145" t="str">
        <f ca="1">IF(AND($AA118=1,Vorrunde!$O66&lt;&gt;"",Vorrunde!$Q66&lt;&gt;"",ABS(Vorrunde!$O66-Vorrunde!$Q66)&gt;1),Vorrunde!$O66,"")</f>
        <v/>
      </c>
      <c r="AG118" s="141" t="str">
        <f ca="1">IF(AND($AA118=1,Vorrunde!$O66&lt;&gt;"",Vorrunde!$Q66&lt;&gt;"",ABS(Vorrunde!$O66-Vorrunde!$Q66)&gt;1),Vorrunde!$Q66,"")</f>
        <v/>
      </c>
      <c r="AH118" s="145" t="str">
        <f t="shared" ca="1" si="68"/>
        <v/>
      </c>
      <c r="AI118" s="141" t="str">
        <f t="shared" ca="1" si="69"/>
        <v/>
      </c>
      <c r="AJ118" s="145">
        <f ca="1">IF(Vorrunde!$R66="",0,Vorrunde!$R66)</f>
        <v>0</v>
      </c>
      <c r="AK118" s="141">
        <f ca="1">IF(Vorrunde!$T66="",0,Vorrunde!$T66)</f>
        <v>0</v>
      </c>
      <c r="AL118" s="145" t="str">
        <f ca="1">IF($AA118=0,"",IF($AJ118&gt;$AK118,Einstellungen!$C$4,IF($AJ118=$AK118,1,0)))</f>
        <v/>
      </c>
      <c r="AM118" s="141" t="str">
        <f ca="1">IF($AA118=0,"",IF($AJ118&lt;$AK118,Einstellungen!$C$4,IF($AJ118=$AK118,1,0)))</f>
        <v/>
      </c>
    </row>
    <row r="119" spans="2:39" s="2" customFormat="1" x14ac:dyDescent="0.2">
      <c r="B119" s="4"/>
      <c r="C119" s="4"/>
      <c r="D119" s="4"/>
      <c r="E119" s="4"/>
      <c r="F119" s="778"/>
      <c r="G119" s="778"/>
      <c r="H119" s="778"/>
      <c r="I119" s="778"/>
      <c r="J119" s="778"/>
      <c r="K119" s="778"/>
      <c r="L119" s="778"/>
      <c r="M119" s="778"/>
      <c r="U119" s="66" t="s">
        <v>77</v>
      </c>
      <c r="V119" s="40" t="str">
        <f ca="1">Planung!$L61</f>
        <v/>
      </c>
      <c r="W119" s="778" t="str">
        <f ca="1">Planung!$N61</f>
        <v/>
      </c>
      <c r="X119" s="831" t="str">
        <f ca="1">IF(AND($AA119=1,Vorrunde!$I67&lt;&gt;"",Vorrunde!$K67&lt;&gt;"",ABS(Vorrunde!$I67-Vorrunde!$K67)&gt;1),Vorrunde!$I67,"")</f>
        <v/>
      </c>
      <c r="Y119" s="35" t="str">
        <f ca="1">IF(AND($AA119=1,Vorrunde!$I67&lt;&gt;"",Vorrunde!$K67&lt;&gt;"",ABS(Vorrunde!$I67-Vorrunde!$K67)&gt;1),Vorrunde!$K67,"")</f>
        <v/>
      </c>
      <c r="Z119" s="34" t="str">
        <f t="shared" ca="1" si="70"/>
        <v/>
      </c>
      <c r="AA119" s="831">
        <f ca="1">IF(AND(V119&lt;&gt;"",W119&lt;&gt;"",V119&lt;&gt;W119,Vorrunde!$R67&lt;&gt;"",Vorrunde!$T67&lt;&gt;""),1,0)</f>
        <v>0</v>
      </c>
      <c r="AB119" s="831" t="str">
        <f ca="1">IF(AA119&gt;0,AH119&amp;Sprache!$E$109&amp;AI119,"")</f>
        <v/>
      </c>
      <c r="AC119" s="141" t="str">
        <f ca="1">IF(AA119&gt;0,AJ119&amp;Sprache!$E$109&amp;AK119,"")</f>
        <v/>
      </c>
      <c r="AD119" s="145" t="str">
        <f ca="1">IF(AND($AA119=1,Vorrunde!$L67&lt;&gt;"",Vorrunde!$N67&lt;&gt;"",ABS(Vorrunde!$L67-Vorrunde!$N67)&gt;1),Vorrunde!$L67,"")</f>
        <v/>
      </c>
      <c r="AE119" s="141" t="str">
        <f ca="1">IF(AND($AA119=1,Vorrunde!$L67&lt;&gt;"",Vorrunde!$N67&lt;&gt;"",ABS(Vorrunde!$L67-Vorrunde!$N67)&gt;1),Vorrunde!$N67,"")</f>
        <v/>
      </c>
      <c r="AF119" s="145" t="str">
        <f ca="1">IF(AND($AA119=1,Vorrunde!$O67&lt;&gt;"",Vorrunde!$Q67&lt;&gt;"",ABS(Vorrunde!$O67-Vorrunde!$Q67)&gt;1),Vorrunde!$O67,"")</f>
        <v/>
      </c>
      <c r="AG119" s="141" t="str">
        <f ca="1">IF(AND($AA119=1,Vorrunde!$O67&lt;&gt;"",Vorrunde!$Q67&lt;&gt;"",ABS(Vorrunde!$O67-Vorrunde!$Q67)&gt;1),Vorrunde!$Q67,"")</f>
        <v/>
      </c>
      <c r="AH119" s="145" t="str">
        <f t="shared" ca="1" si="68"/>
        <v/>
      </c>
      <c r="AI119" s="141" t="str">
        <f t="shared" ca="1" si="69"/>
        <v/>
      </c>
      <c r="AJ119" s="145">
        <f ca="1">IF(Vorrunde!$R67="",0,Vorrunde!$R67)</f>
        <v>0</v>
      </c>
      <c r="AK119" s="141">
        <f ca="1">IF(Vorrunde!$T67="",0,Vorrunde!$T67)</f>
        <v>0</v>
      </c>
      <c r="AL119" s="145" t="str">
        <f ca="1">IF($AA119=0,"",IF($AJ119&gt;$AK119,Einstellungen!$C$4,IF($AJ119=$AK119,1,0)))</f>
        <v/>
      </c>
      <c r="AM119" s="141" t="str">
        <f ca="1">IF($AA119=0,"",IF($AJ119&lt;$AK119,Einstellungen!$C$4,IF($AJ119=$AK119,1,0)))</f>
        <v/>
      </c>
    </row>
    <row r="120" spans="2:39" s="2" customFormat="1" x14ac:dyDescent="0.2">
      <c r="B120" s="4"/>
      <c r="C120" s="4"/>
      <c r="D120" s="4"/>
      <c r="E120" s="4"/>
      <c r="F120" s="778"/>
      <c r="G120" s="778"/>
      <c r="H120" s="778"/>
      <c r="I120" s="778"/>
      <c r="J120" s="778"/>
      <c r="K120" s="778"/>
      <c r="L120" s="778"/>
      <c r="M120" s="778"/>
      <c r="U120" s="66" t="s">
        <v>78</v>
      </c>
      <c r="V120" s="40" t="str">
        <f ca="1">Planung!$L62</f>
        <v/>
      </c>
      <c r="W120" s="778" t="str">
        <f ca="1">Planung!$N62</f>
        <v/>
      </c>
      <c r="X120" s="831" t="str">
        <f ca="1">IF(AND($AA120=1,Vorrunde!$I68&lt;&gt;"",Vorrunde!$K68&lt;&gt;"",ABS(Vorrunde!$I68-Vorrunde!$K68)&gt;1),Vorrunde!$I68,"")</f>
        <v/>
      </c>
      <c r="Y120" s="35" t="str">
        <f ca="1">IF(AND($AA120=1,Vorrunde!$I68&lt;&gt;"",Vorrunde!$K68&lt;&gt;"",ABS(Vorrunde!$I68-Vorrunde!$K68)&gt;1),Vorrunde!$K68,"")</f>
        <v/>
      </c>
      <c r="Z120" s="34" t="str">
        <f t="shared" ca="1" si="70"/>
        <v/>
      </c>
      <c r="AA120" s="831">
        <f ca="1">IF(AND(V120&lt;&gt;"",W120&lt;&gt;"",V120&lt;&gt;W120,Vorrunde!$R68&lt;&gt;"",Vorrunde!$T68&lt;&gt;""),1,0)</f>
        <v>0</v>
      </c>
      <c r="AB120" s="831" t="str">
        <f ca="1">IF(AA120&gt;0,AH120&amp;Sprache!$E$109&amp;AI120,"")</f>
        <v/>
      </c>
      <c r="AC120" s="141" t="str">
        <f ca="1">IF(AA120&gt;0,AJ120&amp;Sprache!$E$109&amp;AK120,"")</f>
        <v/>
      </c>
      <c r="AD120" s="145" t="str">
        <f ca="1">IF(AND($AA120=1,Vorrunde!$L68&lt;&gt;"",Vorrunde!$N68&lt;&gt;"",ABS(Vorrunde!$L68-Vorrunde!$N68)&gt;1),Vorrunde!$L68,"")</f>
        <v/>
      </c>
      <c r="AE120" s="141" t="str">
        <f ca="1">IF(AND($AA120=1,Vorrunde!$L68&lt;&gt;"",Vorrunde!$N68&lt;&gt;"",ABS(Vorrunde!$L68-Vorrunde!$N68)&gt;1),Vorrunde!$N68,"")</f>
        <v/>
      </c>
      <c r="AF120" s="145" t="str">
        <f ca="1">IF(AND($AA120=1,Vorrunde!$O68&lt;&gt;"",Vorrunde!$Q68&lt;&gt;"",ABS(Vorrunde!$O68-Vorrunde!$Q68)&gt;1),Vorrunde!$O68,"")</f>
        <v/>
      </c>
      <c r="AG120" s="141" t="str">
        <f ca="1">IF(AND($AA120=1,Vorrunde!$O68&lt;&gt;"",Vorrunde!$Q68&lt;&gt;"",ABS(Vorrunde!$O68-Vorrunde!$Q68)&gt;1),Vorrunde!$Q68,"")</f>
        <v/>
      </c>
      <c r="AH120" s="145" t="str">
        <f t="shared" ca="1" si="68"/>
        <v/>
      </c>
      <c r="AI120" s="141" t="str">
        <f t="shared" ca="1" si="69"/>
        <v/>
      </c>
      <c r="AJ120" s="145">
        <f ca="1">IF(Vorrunde!$R68="",0,Vorrunde!$R68)</f>
        <v>0</v>
      </c>
      <c r="AK120" s="141">
        <f ca="1">IF(Vorrunde!$T68="",0,Vorrunde!$T68)</f>
        <v>0</v>
      </c>
      <c r="AL120" s="145" t="str">
        <f ca="1">IF($AA120=0,"",IF($AJ120&gt;$AK120,Einstellungen!$C$4,IF($AJ120=$AK120,1,0)))</f>
        <v/>
      </c>
      <c r="AM120" s="141" t="str">
        <f ca="1">IF($AA120=0,"",IF($AJ120&lt;$AK120,Einstellungen!$C$4,IF($AJ120=$AK120,1,0)))</f>
        <v/>
      </c>
    </row>
    <row r="121" spans="2:39" s="2" customFormat="1" x14ac:dyDescent="0.2">
      <c r="B121" s="4"/>
      <c r="C121" s="4"/>
      <c r="D121" s="4"/>
      <c r="E121" s="4"/>
      <c r="F121" s="778"/>
      <c r="G121" s="778"/>
      <c r="H121" s="778"/>
      <c r="I121" s="778"/>
      <c r="J121" s="778"/>
      <c r="K121" s="778"/>
      <c r="L121" s="778"/>
      <c r="M121" s="778"/>
      <c r="U121" s="66" t="s">
        <v>79</v>
      </c>
      <c r="V121" s="40" t="str">
        <f ca="1">Planung!$L63</f>
        <v/>
      </c>
      <c r="W121" s="778" t="str">
        <f ca="1">Planung!$N63</f>
        <v/>
      </c>
      <c r="X121" s="831" t="str">
        <f ca="1">IF(AND($AA121=1,Vorrunde!$I69&lt;&gt;"",Vorrunde!$K69&lt;&gt;"",ABS(Vorrunde!$I69-Vorrunde!$K69)&gt;1),Vorrunde!$I69,"")</f>
        <v/>
      </c>
      <c r="Y121" s="35" t="str">
        <f ca="1">IF(AND($AA121=1,Vorrunde!$I69&lt;&gt;"",Vorrunde!$K69&lt;&gt;"",ABS(Vorrunde!$I69-Vorrunde!$K69)&gt;1),Vorrunde!$K69,"")</f>
        <v/>
      </c>
      <c r="Z121" s="34" t="str">
        <f t="shared" ca="1" si="70"/>
        <v/>
      </c>
      <c r="AA121" s="831">
        <f ca="1">IF(AND(V121&lt;&gt;"",W121&lt;&gt;"",V121&lt;&gt;W121,Vorrunde!$R69&lt;&gt;"",Vorrunde!$T69&lt;&gt;""),1,0)</f>
        <v>0</v>
      </c>
      <c r="AB121" s="831" t="str">
        <f ca="1">IF(AA121&gt;0,AH121&amp;Sprache!$E$109&amp;AI121,"")</f>
        <v/>
      </c>
      <c r="AC121" s="141" t="str">
        <f ca="1">IF(AA121&gt;0,AJ121&amp;Sprache!$E$109&amp;AK121,"")</f>
        <v/>
      </c>
      <c r="AD121" s="145" t="str">
        <f ca="1">IF(AND($AA121=1,Vorrunde!$L69&lt;&gt;"",Vorrunde!$N69&lt;&gt;"",ABS(Vorrunde!$L69-Vorrunde!$N69)&gt;1),Vorrunde!$L69,"")</f>
        <v/>
      </c>
      <c r="AE121" s="141" t="str">
        <f ca="1">IF(AND($AA121=1,Vorrunde!$L69&lt;&gt;"",Vorrunde!$N69&lt;&gt;"",ABS(Vorrunde!$L69-Vorrunde!$N69)&gt;1),Vorrunde!$N69,"")</f>
        <v/>
      </c>
      <c r="AF121" s="145" t="str">
        <f ca="1">IF(AND($AA121=1,Vorrunde!$O69&lt;&gt;"",Vorrunde!$Q69&lt;&gt;"",ABS(Vorrunde!$O69-Vorrunde!$Q69)&gt;1),Vorrunde!$O69,"")</f>
        <v/>
      </c>
      <c r="AG121" s="141" t="str">
        <f ca="1">IF(AND($AA121=1,Vorrunde!$O69&lt;&gt;"",Vorrunde!$Q69&lt;&gt;"",ABS(Vorrunde!$O69-Vorrunde!$Q69)&gt;1),Vorrunde!$Q69,"")</f>
        <v/>
      </c>
      <c r="AH121" s="145" t="str">
        <f t="shared" ca="1" si="68"/>
        <v/>
      </c>
      <c r="AI121" s="141" t="str">
        <f t="shared" ca="1" si="69"/>
        <v/>
      </c>
      <c r="AJ121" s="145">
        <f ca="1">IF(Vorrunde!$R69="",0,Vorrunde!$R69)</f>
        <v>0</v>
      </c>
      <c r="AK121" s="141">
        <f ca="1">IF(Vorrunde!$T69="",0,Vorrunde!$T69)</f>
        <v>0</v>
      </c>
      <c r="AL121" s="145" t="str">
        <f ca="1">IF($AA121=0,"",IF($AJ121&gt;$AK121,Einstellungen!$C$4,IF($AJ121=$AK121,1,0)))</f>
        <v/>
      </c>
      <c r="AM121" s="141" t="str">
        <f ca="1">IF($AA121=0,"",IF($AJ121&lt;$AK121,Einstellungen!$C$4,IF($AJ121=$AK121,1,0)))</f>
        <v/>
      </c>
    </row>
    <row r="122" spans="2:39" s="2" customFormat="1" x14ac:dyDescent="0.2">
      <c r="B122" s="4"/>
      <c r="C122" s="4"/>
      <c r="D122" s="4"/>
      <c r="E122" s="4"/>
      <c r="F122" s="778"/>
      <c r="G122" s="778"/>
      <c r="H122" s="778"/>
      <c r="I122" s="778"/>
      <c r="J122" s="778"/>
      <c r="K122" s="778"/>
      <c r="L122" s="778"/>
      <c r="M122" s="778"/>
      <c r="U122" s="66" t="s">
        <v>80</v>
      </c>
      <c r="V122" s="40" t="str">
        <f ca="1">Planung!$L64</f>
        <v/>
      </c>
      <c r="W122" s="778" t="str">
        <f ca="1">Planung!$N64</f>
        <v/>
      </c>
      <c r="X122" s="831" t="str">
        <f ca="1">IF(AND($AA122=1,Vorrunde!$I70&lt;&gt;"",Vorrunde!$K70&lt;&gt;"",ABS(Vorrunde!$I70-Vorrunde!$K70)&gt;1),Vorrunde!$I70,"")</f>
        <v/>
      </c>
      <c r="Y122" s="35" t="str">
        <f ca="1">IF(AND($AA122=1,Vorrunde!$I70&lt;&gt;"",Vorrunde!$K70&lt;&gt;"",ABS(Vorrunde!$I70-Vorrunde!$K70)&gt;1),Vorrunde!$K70,"")</f>
        <v/>
      </c>
      <c r="Z122" s="34" t="str">
        <f t="shared" ca="1" si="70"/>
        <v/>
      </c>
      <c r="AA122" s="831">
        <f ca="1">IF(AND(V122&lt;&gt;"",W122&lt;&gt;"",V122&lt;&gt;W122,Vorrunde!$R70&lt;&gt;"",Vorrunde!$T70&lt;&gt;""),1,0)</f>
        <v>0</v>
      </c>
      <c r="AB122" s="831" t="str">
        <f ca="1">IF(AA122&gt;0,AH122&amp;Sprache!$E$109&amp;AI122,"")</f>
        <v/>
      </c>
      <c r="AC122" s="141" t="str">
        <f ca="1">IF(AA122&gt;0,AJ122&amp;Sprache!$E$109&amp;AK122,"")</f>
        <v/>
      </c>
      <c r="AD122" s="145" t="str">
        <f ca="1">IF(AND($AA122=1,Vorrunde!$L70&lt;&gt;"",Vorrunde!$N70&lt;&gt;"",ABS(Vorrunde!$L70-Vorrunde!$N70)&gt;1),Vorrunde!$L70,"")</f>
        <v/>
      </c>
      <c r="AE122" s="141" t="str">
        <f ca="1">IF(AND($AA122=1,Vorrunde!$L70&lt;&gt;"",Vorrunde!$N70&lt;&gt;"",ABS(Vorrunde!$L70-Vorrunde!$N70)&gt;1),Vorrunde!$N70,"")</f>
        <v/>
      </c>
      <c r="AF122" s="145" t="str">
        <f ca="1">IF(AND($AA122=1,Vorrunde!$O70&lt;&gt;"",Vorrunde!$Q70&lt;&gt;"",ABS(Vorrunde!$O70-Vorrunde!$Q70)&gt;1),Vorrunde!$O70,"")</f>
        <v/>
      </c>
      <c r="AG122" s="141" t="str">
        <f ca="1">IF(AND($AA122=1,Vorrunde!$O70&lt;&gt;"",Vorrunde!$Q70&lt;&gt;"",ABS(Vorrunde!$O70-Vorrunde!$Q70)&gt;1),Vorrunde!$Q70,"")</f>
        <v/>
      </c>
      <c r="AH122" s="145" t="str">
        <f t="shared" ca="1" si="68"/>
        <v/>
      </c>
      <c r="AI122" s="141" t="str">
        <f t="shared" ca="1" si="69"/>
        <v/>
      </c>
      <c r="AJ122" s="145">
        <f ca="1">IF(Vorrunde!$R70="",0,Vorrunde!$R70)</f>
        <v>0</v>
      </c>
      <c r="AK122" s="141">
        <f ca="1">IF(Vorrunde!$T70="",0,Vorrunde!$T70)</f>
        <v>0</v>
      </c>
      <c r="AL122" s="145" t="str">
        <f ca="1">IF($AA122=0,"",IF($AJ122&gt;$AK122,Einstellungen!$C$4,IF($AJ122=$AK122,1,0)))</f>
        <v/>
      </c>
      <c r="AM122" s="141" t="str">
        <f ca="1">IF($AA122=0,"",IF($AJ122&lt;$AK122,Einstellungen!$C$4,IF($AJ122=$AK122,1,0)))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Planung!$L65</f>
        <v/>
      </c>
      <c r="W123" s="778" t="str">
        <f ca="1">Planung!$N65</f>
        <v/>
      </c>
      <c r="X123" s="831" t="str">
        <f ca="1">IF(AND($AA123=1,Vorrunde!$I71&lt;&gt;"",Vorrunde!$K71&lt;&gt;"",ABS(Vorrunde!$I71-Vorrunde!$K71)&gt;1),Vorrunde!$I71,"")</f>
        <v/>
      </c>
      <c r="Y123" s="35" t="str">
        <f ca="1">IF(AND($AA123=1,Vorrunde!$I71&lt;&gt;"",Vorrunde!$K71&lt;&gt;"",ABS(Vorrunde!$I71-Vorrunde!$K71)&gt;1),Vorrunde!$K71,"")</f>
        <v/>
      </c>
      <c r="Z123" s="34" t="str">
        <f t="shared" ca="1" si="70"/>
        <v/>
      </c>
      <c r="AA123" s="831">
        <f ca="1">IF(AND(V123&lt;&gt;"",W123&lt;&gt;"",V123&lt;&gt;W123,Vorrunde!$R71&lt;&gt;"",Vorrunde!$T71&lt;&gt;""),1,0)</f>
        <v>0</v>
      </c>
      <c r="AB123" s="831" t="str">
        <f ca="1">IF(AA123&gt;0,AH123&amp;Sprache!$E$109&amp;AI123,"")</f>
        <v/>
      </c>
      <c r="AC123" s="141" t="str">
        <f ca="1">IF(AA123&gt;0,AJ123&amp;Sprache!$E$109&amp;AK123,"")</f>
        <v/>
      </c>
      <c r="AD123" s="145" t="str">
        <f ca="1">IF(AND($AA123=1,Vorrunde!$L71&lt;&gt;"",Vorrunde!$N71&lt;&gt;"",ABS(Vorrunde!$L71-Vorrunde!$N71)&gt;1),Vorrunde!$L71,"")</f>
        <v/>
      </c>
      <c r="AE123" s="141" t="str">
        <f ca="1">IF(AND($AA123=1,Vorrunde!$L71&lt;&gt;"",Vorrunde!$N71&lt;&gt;"",ABS(Vorrunde!$L71-Vorrunde!$N71)&gt;1),Vorrunde!$N71,"")</f>
        <v/>
      </c>
      <c r="AF123" s="145" t="str">
        <f ca="1">IF(AND($AA123=1,Vorrunde!$O71&lt;&gt;"",Vorrunde!$Q71&lt;&gt;"",ABS(Vorrunde!$O71-Vorrunde!$Q71)&gt;1),Vorrunde!$O71,"")</f>
        <v/>
      </c>
      <c r="AG123" s="141" t="str">
        <f ca="1">IF(AND($AA123=1,Vorrunde!$O71&lt;&gt;"",Vorrunde!$Q71&lt;&gt;"",ABS(Vorrunde!$O71-Vorrunde!$Q71)&gt;1),Vorrunde!$Q71,"")</f>
        <v/>
      </c>
      <c r="AH123" s="145" t="str">
        <f t="shared" ca="1" si="68"/>
        <v/>
      </c>
      <c r="AI123" s="141" t="str">
        <f t="shared" ca="1" si="69"/>
        <v/>
      </c>
      <c r="AJ123" s="145">
        <f ca="1">IF(Vorrunde!$R71="",0,Vorrunde!$R71)</f>
        <v>0</v>
      </c>
      <c r="AK123" s="141">
        <f ca="1">IF(Vorrunde!$T71="",0,Vorrunde!$T71)</f>
        <v>0</v>
      </c>
      <c r="AL123" s="145" t="str">
        <f ca="1">IF($AA123=0,"",IF($AJ123&gt;$AK123,Einstellungen!$C$4,IF($AJ123=$AK123,1,0)))</f>
        <v/>
      </c>
      <c r="AM123" s="141" t="str">
        <f ca="1">IF($AA123=0,"",IF($AJ123&lt;$AK123,Einstellungen!$C$4,IF($AJ123=$AK123,1,0)))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IF(AA64&gt;0,AI64&amp;Sprache!$E$109&amp;AH64,"")</f>
        <v>69 : 57</v>
      </c>
      <c r="AC136" s="608" t="str">
        <f ca="1">IF(AA64&gt;0,AK64&amp;Sprache!$E$109&amp;AJ64,"")</f>
        <v>2 : 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IF(AA65&gt;0,AI65&amp;Sprache!$E$109&amp;AH65,"")</f>
        <v>50 : 36</v>
      </c>
      <c r="AC137" s="609" t="str">
        <f ca="1">IF(AA65&gt;0,AK65&amp;Sprache!$E$109&amp;AJ65,"")</f>
        <v>2 : 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IF(AA66&gt;0,AI66&amp;Sprache!$E$109&amp;AH66,"")</f>
        <v>50 : 40</v>
      </c>
      <c r="AC138" s="609" t="str">
        <f ca="1">IF(AA66&gt;0,AK66&amp;Sprache!$E$109&amp;AJ66,"")</f>
        <v>2 : 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IF(AA67&gt;0,AI67&amp;Sprache!$E$109&amp;AH67,"")</f>
        <v>50 : 39</v>
      </c>
      <c r="AC139" s="609" t="str">
        <f ca="1">IF(AA67&gt;0,AK67&amp;Sprache!$E$109&amp;AJ67,"")</f>
        <v>2 : 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IF(AA68&gt;0,AI68&amp;Sprache!$E$109&amp;AH68,"")</f>
        <v>44 : 50</v>
      </c>
      <c r="AC140" s="609" t="str">
        <f ca="1">IF(AA68&gt;0,AK68&amp;Sprache!$E$109&amp;AJ68,"")</f>
        <v>0 : 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IF(AA69&gt;0,AI69&amp;Sprache!$E$109&amp;AH69,"")</f>
        <v>50 : 40</v>
      </c>
      <c r="AC141" s="609" t="str">
        <f ca="1">IF(AA69&gt;0,AK69&amp;Sprache!$E$109&amp;AJ69,"")</f>
        <v>2 : 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IF(AA70&gt;0,AI70&amp;Sprache!$E$109&amp;AH70,"")</f>
        <v>61 : 70</v>
      </c>
      <c r="AC142" s="609" t="str">
        <f ca="1">IF(AA70&gt;0,AK70&amp;Sprache!$E$109&amp;AJ70,"")</f>
        <v>1 : 2</v>
      </c>
      <c r="AD142" s="145"/>
      <c r="AE142" s="612"/>
      <c r="AF142" s="612"/>
      <c r="AG142" s="612"/>
      <c r="AH142" s="612"/>
    </row>
    <row r="143" spans="2:39" x14ac:dyDescent="0.2">
      <c r="Y143" s="66" t="s">
        <v>17</v>
      </c>
      <c r="Z143" s="34" t="str">
        <f t="shared" ca="1" si="72"/>
        <v>RB LeipzigHSV</v>
      </c>
      <c r="AA143" s="778">
        <f t="shared" ca="1" si="71"/>
        <v>1</v>
      </c>
      <c r="AB143" s="828" t="str">
        <f ca="1">IF(AA71&gt;0,AI71&amp;Sprache!$E$109&amp;AH71,"")</f>
        <v>67 : 66</v>
      </c>
      <c r="AC143" s="609" t="str">
        <f ca="1">IF(AA71&gt;0,AK71&amp;Sprache!$E$109&amp;AJ71,"")</f>
        <v>2 : 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IF(AA72&gt;0,AI72&amp;Sprache!$E$109&amp;AH72,"")</f>
        <v>69 : 65</v>
      </c>
      <c r="AC144" s="609" t="str">
        <f ca="1">IF(AA72&gt;0,AK72&amp;Sprache!$E$109&amp;AJ72,"")</f>
        <v>2 : 1</v>
      </c>
      <c r="AD144" s="145"/>
      <c r="AE144" s="612"/>
      <c r="AF144" s="612"/>
      <c r="AG144" s="612"/>
      <c r="AH144" s="612"/>
    </row>
    <row r="145" spans="25:34" x14ac:dyDescent="0.2">
      <c r="Y145" s="66" t="s">
        <v>24</v>
      </c>
      <c r="Z145" s="34" t="str">
        <f t="shared" ca="1" si="72"/>
        <v>Mainz 05FC Grönlingen</v>
      </c>
      <c r="AA145" s="778">
        <f t="shared" ca="1" si="71"/>
        <v>1</v>
      </c>
      <c r="AB145" s="828" t="str">
        <f ca="1">IF(AA73&gt;0,AI73&amp;Sprache!$E$109&amp;AH73,"")</f>
        <v>50 : 33</v>
      </c>
      <c r="AC145" s="609" t="str">
        <f ca="1">IF(AA73&gt;0,AK73&amp;Sprache!$E$109&amp;AJ73,"")</f>
        <v>2 : 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IF(AA74&gt;0,AI74&amp;Sprache!$E$109&amp;AH74,"")</f>
        <v>42 : 50</v>
      </c>
      <c r="AC146" s="609" t="str">
        <f ca="1">IF(AA74&gt;0,AK74&amp;Sprache!$E$109&amp;AJ74,"")</f>
        <v>0 : 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IF(AA75&gt;0,AI75&amp;Sprache!$E$109&amp;AH75,"")</f>
        <v>50 : 42</v>
      </c>
      <c r="AC147" s="609" t="str">
        <f ca="1">IF(AA75&gt;0,AK75&amp;Sprache!$E$109&amp;AJ75,"")</f>
        <v>2 : 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IF(AA76&gt;0,AI76&amp;Sprache!$E$109&amp;AH76,"")</f>
        <v>72 : 69</v>
      </c>
      <c r="AC148" s="609" t="str">
        <f ca="1">IF(AA76&gt;0,AK76&amp;Sprache!$E$109&amp;AJ76,"")</f>
        <v>2 : 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IF(AA77&gt;0,AI77&amp;Sprache!$E$109&amp;AH77,"")</f>
        <v>37 : 50</v>
      </c>
      <c r="AC149" s="609" t="str">
        <f ca="1">IF(AA77&gt;0,AK77&amp;Sprache!$E$109&amp;AJ77,"")</f>
        <v>0 : 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IF(AA78&gt;0,AI78&amp;Sprache!$E$109&amp;AH78,"")</f>
        <v>62 : 71</v>
      </c>
      <c r="AC150" s="609" t="str">
        <f ca="1">IF(AA78&gt;0,AK78&amp;Sprache!$E$109&amp;AJ78,"")</f>
        <v>1 : 2</v>
      </c>
      <c r="AD150" s="145"/>
      <c r="AE150" s="612"/>
      <c r="AF150" s="612"/>
      <c r="AG150" s="612"/>
      <c r="AH150" s="612"/>
    </row>
    <row r="151" spans="25:34" x14ac:dyDescent="0.2">
      <c r="Y151" s="66" t="s">
        <v>30</v>
      </c>
      <c r="Z151" s="34" t="str">
        <f t="shared" ca="1" si="72"/>
        <v>HSVParis St. Germain</v>
      </c>
      <c r="AA151" s="778">
        <f t="shared" ca="1" si="71"/>
        <v>1</v>
      </c>
      <c r="AB151" s="828" t="str">
        <f ca="1">IF(AA79&gt;0,AI79&amp;Sprache!$E$109&amp;AH79,"")</f>
        <v>30 : 50</v>
      </c>
      <c r="AC151" s="609" t="str">
        <f ca="1">IF(AA79&gt;0,AK79&amp;Sprache!$E$109&amp;AJ79,"")</f>
        <v>0 : 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IF(AA80&gt;0,AI80&amp;Sprache!$E$109&amp;AH80,"")</f>
        <v>39 : 50</v>
      </c>
      <c r="AC152" s="609" t="str">
        <f ca="1">IF(AA80&gt;0,AK80&amp;Sprache!$E$109&amp;AJ80,"")</f>
        <v>0 : 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IF(AA81&gt;0,AI81&amp;Sprache!$E$109&amp;AH81,"")</f>
        <v>50 : 23</v>
      </c>
      <c r="AC153" s="609" t="str">
        <f ca="1">IF(AA81&gt;0,AK81&amp;Sprache!$E$109&amp;AJ81,"")</f>
        <v>2 : 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IF(AA82&gt;0,AI82&amp;Sprache!$E$109&amp;AH82,"")</f>
        <v>23 : 50</v>
      </c>
      <c r="AC154" s="609" t="str">
        <f ca="1">IF(AA82&gt;0,AK82&amp;Sprache!$E$109&amp;AJ82,"")</f>
        <v>0 : 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IF(AA83&gt;0,AI83&amp;Sprache!$E$109&amp;AH83,"")</f>
        <v>24 : 50</v>
      </c>
      <c r="AC155" s="609" t="str">
        <f ca="1">IF(AA83&gt;0,AK83&amp;Sprache!$E$109&amp;AJ83,"")</f>
        <v>0 : 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IF(AA84&gt;0,AI84&amp;Sprache!$E$109&amp;AH84,"")</f>
        <v>37 : 37</v>
      </c>
      <c r="AC156" s="609" t="str">
        <f ca="1">IF(AA84&gt;0,AK84&amp;Sprache!$E$109&amp;AJ84,"")</f>
        <v>1 : 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IF(AA85&gt;0,AI85&amp;Sprache!$E$109&amp;AH85,"")</f>
        <v>42 : 44</v>
      </c>
      <c r="AC157" s="609" t="str">
        <f ca="1">IF(AA85&gt;0,AK85&amp;Sprache!$E$109&amp;AJ85,"")</f>
        <v>1 : 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IF(AA86&gt;0,AI86&amp;Sprache!$E$109&amp;AH86,"")</f>
        <v>41 : 42</v>
      </c>
      <c r="AC158" s="609" t="str">
        <f ca="1">IF(AA86&gt;0,AK86&amp;Sprache!$E$109&amp;AJ86,"")</f>
        <v>1 : 1</v>
      </c>
      <c r="AD158" s="145"/>
      <c r="AE158" s="612"/>
      <c r="AF158" s="612"/>
      <c r="AG158" s="612"/>
      <c r="AH158" s="612"/>
    </row>
    <row r="159" spans="25:34" x14ac:dyDescent="0.2">
      <c r="Y159" s="66" t="s">
        <v>38</v>
      </c>
      <c r="Z159" s="34" t="str">
        <f t="shared" ca="1" si="72"/>
        <v>SV OberredenburgHSV</v>
      </c>
      <c r="AA159" s="778">
        <f t="shared" ca="1" si="71"/>
        <v>1</v>
      </c>
      <c r="AB159" s="828" t="str">
        <f ca="1">IF(AA87&gt;0,AI87&amp;Sprache!$E$109&amp;AH87,"")</f>
        <v>44 : 39</v>
      </c>
      <c r="AC159" s="609" t="str">
        <f ca="1">IF(AA87&gt;0,AK87&amp;Sprache!$E$109&amp;AJ87,"")</f>
        <v>1 : 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IF(AA88&gt;0,AI88&amp;Sprache!$E$109&amp;AH88,"")</f>
        <v>45 : 45</v>
      </c>
      <c r="AC160" s="609" t="str">
        <f ca="1">IF(AA88&gt;0,AK88&amp;Sprache!$E$109&amp;AJ88,"")</f>
        <v>1 : 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IF(AA89&gt;0,AI89&amp;Sprache!$E$109&amp;AH89,"")</f>
        <v>46 : 44</v>
      </c>
      <c r="AC161" s="609" t="str">
        <f ca="1">IF(AA89&gt;0,AK89&amp;Sprache!$E$109&amp;AJ89,"")</f>
        <v>1 : 1</v>
      </c>
      <c r="AD161" s="145"/>
      <c r="AE161" s="612"/>
      <c r="AF161" s="612"/>
      <c r="AG161" s="612"/>
      <c r="AH161" s="612"/>
    </row>
    <row r="162" spans="25:34" x14ac:dyDescent="0.2">
      <c r="Y162" s="66" t="s">
        <v>41</v>
      </c>
      <c r="Z162" s="34" t="str">
        <f t="shared" ca="1" si="72"/>
        <v>FSV RauenReal Madrid</v>
      </c>
      <c r="AA162" s="778">
        <f t="shared" ca="1" si="71"/>
        <v>1</v>
      </c>
      <c r="AB162" s="828" t="str">
        <f ca="1">IF(AA90&gt;0,AI90&amp;Sprache!$E$109&amp;AH90,"")</f>
        <v>47 : 42</v>
      </c>
      <c r="AC162" s="609" t="str">
        <f ca="1">IF(AA90&gt;0,AK90&amp;Sprache!$E$109&amp;AJ90,"")</f>
        <v>1 : 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IF(AA91&gt;0,AI91&amp;Sprache!$E$109&amp;AH91,"")</f>
        <v>48 : 44</v>
      </c>
      <c r="AC163" s="609" t="str">
        <f ca="1">IF(AA91&gt;0,AK91&amp;Sprache!$E$109&amp;AJ91,"")</f>
        <v>1 : 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IF(AA92&gt;0,AI92&amp;Sprache!$E$109&amp;AH92,"")</f>
        <v>34 : 50</v>
      </c>
      <c r="AC164" s="609" t="str">
        <f ca="1">IF(AA92&gt;0,AK92&amp;Sprache!$E$109&amp;AJ92,"")</f>
        <v>0 : 2</v>
      </c>
      <c r="AD164" s="145"/>
      <c r="AE164" s="612"/>
      <c r="AF164" s="612"/>
      <c r="AG164" s="612"/>
      <c r="AH164" s="612"/>
    </row>
    <row r="165" spans="25:34" x14ac:dyDescent="0.2">
      <c r="Y165" s="66" t="s">
        <v>44</v>
      </c>
      <c r="Z165" s="34" t="str">
        <f t="shared" ca="1" si="72"/>
        <v>Mainz 05SSV Wildbach</v>
      </c>
      <c r="AA165" s="778">
        <f t="shared" ca="1" si="71"/>
        <v>1</v>
      </c>
      <c r="AB165" s="828" t="str">
        <f ca="1">IF(AA93&gt;0,AI93&amp;Sprache!$E$109&amp;AH93,"")</f>
        <v>43 : 39</v>
      </c>
      <c r="AC165" s="609" t="str">
        <f ca="1">IF(AA93&gt;0,AK93&amp;Sprache!$E$109&amp;AJ93,"")</f>
        <v>1 : 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IF(AA94&gt;0,AI94&amp;Sprache!$E$109&amp;AH94,"")</f>
        <v>44 : 45</v>
      </c>
      <c r="AC166" s="609" t="str">
        <f ca="1">IF(AA94&gt;0,AK94&amp;Sprache!$E$109&amp;AJ94,"")</f>
        <v>1 : 1</v>
      </c>
      <c r="AD166" s="145"/>
      <c r="AE166" s="612"/>
      <c r="AF166" s="612"/>
      <c r="AG166" s="612"/>
      <c r="AH166" s="612"/>
    </row>
    <row r="167" spans="25:34" x14ac:dyDescent="0.2">
      <c r="Y167" s="66" t="s">
        <v>46</v>
      </c>
      <c r="Z167" s="34" t="str">
        <f t="shared" ca="1" si="72"/>
        <v>TSG Saalberg eVHSV</v>
      </c>
      <c r="AA167" s="778">
        <f t="shared" ca="1" si="71"/>
        <v>1</v>
      </c>
      <c r="AB167" s="828" t="str">
        <f ca="1">IF(AA95&gt;0,AI95&amp;Sprache!$E$109&amp;AH95,"")</f>
        <v>45 : 44</v>
      </c>
      <c r="AC167" s="609" t="str">
        <f ca="1">IF(AA95&gt;0,AK95&amp;Sprache!$E$109&amp;AJ95,"")</f>
        <v>1 : 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IF(AA96&gt;0,AI96&amp;Sprache!$E$109&amp;AH96,"")</f>
        <v>46 : 42</v>
      </c>
      <c r="AC168" s="609" t="str">
        <f ca="1">IF(AA96&gt;0,AK96&amp;Sprache!$E$109&amp;AJ96,"")</f>
        <v>1 : 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IF(AA97&gt;0,AI97&amp;Sprache!$E$109&amp;AH97,"")</f>
        <v>47 : 39</v>
      </c>
      <c r="AC169" s="609" t="str">
        <f ca="1">IF(AA97&gt;0,AK97&amp;Sprache!$E$109&amp;AJ97,"")</f>
        <v>1 : 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IF(AA98&gt;0,AI98&amp;Sprache!$E$109&amp;AH98,"")</f>
        <v>34 : 50</v>
      </c>
      <c r="AC170" s="609" t="str">
        <f ca="1">IF(AA98&gt;0,AK98&amp;Sprache!$E$109&amp;AJ98,"")</f>
        <v>0 : 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IF(AA99&gt;0,AI99&amp;Sprache!$E$109&amp;AH99,"")</f>
        <v>36 : 50</v>
      </c>
      <c r="AC171" s="609" t="str">
        <f ca="1">IF(AA99&gt;0,AK99&amp;Sprache!$E$109&amp;AJ99,"")</f>
        <v>0 : 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IF(AA100&gt;0,AI100&amp;Sprache!$E$109&amp;AH100,"")</f>
        <v>50 : 35</v>
      </c>
      <c r="AC172" s="609" t="str">
        <f ca="1">IF(AA100&gt;0,AK100&amp;Sprache!$E$109&amp;AJ100,"")</f>
        <v>2 : 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IF(AA101&gt;0,AI101&amp;Sprache!$E$109&amp;AH101,"")</f>
        <v>50 : 33</v>
      </c>
      <c r="AC173" s="609" t="str">
        <f ca="1">IF(AA101&gt;0,AK101&amp;Sprache!$E$109&amp;AJ101,"")</f>
        <v>2 : 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IF(AA102&gt;0,AI102&amp;Sprache!$E$109&amp;AH102,"")</f>
        <v>45 : 38</v>
      </c>
      <c r="AC174" s="609" t="str">
        <f ca="1">IF(AA102&gt;0,AK102&amp;Sprache!$E$109&amp;AJ102,"")</f>
        <v>1 : 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IF(AA103&gt;0,AI103&amp;Sprache!$E$109&amp;AH103,"")</f>
        <v>46 : 43</v>
      </c>
      <c r="AC175" s="609" t="str">
        <f ca="1">IF(AA103&gt;0,AK103&amp;Sprache!$E$109&amp;AJ103,"")</f>
        <v>1 : 1</v>
      </c>
      <c r="AD175" s="145"/>
      <c r="AE175" s="612"/>
      <c r="AF175" s="612"/>
      <c r="AG175" s="612"/>
      <c r="AH175" s="612"/>
    </row>
    <row r="176" spans="25:34" x14ac:dyDescent="0.2">
      <c r="Y176" s="66" t="s">
        <v>62</v>
      </c>
      <c r="Z176" s="34" t="str">
        <f t="shared" ca="1" si="72"/>
        <v/>
      </c>
      <c r="AA176" s="778">
        <f t="shared" ca="1" si="71"/>
        <v>0</v>
      </c>
      <c r="AB176" s="828" t="str">
        <f ca="1">IF(AA104&gt;0,AI104&amp;Sprache!$E$109&amp;AH104,"")</f>
        <v/>
      </c>
      <c r="AC176" s="609" t="str">
        <f ca="1">IF(AA104&gt;0,AK104&amp;Sprache!$E$109&amp;AJ104,"")</f>
        <v/>
      </c>
      <c r="AD176" s="145"/>
      <c r="AE176" s="612"/>
      <c r="AF176" s="612"/>
      <c r="AG176" s="612"/>
      <c r="AH176" s="612"/>
    </row>
    <row r="177" spans="25:34" x14ac:dyDescent="0.2">
      <c r="Y177" s="66" t="s">
        <v>63</v>
      </c>
      <c r="Z177" s="34" t="str">
        <f t="shared" ca="1" si="72"/>
        <v/>
      </c>
      <c r="AA177" s="778">
        <f t="shared" ca="1" si="71"/>
        <v>0</v>
      </c>
      <c r="AB177" s="828" t="str">
        <f ca="1">IF(AA105&gt;0,AI105&amp;Sprache!$E$109&amp;AH105,"")</f>
        <v/>
      </c>
      <c r="AC177" s="609" t="str">
        <f ca="1">IF(AA105&gt;0,AK105&amp;Sprache!$E$109&amp;AJ105,"")</f>
        <v/>
      </c>
      <c r="AD177" s="145"/>
      <c r="AE177" s="612"/>
      <c r="AF177" s="612"/>
      <c r="AG177" s="612"/>
      <c r="AH177" s="612"/>
    </row>
    <row r="178" spans="25:34" x14ac:dyDescent="0.2">
      <c r="Y178" s="66" t="s">
        <v>64</v>
      </c>
      <c r="Z178" s="34" t="str">
        <f t="shared" ca="1" si="72"/>
        <v/>
      </c>
      <c r="AA178" s="778">
        <f t="shared" ca="1" si="71"/>
        <v>0</v>
      </c>
      <c r="AB178" s="828" t="str">
        <f ca="1">IF(AA106&gt;0,AI106&amp;Sprache!$E$109&amp;AH106,"")</f>
        <v/>
      </c>
      <c r="AC178" s="609" t="str">
        <f ca="1">IF(AA106&gt;0,AK106&amp;Sprache!$E$109&amp;AJ106,"")</f>
        <v/>
      </c>
      <c r="AD178" s="145"/>
      <c r="AE178" s="612"/>
      <c r="AF178" s="612"/>
      <c r="AG178" s="612"/>
      <c r="AH178" s="612"/>
    </row>
    <row r="179" spans="25:34" x14ac:dyDescent="0.2">
      <c r="Y179" s="66" t="s">
        <v>65</v>
      </c>
      <c r="Z179" s="34" t="str">
        <f t="shared" ca="1" si="72"/>
        <v/>
      </c>
      <c r="AA179" s="778">
        <f t="shared" ca="1" si="71"/>
        <v>0</v>
      </c>
      <c r="AB179" s="828" t="str">
        <f ca="1">IF(AA107&gt;0,AI107&amp;Sprache!$E$109&amp;AH107,"")</f>
        <v/>
      </c>
      <c r="AC179" s="609" t="str">
        <f ca="1">IF(AA107&gt;0,AK107&amp;Sprache!$E$109&amp;AJ107,"")</f>
        <v/>
      </c>
      <c r="AD179" s="145"/>
      <c r="AE179" s="612"/>
      <c r="AF179" s="612"/>
      <c r="AG179" s="612"/>
      <c r="AH179" s="612"/>
    </row>
    <row r="180" spans="25:34" x14ac:dyDescent="0.2">
      <c r="Y180" s="66" t="s">
        <v>66</v>
      </c>
      <c r="Z180" s="34" t="str">
        <f t="shared" ca="1" si="72"/>
        <v/>
      </c>
      <c r="AA180" s="778">
        <f t="shared" ca="1" si="71"/>
        <v>0</v>
      </c>
      <c r="AB180" s="828" t="str">
        <f ca="1">IF(AA108&gt;0,AI108&amp;Sprache!$E$109&amp;AH108,"")</f>
        <v/>
      </c>
      <c r="AC180" s="609" t="str">
        <f ca="1">IF(AA108&gt;0,AK108&amp;Sprache!$E$109&amp;AJ108,"")</f>
        <v/>
      </c>
      <c r="AD180" s="145"/>
      <c r="AE180" s="612"/>
      <c r="AF180" s="612"/>
      <c r="AG180" s="612"/>
      <c r="AH180" s="612"/>
    </row>
    <row r="181" spans="25:34" x14ac:dyDescent="0.2">
      <c r="Y181" s="66" t="s">
        <v>67</v>
      </c>
      <c r="Z181" s="34" t="str">
        <f t="shared" ca="1" si="72"/>
        <v/>
      </c>
      <c r="AA181" s="778">
        <f t="shared" ca="1" si="71"/>
        <v>0</v>
      </c>
      <c r="AB181" s="828" t="str">
        <f ca="1">IF(AA109&gt;0,AI109&amp;Sprache!$E$109&amp;AH109,"")</f>
        <v/>
      </c>
      <c r="AC181" s="609" t="str">
        <f ca="1">IF(AA109&gt;0,AK109&amp;Sprache!$E$109&amp;AJ109,"")</f>
        <v/>
      </c>
      <c r="AD181" s="145"/>
      <c r="AE181" s="612"/>
      <c r="AF181" s="612"/>
      <c r="AG181" s="612"/>
      <c r="AH181" s="612"/>
    </row>
    <row r="182" spans="25:34" x14ac:dyDescent="0.2">
      <c r="Y182" s="66" t="s">
        <v>68</v>
      </c>
      <c r="Z182" s="34" t="str">
        <f t="shared" ca="1" si="72"/>
        <v/>
      </c>
      <c r="AA182" s="778">
        <f t="shared" ca="1" si="71"/>
        <v>0</v>
      </c>
      <c r="AB182" s="828" t="str">
        <f ca="1">IF(AA110&gt;0,AI110&amp;Sprache!$E$109&amp;AH110,"")</f>
        <v/>
      </c>
      <c r="AC182" s="609" t="str">
        <f ca="1">IF(AA110&gt;0,AK110&amp;Sprache!$E$109&amp;AJ110,"")</f>
        <v/>
      </c>
      <c r="AD182" s="145"/>
      <c r="AE182" s="612"/>
      <c r="AF182" s="612"/>
      <c r="AG182" s="612"/>
      <c r="AH182" s="612"/>
    </row>
    <row r="183" spans="25:34" x14ac:dyDescent="0.2">
      <c r="Y183" s="66" t="s">
        <v>69</v>
      </c>
      <c r="Z183" s="34" t="str">
        <f t="shared" ca="1" si="72"/>
        <v/>
      </c>
      <c r="AA183" s="778">
        <f t="shared" ca="1" si="71"/>
        <v>0</v>
      </c>
      <c r="AB183" s="828" t="str">
        <f ca="1">IF(AA111&gt;0,AI111&amp;Sprache!$E$109&amp;AH111,"")</f>
        <v/>
      </c>
      <c r="AC183" s="609" t="str">
        <f ca="1">IF(AA111&gt;0,AK111&amp;Sprache!$E$109&amp;AJ111,"")</f>
        <v/>
      </c>
      <c r="AD183" s="145"/>
      <c r="AE183" s="612"/>
      <c r="AF183" s="612"/>
      <c r="AG183" s="612"/>
      <c r="AH183" s="612"/>
    </row>
    <row r="184" spans="25:34" x14ac:dyDescent="0.2">
      <c r="Y184" s="66" t="s">
        <v>70</v>
      </c>
      <c r="Z184" s="34" t="str">
        <f t="shared" ca="1" si="72"/>
        <v/>
      </c>
      <c r="AA184" s="778">
        <f t="shared" ca="1" si="71"/>
        <v>0</v>
      </c>
      <c r="AB184" s="828" t="str">
        <f ca="1">IF(AA112&gt;0,AI112&amp;Sprache!$E$109&amp;AH112,"")</f>
        <v/>
      </c>
      <c r="AC184" s="609" t="str">
        <f ca="1">IF(AA112&gt;0,AK112&amp;Sprache!$E$109&amp;AJ112,"")</f>
        <v/>
      </c>
      <c r="AD184" s="145"/>
      <c r="AE184" s="612"/>
      <c r="AF184" s="612"/>
      <c r="AG184" s="612"/>
      <c r="AH184" s="612"/>
    </row>
    <row r="185" spans="25:34" x14ac:dyDescent="0.2">
      <c r="Y185" s="66" t="s">
        <v>71</v>
      </c>
      <c r="Z185" s="34" t="str">
        <f t="shared" ca="1" si="72"/>
        <v/>
      </c>
      <c r="AA185" s="778">
        <f t="shared" ca="1" si="71"/>
        <v>0</v>
      </c>
      <c r="AB185" s="828" t="str">
        <f ca="1">IF(AA113&gt;0,AI113&amp;Sprache!$E$109&amp;AH113,"")</f>
        <v/>
      </c>
      <c r="AC185" s="609" t="str">
        <f ca="1">IF(AA113&gt;0,AK113&amp;Sprache!$E$109&amp;AJ113,"")</f>
        <v/>
      </c>
      <c r="AD185" s="145"/>
      <c r="AE185" s="612"/>
      <c r="AF185" s="612"/>
      <c r="AG185" s="612"/>
      <c r="AH185" s="612"/>
    </row>
    <row r="186" spans="25:34" x14ac:dyDescent="0.2">
      <c r="Y186" s="66" t="s">
        <v>72</v>
      </c>
      <c r="Z186" s="34" t="str">
        <f t="shared" ca="1" si="72"/>
        <v/>
      </c>
      <c r="AA186" s="778">
        <f t="shared" ca="1" si="71"/>
        <v>0</v>
      </c>
      <c r="AB186" s="828" t="str">
        <f ca="1">IF(AA114&gt;0,AI114&amp;Sprache!$E$109&amp;AH114,"")</f>
        <v/>
      </c>
      <c r="AC186" s="609" t="str">
        <f ca="1">IF(AA114&gt;0,AK114&amp;Sprache!$E$109&amp;AJ114,"")</f>
        <v/>
      </c>
      <c r="AD186" s="145"/>
      <c r="AE186" s="612"/>
      <c r="AF186" s="612"/>
      <c r="AG186" s="612"/>
      <c r="AH186" s="612"/>
    </row>
    <row r="187" spans="25:34" x14ac:dyDescent="0.2">
      <c r="Y187" s="66" t="s">
        <v>73</v>
      </c>
      <c r="Z187" s="34" t="str">
        <f t="shared" ca="1" si="72"/>
        <v/>
      </c>
      <c r="AA187" s="778">
        <f t="shared" ca="1" si="71"/>
        <v>0</v>
      </c>
      <c r="AB187" s="828" t="str">
        <f ca="1">IF(AA115&gt;0,AI115&amp;Sprache!$E$109&amp;AH115,"")</f>
        <v/>
      </c>
      <c r="AC187" s="609" t="str">
        <f ca="1">IF(AA115&gt;0,AK115&amp;Sprache!$E$109&amp;AJ115,"")</f>
        <v/>
      </c>
      <c r="AD187" s="145"/>
      <c r="AE187" s="612"/>
      <c r="AF187" s="612"/>
      <c r="AG187" s="612"/>
      <c r="AH187" s="612"/>
    </row>
    <row r="188" spans="25:34" x14ac:dyDescent="0.2">
      <c r="Y188" s="66" t="s">
        <v>74</v>
      </c>
      <c r="Z188" s="34" t="str">
        <f t="shared" ca="1" si="72"/>
        <v/>
      </c>
      <c r="AA188" s="778">
        <f t="shared" ca="1" si="71"/>
        <v>0</v>
      </c>
      <c r="AB188" s="828" t="str">
        <f ca="1">IF(AA116&gt;0,AI116&amp;Sprache!$E$109&amp;AH116,"")</f>
        <v/>
      </c>
      <c r="AC188" s="609" t="str">
        <f ca="1">IF(AA116&gt;0,AK116&amp;Sprache!$E$109&amp;AJ116,"")</f>
        <v/>
      </c>
      <c r="AD188" s="145"/>
      <c r="AE188" s="612"/>
      <c r="AF188" s="612"/>
      <c r="AG188" s="612"/>
      <c r="AH188" s="612"/>
    </row>
    <row r="189" spans="25:34" x14ac:dyDescent="0.2">
      <c r="Y189" s="66" t="s">
        <v>75</v>
      </c>
      <c r="Z189" s="34" t="str">
        <f t="shared" ca="1" si="72"/>
        <v/>
      </c>
      <c r="AA189" s="778">
        <f t="shared" ca="1" si="71"/>
        <v>0</v>
      </c>
      <c r="AB189" s="828" t="str">
        <f ca="1">IF(AA117&gt;0,AI117&amp;Sprache!$E$109&amp;AH117,"")</f>
        <v/>
      </c>
      <c r="AC189" s="609" t="str">
        <f ca="1">IF(AA117&gt;0,AK117&amp;Sprache!$E$109&amp;AJ117,"")</f>
        <v/>
      </c>
      <c r="AD189" s="145"/>
      <c r="AE189" s="612"/>
      <c r="AF189" s="612"/>
      <c r="AG189" s="612"/>
      <c r="AH189" s="612"/>
    </row>
    <row r="190" spans="25:34" x14ac:dyDescent="0.2">
      <c r="Y190" s="66" t="s">
        <v>76</v>
      </c>
      <c r="Z190" s="34" t="str">
        <f t="shared" ca="1" si="72"/>
        <v/>
      </c>
      <c r="AA190" s="778">
        <f t="shared" ca="1" si="71"/>
        <v>0</v>
      </c>
      <c r="AB190" s="828" t="str">
        <f ca="1">IF(AA118&gt;0,AI118&amp;Sprache!$E$109&amp;AH118,"")</f>
        <v/>
      </c>
      <c r="AC190" s="609" t="str">
        <f ca="1">IF(AA118&gt;0,AK118&amp;Sprache!$E$109&amp;AJ118,"")</f>
        <v/>
      </c>
      <c r="AD190" s="145"/>
      <c r="AE190" s="612"/>
      <c r="AF190" s="612"/>
      <c r="AG190" s="612"/>
      <c r="AH190" s="612"/>
    </row>
    <row r="191" spans="25:34" x14ac:dyDescent="0.2">
      <c r="Y191" s="66" t="s">
        <v>77</v>
      </c>
      <c r="Z191" s="34" t="str">
        <f t="shared" ca="1" si="72"/>
        <v/>
      </c>
      <c r="AA191" s="778">
        <f t="shared" ca="1" si="71"/>
        <v>0</v>
      </c>
      <c r="AB191" s="828" t="str">
        <f ca="1">IF(AA119&gt;0,AI119&amp;Sprache!$E$109&amp;AH119,"")</f>
        <v/>
      </c>
      <c r="AC191" s="609" t="str">
        <f ca="1">IF(AA119&gt;0,AK119&amp;Sprache!$E$109&amp;AJ119,"")</f>
        <v/>
      </c>
      <c r="AD191" s="145"/>
      <c r="AE191" s="612"/>
      <c r="AF191" s="612"/>
      <c r="AG191" s="612"/>
      <c r="AH191" s="612"/>
    </row>
    <row r="192" spans="25:34" x14ac:dyDescent="0.2">
      <c r="Y192" s="66" t="s">
        <v>78</v>
      </c>
      <c r="Z192" s="34" t="str">
        <f t="shared" ca="1" si="72"/>
        <v/>
      </c>
      <c r="AA192" s="778">
        <f t="shared" ca="1" si="71"/>
        <v>0</v>
      </c>
      <c r="AB192" s="828" t="str">
        <f ca="1">IF(AA120&gt;0,AI120&amp;Sprache!$E$109&amp;AH120,"")</f>
        <v/>
      </c>
      <c r="AC192" s="609" t="str">
        <f ca="1">IF(AA120&gt;0,AK120&amp;Sprache!$E$109&amp;AJ120,"")</f>
        <v/>
      </c>
      <c r="AD192" s="145"/>
      <c r="AE192" s="612"/>
      <c r="AF192" s="612"/>
      <c r="AG192" s="612"/>
      <c r="AH192" s="612"/>
    </row>
    <row r="193" spans="25:34" x14ac:dyDescent="0.2">
      <c r="Y193" s="66" t="s">
        <v>79</v>
      </c>
      <c r="Z193" s="34" t="str">
        <f t="shared" ca="1" si="72"/>
        <v/>
      </c>
      <c r="AA193" s="778">
        <f t="shared" ca="1" si="71"/>
        <v>0</v>
      </c>
      <c r="AB193" s="828" t="str">
        <f ca="1">IF(AA121&gt;0,AI121&amp;Sprache!$E$109&amp;AH121,"")</f>
        <v/>
      </c>
      <c r="AC193" s="609" t="str">
        <f ca="1">IF(AA121&gt;0,AK121&amp;Sprache!$E$109&amp;AJ121,"")</f>
        <v/>
      </c>
      <c r="AD193" s="145"/>
      <c r="AE193" s="612"/>
      <c r="AF193" s="612"/>
      <c r="AG193" s="612"/>
      <c r="AH193" s="612"/>
    </row>
    <row r="194" spans="25:34" x14ac:dyDescent="0.2">
      <c r="Y194" s="66" t="s">
        <v>80</v>
      </c>
      <c r="Z194" s="34" t="str">
        <f t="shared" ca="1" si="72"/>
        <v/>
      </c>
      <c r="AA194" s="778">
        <f t="shared" ca="1" si="71"/>
        <v>0</v>
      </c>
      <c r="AB194" s="828" t="str">
        <f ca="1">IF(AA122&gt;0,AI122&amp;Sprache!$E$109&amp;AH122,"")</f>
        <v/>
      </c>
      <c r="AC194" s="609" t="str">
        <f ca="1">IF(AA122&gt;0,AK122&amp;Sprache!$E$109&amp;AJ122,"")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IF(AA123&gt;0,AI123&amp;Sprache!$E$109&amp;AH123,"")</f>
        <v/>
      </c>
      <c r="AC195" s="609" t="str">
        <f ca="1">IF(AA123&gt;0,AK123&amp;Sprache!$E$109&amp;AJ123,"")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8801-328A-47FE-B5CE-CB7DD53E085C}">
  <dimension ref="A1:CB136"/>
  <sheetViews>
    <sheetView topLeftCell="A58" zoomScaleNormal="100" workbookViewId="0">
      <selection activeCell="A64" sqref="A64"/>
    </sheetView>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10.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7" style="10" customWidth="1"/>
    <col min="31" max="31" width="7.570312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69"/>
      <c r="H3" s="69"/>
      <c r="I3" s="652"/>
      <c r="J3" s="27"/>
      <c r="K3" s="652"/>
      <c r="L3" s="27"/>
      <c r="M3" s="27"/>
      <c r="N3" s="27"/>
      <c r="O3" s="109"/>
      <c r="P3" s="110"/>
      <c r="Q3" s="110"/>
      <c r="R3" s="110"/>
      <c r="S3" s="110"/>
      <c r="T3" s="110"/>
      <c r="U3" s="110"/>
      <c r="V3" s="110"/>
      <c r="W3" s="1031"/>
      <c r="X3" s="1032"/>
      <c r="Y3" s="1032"/>
      <c r="Z3" s="1032"/>
      <c r="AA3" s="1032"/>
      <c r="AB3" s="1031"/>
      <c r="AC3" s="1032"/>
      <c r="AD3" s="1032"/>
      <c r="AE3" s="1032"/>
      <c r="AF3" s="1032"/>
      <c r="AG3" s="1031"/>
      <c r="AH3" s="1032"/>
      <c r="AI3" s="1032"/>
      <c r="AJ3" s="1032"/>
      <c r="AK3" s="1032"/>
      <c r="AL3" s="1031"/>
      <c r="AM3" s="1032"/>
      <c r="AN3" s="1032"/>
      <c r="AO3" s="1032"/>
      <c r="AP3" s="1032"/>
    </row>
    <row r="4" spans="1:42" s="2" customFormat="1" ht="12.75" thickTop="1" x14ac:dyDescent="0.2">
      <c r="A4" s="238"/>
      <c r="B4" s="1"/>
      <c r="C4" s="21"/>
      <c r="D4" s="13"/>
      <c r="E4" s="249"/>
      <c r="F4" s="1"/>
      <c r="G4" s="1"/>
      <c r="H4" s="1"/>
      <c r="I4" s="13"/>
      <c r="J4" s="1"/>
      <c r="K4" s="1"/>
      <c r="L4" s="1"/>
      <c r="M4" s="1"/>
      <c r="N4" s="1"/>
      <c r="O4" s="118"/>
      <c r="P4" s="118"/>
      <c r="Q4" s="118"/>
      <c r="R4" s="118"/>
      <c r="V4" s="1"/>
      <c r="W4" s="586"/>
      <c r="X4" s="587"/>
      <c r="Y4" s="588"/>
      <c r="Z4" s="589"/>
      <c r="AA4" s="590"/>
      <c r="AB4" s="591"/>
      <c r="AC4" s="592"/>
      <c r="AD4" s="593"/>
      <c r="AE4" s="589"/>
      <c r="AF4" s="589"/>
      <c r="AG4" s="591"/>
      <c r="AH4" s="592"/>
      <c r="AI4" s="593"/>
      <c r="AJ4" s="589"/>
      <c r="AK4" s="594"/>
      <c r="AL4" s="592"/>
      <c r="AM4" s="592"/>
      <c r="AN4" s="593"/>
      <c r="AO4" s="589"/>
      <c r="AP4" s="594"/>
    </row>
    <row r="5" spans="1:42" s="2" customFormat="1" x14ac:dyDescent="0.2">
      <c r="A5" s="238"/>
      <c r="B5" s="1"/>
      <c r="C5" s="22"/>
      <c r="D5" s="13"/>
      <c r="E5" s="249"/>
      <c r="F5" s="1"/>
      <c r="G5" s="1"/>
      <c r="H5" s="1"/>
      <c r="I5" s="13"/>
      <c r="J5" s="1"/>
      <c r="K5" s="1"/>
      <c r="L5" s="1"/>
      <c r="M5" s="1"/>
      <c r="N5" s="1"/>
      <c r="O5" s="24"/>
      <c r="P5" s="25"/>
      <c r="V5" s="1"/>
      <c r="W5" s="591"/>
      <c r="X5" s="592"/>
      <c r="Y5" s="589"/>
      <c r="Z5" s="589"/>
      <c r="AA5" s="594"/>
      <c r="AB5" s="591"/>
      <c r="AC5" s="592"/>
      <c r="AD5" s="593"/>
      <c r="AE5" s="589"/>
      <c r="AF5" s="589"/>
      <c r="AG5" s="591"/>
      <c r="AH5" s="592"/>
      <c r="AI5" s="593"/>
      <c r="AJ5" s="589"/>
      <c r="AK5" s="594"/>
      <c r="AL5" s="592"/>
      <c r="AM5" s="592"/>
      <c r="AN5" s="593"/>
      <c r="AO5" s="589"/>
      <c r="AP5" s="594"/>
    </row>
    <row r="6" spans="1:42" s="2" customFormat="1" x14ac:dyDescent="0.2">
      <c r="A6" s="238"/>
      <c r="B6" s="1"/>
      <c r="C6" s="22"/>
      <c r="D6" s="13"/>
      <c r="E6" s="249"/>
      <c r="F6" s="1"/>
      <c r="G6" s="1"/>
      <c r="H6" s="1"/>
      <c r="I6" s="13"/>
      <c r="J6" s="1"/>
      <c r="K6" s="1"/>
      <c r="L6" s="1"/>
      <c r="M6" s="1"/>
      <c r="N6" s="1"/>
      <c r="O6" s="24"/>
      <c r="P6" s="25"/>
      <c r="V6" s="1"/>
      <c r="W6" s="591"/>
      <c r="X6" s="592"/>
      <c r="Y6" s="589"/>
      <c r="Z6" s="589"/>
      <c r="AA6" s="594"/>
      <c r="AB6" s="591"/>
      <c r="AC6" s="592"/>
      <c r="AD6" s="593"/>
      <c r="AE6" s="589"/>
      <c r="AF6" s="589"/>
      <c r="AG6" s="591"/>
      <c r="AH6" s="592"/>
      <c r="AI6" s="593"/>
      <c r="AJ6" s="589"/>
      <c r="AK6" s="594"/>
      <c r="AL6" s="592"/>
      <c r="AM6" s="592"/>
      <c r="AN6" s="593"/>
      <c r="AO6" s="589"/>
      <c r="AP6" s="594"/>
    </row>
    <row r="7" spans="1:42" s="2" customFormat="1" x14ac:dyDescent="0.2">
      <c r="A7" s="238"/>
      <c r="B7" s="1"/>
      <c r="C7" s="22"/>
      <c r="D7" s="13"/>
      <c r="E7" s="249"/>
      <c r="F7" s="1"/>
      <c r="G7" s="1"/>
      <c r="H7" s="1"/>
      <c r="I7" s="13"/>
      <c r="J7" s="1"/>
      <c r="K7" s="1"/>
      <c r="L7" s="1"/>
      <c r="M7" s="1"/>
      <c r="N7" s="1"/>
      <c r="O7" s="24"/>
      <c r="P7" s="25"/>
      <c r="V7" s="1"/>
      <c r="W7" s="591"/>
      <c r="X7" s="592"/>
      <c r="Y7" s="589"/>
      <c r="Z7" s="589"/>
      <c r="AA7" s="594"/>
      <c r="AB7" s="591"/>
      <c r="AC7" s="592"/>
      <c r="AD7" s="593"/>
      <c r="AE7" s="589"/>
      <c r="AF7" s="589"/>
      <c r="AG7" s="591"/>
      <c r="AH7" s="592"/>
      <c r="AI7" s="593"/>
      <c r="AJ7" s="589"/>
      <c r="AK7" s="594"/>
      <c r="AL7" s="592"/>
      <c r="AM7" s="592"/>
      <c r="AN7" s="593"/>
      <c r="AO7" s="589"/>
      <c r="AP7" s="594"/>
    </row>
    <row r="8" spans="1:42" s="2" customFormat="1" x14ac:dyDescent="0.2">
      <c r="A8" s="238"/>
      <c r="B8" s="1"/>
      <c r="C8" s="22"/>
      <c r="D8" s="13"/>
      <c r="E8" s="249"/>
      <c r="F8" s="1"/>
      <c r="G8" s="1"/>
      <c r="H8" s="1"/>
      <c r="I8" s="13"/>
      <c r="J8" s="1"/>
      <c r="K8" s="1"/>
      <c r="L8" s="1"/>
      <c r="M8" s="1"/>
      <c r="N8" s="1"/>
      <c r="P8" s="25"/>
      <c r="W8" s="591"/>
      <c r="X8" s="592"/>
      <c r="Y8" s="589"/>
      <c r="Z8" s="589"/>
      <c r="AA8" s="594"/>
      <c r="AB8" s="591"/>
      <c r="AC8" s="592"/>
      <c r="AD8" s="593"/>
      <c r="AE8" s="589"/>
      <c r="AF8" s="589"/>
      <c r="AG8" s="591"/>
      <c r="AH8" s="592"/>
      <c r="AI8" s="593"/>
      <c r="AJ8" s="589"/>
      <c r="AK8" s="594"/>
      <c r="AL8" s="592"/>
      <c r="AM8" s="592"/>
      <c r="AN8" s="593"/>
      <c r="AO8" s="589"/>
      <c r="AP8" s="594"/>
    </row>
    <row r="9" spans="1:42" s="2" customFormat="1" x14ac:dyDescent="0.2">
      <c r="A9" s="238"/>
      <c r="B9" s="1"/>
      <c r="C9" s="22"/>
      <c r="D9" s="13"/>
      <c r="E9" s="249"/>
      <c r="F9" s="1"/>
      <c r="G9" s="1"/>
      <c r="H9" s="1"/>
      <c r="I9" s="13"/>
      <c r="J9" s="1"/>
      <c r="K9" s="1"/>
      <c r="L9" s="1"/>
      <c r="M9" s="1"/>
      <c r="N9" s="1"/>
      <c r="P9" s="25"/>
      <c r="W9" s="591"/>
      <c r="X9" s="592"/>
      <c r="Y9" s="589"/>
      <c r="Z9" s="589"/>
      <c r="AA9" s="594"/>
      <c r="AB9" s="591"/>
      <c r="AC9" s="592"/>
      <c r="AD9" s="593"/>
      <c r="AE9" s="589"/>
      <c r="AF9" s="589"/>
      <c r="AG9" s="591"/>
      <c r="AH9" s="592"/>
      <c r="AI9" s="593"/>
      <c r="AJ9" s="589"/>
      <c r="AK9" s="594"/>
      <c r="AL9" s="592"/>
      <c r="AM9" s="592"/>
      <c r="AN9" s="593"/>
      <c r="AO9" s="589"/>
      <c r="AP9" s="594"/>
    </row>
    <row r="10" spans="1:42" s="2" customFormat="1" x14ac:dyDescent="0.2">
      <c r="A10" s="238"/>
      <c r="B10" s="1"/>
      <c r="C10" s="22"/>
      <c r="D10" s="13"/>
      <c r="E10" s="249"/>
      <c r="F10" s="1"/>
      <c r="G10" s="1"/>
      <c r="H10" s="1"/>
      <c r="I10" s="13"/>
      <c r="J10" s="1"/>
      <c r="K10" s="1"/>
      <c r="L10" s="1"/>
      <c r="M10" s="1"/>
      <c r="N10" s="1"/>
      <c r="P10" s="25"/>
      <c r="W10" s="591"/>
      <c r="X10" s="592"/>
      <c r="Y10" s="589"/>
      <c r="Z10" s="589"/>
      <c r="AA10" s="594"/>
      <c r="AB10" s="591"/>
      <c r="AC10" s="592"/>
      <c r="AD10" s="593"/>
      <c r="AE10" s="589"/>
      <c r="AF10" s="589"/>
      <c r="AG10" s="591"/>
      <c r="AH10" s="592"/>
      <c r="AI10" s="593"/>
      <c r="AJ10" s="589"/>
      <c r="AK10" s="594"/>
      <c r="AL10" s="592"/>
      <c r="AM10" s="592"/>
      <c r="AN10" s="593"/>
      <c r="AO10" s="589"/>
      <c r="AP10" s="594"/>
    </row>
    <row r="11" spans="1:42" s="2" customFormat="1" x14ac:dyDescent="0.2">
      <c r="A11" s="238"/>
      <c r="B11" s="1"/>
      <c r="C11" s="22"/>
      <c r="D11" s="13"/>
      <c r="E11" s="249"/>
      <c r="F11" s="1"/>
      <c r="G11" s="1"/>
      <c r="H11" s="1"/>
      <c r="I11" s="13"/>
      <c r="J11" s="1"/>
      <c r="K11" s="1"/>
      <c r="L11" s="1"/>
      <c r="M11" s="1"/>
      <c r="N11" s="1"/>
      <c r="O11" s="13"/>
      <c r="P11" s="13"/>
      <c r="Q11" s="13"/>
      <c r="R11" s="13"/>
      <c r="S11" s="13"/>
      <c r="T11" s="13"/>
      <c r="U11" s="13"/>
      <c r="V11" s="13"/>
      <c r="W11" s="591"/>
      <c r="X11" s="592"/>
      <c r="Y11" s="589"/>
      <c r="Z11" s="589"/>
      <c r="AA11" s="594"/>
      <c r="AB11" s="591"/>
      <c r="AC11" s="592"/>
      <c r="AD11" s="593"/>
      <c r="AE11" s="589"/>
      <c r="AF11" s="589"/>
      <c r="AG11" s="591"/>
      <c r="AH11" s="592"/>
      <c r="AI11" s="593"/>
      <c r="AJ11" s="589"/>
      <c r="AK11" s="594"/>
      <c r="AL11" s="592"/>
      <c r="AM11" s="592"/>
      <c r="AN11" s="593"/>
      <c r="AO11" s="589"/>
      <c r="AP11" s="594"/>
    </row>
    <row r="12" spans="1:42" s="2" customFormat="1" ht="12.75" thickBot="1" x14ac:dyDescent="0.25">
      <c r="A12" s="238"/>
      <c r="B12" s="1"/>
      <c r="C12" s="23"/>
      <c r="D12" s="13"/>
      <c r="E12" s="249"/>
      <c r="F12" s="1"/>
      <c r="G12" s="1"/>
      <c r="H12" s="1"/>
      <c r="I12" s="13"/>
      <c r="J12" s="1"/>
      <c r="K12" s="28"/>
      <c r="L12" s="1"/>
      <c r="M12" s="1"/>
      <c r="N12" s="1"/>
      <c r="O12" s="1"/>
      <c r="P12" s="1"/>
      <c r="Q12" s="1"/>
      <c r="R12" s="1"/>
      <c r="S12" s="1"/>
      <c r="T12" s="1"/>
      <c r="U12" s="1"/>
      <c r="V12" s="1"/>
      <c r="W12" s="595"/>
      <c r="X12" s="596"/>
      <c r="Y12" s="597"/>
      <c r="Z12" s="597"/>
      <c r="AA12" s="598"/>
      <c r="AB12" s="595"/>
      <c r="AC12" s="596"/>
      <c r="AD12" s="599"/>
      <c r="AE12" s="597"/>
      <c r="AF12" s="597"/>
      <c r="AG12" s="595"/>
      <c r="AH12" s="596"/>
      <c r="AI12" s="599"/>
      <c r="AJ12" s="597"/>
      <c r="AK12" s="598"/>
      <c r="AL12" s="596"/>
      <c r="AM12" s="596"/>
      <c r="AN12" s="599"/>
      <c r="AO12" s="597"/>
      <c r="AP12" s="598"/>
    </row>
    <row r="13" spans="1:42" s="2" customFormat="1" ht="12.75" thickTop="1" x14ac:dyDescent="0.2">
      <c r="B13" s="13"/>
      <c r="C13" s="13"/>
      <c r="D13" s="13"/>
      <c r="E13" s="13"/>
      <c r="F13" s="13"/>
      <c r="G13" s="13"/>
      <c r="H13" s="13"/>
      <c r="I13" s="13"/>
      <c r="J13" s="13"/>
      <c r="K13" s="27"/>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1035"/>
      <c r="AE15" s="1036"/>
      <c r="AF15" s="1036"/>
      <c r="AG15" s="1036"/>
      <c r="AH15" s="1037"/>
      <c r="AK15" s="238"/>
    </row>
    <row r="16" spans="1:42" s="2" customFormat="1" ht="15.75" thickBot="1" x14ac:dyDescent="0.25">
      <c r="B16" s="13"/>
      <c r="C16" s="652"/>
      <c r="D16" s="652"/>
      <c r="E16" s="652"/>
      <c r="F16" s="652"/>
      <c r="G16" s="652"/>
      <c r="H16" s="652"/>
      <c r="I16" s="652"/>
      <c r="J16" s="652"/>
      <c r="K16" s="652"/>
      <c r="L16" s="11"/>
      <c r="M16" s="69"/>
      <c r="N16" s="69"/>
      <c r="O16" s="30"/>
      <c r="P16" s="1"/>
      <c r="Q16" s="1"/>
      <c r="R16" s="1"/>
      <c r="S16" s="1"/>
      <c r="T16" s="1"/>
      <c r="U16" s="1"/>
      <c r="V16" s="1"/>
      <c r="W16" s="11"/>
      <c r="X16" s="186"/>
      <c r="Y16" s="11"/>
      <c r="Z16" s="186"/>
      <c r="AA16" s="1"/>
      <c r="AB16" s="1"/>
      <c r="AC16" s="1"/>
      <c r="AD16" s="244"/>
      <c r="AE16" s="248"/>
      <c r="AF16" s="1"/>
      <c r="AG16" s="1"/>
      <c r="AH16" s="186"/>
    </row>
    <row r="17" spans="2:80" s="2" customFormat="1" ht="12.75" thickTop="1" x14ac:dyDescent="0.2">
      <c r="D17" s="1"/>
      <c r="E17" s="1"/>
      <c r="F17" s="1"/>
      <c r="G17" s="1"/>
      <c r="H17" s="1"/>
      <c r="I17" s="1"/>
      <c r="J17" s="13"/>
      <c r="K17" s="1"/>
      <c r="L17" s="29"/>
      <c r="M17" s="14"/>
      <c r="N17" s="14"/>
      <c r="O17" s="52"/>
      <c r="P17" s="53"/>
      <c r="Q17" s="53"/>
      <c r="R17" s="53"/>
      <c r="S17" s="53"/>
      <c r="T17" s="53"/>
      <c r="U17" s="53"/>
      <c r="V17" s="54"/>
      <c r="W17" s="62"/>
      <c r="X17" s="21"/>
      <c r="Y17" s="13"/>
      <c r="Z17" s="1"/>
      <c r="AA17" s="1"/>
      <c r="AB17" s="1"/>
      <c r="AC17" s="1"/>
      <c r="AD17" s="243"/>
      <c r="AE17" s="29"/>
      <c r="AF17" s="1"/>
      <c r="AG17" s="1"/>
      <c r="AH17" s="245"/>
      <c r="AI17" s="1"/>
    </row>
    <row r="18" spans="2:80" s="2" customFormat="1" x14ac:dyDescent="0.2">
      <c r="D18" s="1"/>
      <c r="E18" s="1"/>
      <c r="F18" s="1"/>
      <c r="G18" s="1"/>
      <c r="H18" s="1"/>
      <c r="I18" s="1"/>
      <c r="J18" s="13"/>
      <c r="K18" s="1"/>
      <c r="L18" s="29"/>
      <c r="M18" s="14"/>
      <c r="N18" s="14"/>
      <c r="O18" s="6"/>
      <c r="P18" s="4"/>
      <c r="Q18" s="4"/>
      <c r="R18" s="4"/>
      <c r="S18" s="4"/>
      <c r="T18" s="4"/>
      <c r="U18" s="4"/>
      <c r="V18" s="55"/>
      <c r="W18" s="62"/>
      <c r="X18" s="22"/>
      <c r="Y18" s="13"/>
      <c r="Z18" s="1"/>
      <c r="AA18" s="1"/>
      <c r="AB18" s="1"/>
      <c r="AC18" s="1"/>
      <c r="AD18" s="243"/>
      <c r="AE18" s="29"/>
      <c r="AF18" s="1"/>
      <c r="AG18" s="1"/>
      <c r="AH18" s="246"/>
      <c r="AI18" s="1"/>
    </row>
    <row r="19" spans="2:80" s="2" customFormat="1" x14ac:dyDescent="0.2">
      <c r="D19" s="1"/>
      <c r="E19" s="1"/>
      <c r="F19" s="1"/>
      <c r="G19" s="1"/>
      <c r="H19" s="1"/>
      <c r="I19" s="1"/>
      <c r="J19" s="13"/>
      <c r="K19" s="1"/>
      <c r="L19" s="29"/>
      <c r="M19" s="14"/>
      <c r="N19" s="14"/>
      <c r="O19" s="6"/>
      <c r="P19" s="4"/>
      <c r="Q19" s="4"/>
      <c r="R19" s="4"/>
      <c r="S19" s="4"/>
      <c r="T19" s="4"/>
      <c r="U19" s="4"/>
      <c r="V19" s="55"/>
      <c r="W19" s="62"/>
      <c r="X19" s="22"/>
      <c r="Y19" s="13"/>
      <c r="Z19" s="1"/>
      <c r="AA19" s="1"/>
      <c r="AB19" s="1"/>
      <c r="AC19" s="1"/>
      <c r="AD19" s="243"/>
      <c r="AE19" s="29"/>
      <c r="AF19" s="1"/>
      <c r="AG19" s="1"/>
      <c r="AH19" s="246"/>
      <c r="AI19" s="1"/>
    </row>
    <row r="20" spans="2:80" s="2" customFormat="1" x14ac:dyDescent="0.2">
      <c r="D20" s="1"/>
      <c r="E20" s="1"/>
      <c r="F20" s="1"/>
      <c r="G20" s="1"/>
      <c r="H20" s="1"/>
      <c r="I20" s="1"/>
      <c r="J20" s="13"/>
      <c r="K20" s="1"/>
      <c r="L20" s="29"/>
      <c r="M20" s="14"/>
      <c r="N20" s="14"/>
      <c r="O20" s="6"/>
      <c r="P20" s="4"/>
      <c r="Q20" s="4"/>
      <c r="R20" s="4"/>
      <c r="S20" s="4"/>
      <c r="T20" s="4"/>
      <c r="U20" s="4"/>
      <c r="V20" s="55"/>
      <c r="W20" s="62"/>
      <c r="X20" s="22"/>
      <c r="Y20" s="13"/>
      <c r="Z20" s="1"/>
      <c r="AA20" s="1"/>
      <c r="AB20" s="1"/>
      <c r="AC20" s="1"/>
      <c r="AD20" s="243"/>
      <c r="AE20" s="29"/>
      <c r="AF20" s="1"/>
      <c r="AG20" s="1"/>
      <c r="AH20" s="246"/>
      <c r="AI20" s="1"/>
    </row>
    <row r="21" spans="2:80" s="2" customFormat="1" x14ac:dyDescent="0.2">
      <c r="D21" s="1"/>
      <c r="E21" s="1"/>
      <c r="F21" s="1"/>
      <c r="G21" s="1"/>
      <c r="H21" s="1"/>
      <c r="I21" s="1"/>
      <c r="J21" s="13"/>
      <c r="K21" s="1"/>
      <c r="L21" s="29"/>
      <c r="M21" s="14"/>
      <c r="N21" s="14"/>
      <c r="O21" s="6"/>
      <c r="P21" s="4"/>
      <c r="Q21" s="4"/>
      <c r="R21" s="4"/>
      <c r="S21" s="4"/>
      <c r="T21" s="4"/>
      <c r="U21" s="4"/>
      <c r="V21" s="55"/>
      <c r="W21" s="62"/>
      <c r="X21" s="22"/>
      <c r="Y21" s="13"/>
      <c r="Z21" s="1"/>
      <c r="AA21" s="1"/>
      <c r="AB21" s="1"/>
      <c r="AC21" s="1"/>
      <c r="AD21" s="243"/>
      <c r="AE21" s="29"/>
      <c r="AF21" s="1"/>
      <c r="AG21" s="1"/>
      <c r="AH21" s="246"/>
      <c r="AI21" s="1"/>
    </row>
    <row r="22" spans="2:80" s="2" customFormat="1" x14ac:dyDescent="0.2">
      <c r="D22" s="1"/>
      <c r="E22" s="1"/>
      <c r="F22" s="1"/>
      <c r="G22" s="1"/>
      <c r="H22" s="1"/>
      <c r="I22" s="1"/>
      <c r="J22" s="13"/>
      <c r="K22" s="1"/>
      <c r="L22" s="29"/>
      <c r="M22" s="14"/>
      <c r="N22" s="14"/>
      <c r="O22" s="6"/>
      <c r="P22" s="4"/>
      <c r="Q22" s="4"/>
      <c r="R22" s="4"/>
      <c r="S22" s="4"/>
      <c r="T22" s="4"/>
      <c r="U22" s="4"/>
      <c r="V22" s="55"/>
      <c r="W22" s="62"/>
      <c r="X22" s="22"/>
      <c r="Y22" s="13"/>
      <c r="Z22" s="1"/>
      <c r="AA22" s="1"/>
      <c r="AB22" s="1"/>
      <c r="AC22" s="1"/>
      <c r="AD22" s="243"/>
      <c r="AE22" s="29"/>
      <c r="AF22" s="1"/>
      <c r="AG22" s="1"/>
      <c r="AH22" s="246"/>
      <c r="AI22" s="1"/>
    </row>
    <row r="23" spans="2:80" s="2" customFormat="1" x14ac:dyDescent="0.2">
      <c r="D23" s="1"/>
      <c r="E23" s="1"/>
      <c r="F23" s="1"/>
      <c r="G23" s="1"/>
      <c r="H23" s="1"/>
      <c r="I23" s="1"/>
      <c r="J23" s="13"/>
      <c r="K23" s="1"/>
      <c r="L23" s="29"/>
      <c r="M23" s="14"/>
      <c r="N23" s="14"/>
      <c r="O23" s="6"/>
      <c r="P23" s="4"/>
      <c r="Q23" s="4"/>
      <c r="R23" s="4"/>
      <c r="S23" s="4"/>
      <c r="T23" s="4"/>
      <c r="U23" s="4"/>
      <c r="V23" s="55"/>
      <c r="W23" s="62"/>
      <c r="X23" s="22"/>
      <c r="Y23" s="13"/>
      <c r="Z23" s="1"/>
      <c r="AA23" s="1"/>
      <c r="AB23" s="1"/>
      <c r="AC23" s="1"/>
      <c r="AD23" s="243"/>
      <c r="AE23" s="29"/>
      <c r="AF23" s="1"/>
      <c r="AG23" s="1"/>
      <c r="AH23" s="246"/>
      <c r="AI23" s="1"/>
    </row>
    <row r="24" spans="2:80" s="2" customFormat="1" x14ac:dyDescent="0.2">
      <c r="D24" s="1"/>
      <c r="E24" s="1"/>
      <c r="F24" s="1"/>
      <c r="G24" s="1"/>
      <c r="H24" s="1"/>
      <c r="I24" s="1"/>
      <c r="J24" s="13"/>
      <c r="K24" s="1"/>
      <c r="L24" s="29"/>
      <c r="M24" s="14"/>
      <c r="N24" s="14"/>
      <c r="O24" s="6"/>
      <c r="P24" s="4"/>
      <c r="Q24" s="4"/>
      <c r="R24" s="4"/>
      <c r="S24" s="4"/>
      <c r="T24" s="4"/>
      <c r="U24" s="4"/>
      <c r="V24" s="55"/>
      <c r="W24" s="62"/>
      <c r="X24" s="22"/>
      <c r="Y24" s="13"/>
      <c r="Z24" s="1"/>
      <c r="AA24" s="1"/>
      <c r="AB24" s="1"/>
      <c r="AC24" s="1"/>
      <c r="AD24" s="243"/>
      <c r="AE24" s="29"/>
      <c r="AF24" s="1"/>
      <c r="AG24" s="1"/>
      <c r="AH24" s="246"/>
      <c r="AI24" s="1"/>
    </row>
    <row r="25" spans="2:80" s="2" customFormat="1" ht="12.75" thickBot="1" x14ac:dyDescent="0.25">
      <c r="D25" s="1"/>
      <c r="E25" s="1"/>
      <c r="F25" s="1"/>
      <c r="G25" s="1"/>
      <c r="H25" s="1"/>
      <c r="I25" s="1"/>
      <c r="J25" s="13"/>
      <c r="K25" s="1"/>
      <c r="L25" s="29"/>
      <c r="M25" s="14"/>
      <c r="N25" s="14"/>
      <c r="O25" s="56"/>
      <c r="P25" s="57"/>
      <c r="Q25" s="57"/>
      <c r="R25" s="57"/>
      <c r="S25" s="57"/>
      <c r="T25" s="57"/>
      <c r="U25" s="57"/>
      <c r="V25" s="58"/>
      <c r="W25" s="62"/>
      <c r="X25" s="23"/>
      <c r="Y25" s="13"/>
      <c r="Z25" s="1"/>
      <c r="AA25" s="1"/>
      <c r="AB25" s="1"/>
      <c r="AC25" s="1"/>
      <c r="AD25" s="243"/>
      <c r="AE25" s="29"/>
      <c r="AF25" s="1"/>
      <c r="AG25" s="1"/>
      <c r="AH25" s="247"/>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row>
    <row r="29" spans="2:80" s="2" customFormat="1" ht="12.75" thickTop="1" x14ac:dyDescent="0.2">
      <c r="E29" s="1029"/>
      <c r="F29" s="1026"/>
      <c r="G29" s="1026"/>
      <c r="H29" s="1026"/>
      <c r="I29" s="1026"/>
      <c r="J29" s="1026"/>
      <c r="K29" s="1026"/>
      <c r="L29" s="1028"/>
      <c r="M29" s="1025"/>
      <c r="N29" s="1026"/>
      <c r="O29" s="1026"/>
      <c r="P29" s="1026"/>
      <c r="Q29" s="1026"/>
      <c r="R29" s="1026"/>
      <c r="S29" s="1026"/>
      <c r="T29" s="1028"/>
      <c r="U29" s="1025"/>
      <c r="V29" s="1026"/>
      <c r="W29" s="1026"/>
      <c r="X29" s="1026"/>
      <c r="Y29" s="1026"/>
      <c r="Z29" s="1026"/>
      <c r="AA29" s="1026"/>
      <c r="AB29" s="1028"/>
      <c r="AC29" s="1025"/>
      <c r="AD29" s="1026"/>
      <c r="AE29" s="1026"/>
      <c r="AF29" s="1026"/>
      <c r="AG29" s="1026"/>
      <c r="AH29" s="1026"/>
      <c r="AI29" s="1026"/>
      <c r="AJ29" s="1028"/>
      <c r="AK29" s="1025"/>
      <c r="AL29" s="1026"/>
      <c r="AM29" s="1026"/>
      <c r="AN29" s="1026"/>
      <c r="AO29" s="1026"/>
      <c r="AP29" s="1026"/>
      <c r="AQ29" s="1026"/>
      <c r="AR29" s="1028"/>
      <c r="AS29" s="1025"/>
      <c r="AT29" s="1026"/>
      <c r="AU29" s="1026"/>
      <c r="AV29" s="1026"/>
      <c r="AW29" s="1026"/>
      <c r="AX29" s="1026"/>
      <c r="AY29" s="1026"/>
      <c r="AZ29" s="1028"/>
      <c r="BA29" s="1025"/>
      <c r="BB29" s="1026"/>
      <c r="BC29" s="1026"/>
      <c r="BD29" s="1026"/>
      <c r="BE29" s="1026"/>
      <c r="BF29" s="1026"/>
      <c r="BG29" s="1026"/>
      <c r="BH29" s="1028"/>
      <c r="BI29" s="1025"/>
      <c r="BJ29" s="1026"/>
      <c r="BK29" s="1026"/>
      <c r="BL29" s="1026"/>
      <c r="BM29" s="1026"/>
      <c r="BN29" s="1026"/>
      <c r="BO29" s="1026"/>
      <c r="BP29" s="1027"/>
      <c r="BQ29" s="13"/>
      <c r="BR29" s="5"/>
      <c r="CB29" s="51"/>
    </row>
    <row r="30" spans="2:80" s="2" customFormat="1" x14ac:dyDescent="0.2">
      <c r="E30" s="15"/>
      <c r="F30" s="4"/>
      <c r="G30" s="4"/>
      <c r="H30" s="4"/>
      <c r="I30" s="4"/>
      <c r="J30" s="4"/>
      <c r="K30" s="4"/>
      <c r="L30" s="4"/>
      <c r="M30" s="6"/>
      <c r="N30" s="4"/>
      <c r="O30" s="4"/>
      <c r="P30" s="4"/>
      <c r="Q30" s="4"/>
      <c r="R30" s="4"/>
      <c r="S30" s="4"/>
      <c r="T30" s="4"/>
      <c r="U30" s="6"/>
      <c r="V30" s="4"/>
      <c r="W30" s="4"/>
      <c r="X30" s="4"/>
      <c r="Y30" s="4"/>
      <c r="Z30" s="4"/>
      <c r="AA30" s="4"/>
      <c r="AB30" s="4"/>
      <c r="AC30" s="6"/>
      <c r="AD30" s="4"/>
      <c r="AE30" s="4"/>
      <c r="AF30" s="4"/>
      <c r="AG30" s="4"/>
      <c r="AH30" s="4"/>
      <c r="AI30" s="4"/>
      <c r="AJ30" s="4"/>
      <c r="AK30" s="6"/>
      <c r="AL30" s="4"/>
      <c r="AM30" s="4"/>
      <c r="AN30" s="4"/>
      <c r="AO30" s="4"/>
      <c r="AP30" s="4"/>
      <c r="AQ30" s="4"/>
      <c r="AR30" s="4"/>
      <c r="AS30" s="6"/>
      <c r="AT30" s="4"/>
      <c r="AU30" s="4"/>
      <c r="AV30" s="4"/>
      <c r="AW30" s="4"/>
      <c r="AX30" s="4"/>
      <c r="AY30" s="4"/>
      <c r="AZ30" s="4"/>
      <c r="BA30" s="6"/>
      <c r="BB30" s="4"/>
      <c r="BC30" s="4"/>
      <c r="BD30" s="4"/>
      <c r="BE30" s="4"/>
      <c r="BF30" s="4"/>
      <c r="BG30" s="4"/>
      <c r="BH30" s="4"/>
      <c r="BI30" s="6"/>
      <c r="BJ30" s="4"/>
      <c r="BK30" s="4"/>
      <c r="BL30" s="4"/>
      <c r="BM30" s="4"/>
      <c r="BN30" s="4"/>
      <c r="BO30" s="4"/>
      <c r="BP30" s="16"/>
      <c r="BQ30" s="4"/>
      <c r="BS30" s="7"/>
      <c r="BT30" s="8"/>
      <c r="BU30" s="8"/>
      <c r="BV30" s="8"/>
      <c r="BW30" s="8"/>
      <c r="BX30" s="8"/>
      <c r="BY30" s="8"/>
      <c r="BZ30" s="8"/>
      <c r="CA30" s="8"/>
      <c r="CB30" s="4"/>
    </row>
    <row r="31" spans="2:80" s="2" customFormat="1" x14ac:dyDescent="0.2">
      <c r="E31" s="15"/>
      <c r="F31" s="4"/>
      <c r="G31" s="4"/>
      <c r="H31" s="4"/>
      <c r="I31" s="4"/>
      <c r="J31" s="4"/>
      <c r="K31" s="4"/>
      <c r="L31" s="4"/>
      <c r="M31" s="6"/>
      <c r="N31" s="4"/>
      <c r="O31" s="4"/>
      <c r="P31" s="4"/>
      <c r="Q31" s="4"/>
      <c r="R31" s="4"/>
      <c r="S31" s="4"/>
      <c r="T31" s="4"/>
      <c r="U31" s="6"/>
      <c r="V31" s="4"/>
      <c r="W31" s="4"/>
      <c r="X31" s="4"/>
      <c r="Y31" s="4"/>
      <c r="Z31" s="4"/>
      <c r="AA31" s="4"/>
      <c r="AB31" s="4"/>
      <c r="AC31" s="6"/>
      <c r="AD31" s="4"/>
      <c r="AE31" s="4"/>
      <c r="AF31" s="4"/>
      <c r="AG31" s="4"/>
      <c r="AH31" s="4"/>
      <c r="AI31" s="4"/>
      <c r="AJ31" s="4"/>
      <c r="AK31" s="6"/>
      <c r="AL31" s="4"/>
      <c r="AM31" s="4"/>
      <c r="AN31" s="4"/>
      <c r="AO31" s="4"/>
      <c r="AP31" s="4"/>
      <c r="AQ31" s="4"/>
      <c r="AR31" s="4"/>
      <c r="AS31" s="6"/>
      <c r="AT31" s="4"/>
      <c r="AU31" s="4"/>
      <c r="AV31" s="4"/>
      <c r="AW31" s="4"/>
      <c r="AX31" s="4"/>
      <c r="AY31" s="4"/>
      <c r="AZ31" s="4"/>
      <c r="BA31" s="6"/>
      <c r="BB31" s="4"/>
      <c r="BC31" s="4"/>
      <c r="BD31" s="4"/>
      <c r="BE31" s="4"/>
      <c r="BF31" s="4"/>
      <c r="BG31" s="4"/>
      <c r="BH31" s="4"/>
      <c r="BI31" s="6"/>
      <c r="BJ31" s="4"/>
      <c r="BK31" s="4"/>
      <c r="BL31" s="4"/>
      <c r="BM31" s="4"/>
      <c r="BN31" s="4"/>
      <c r="BO31" s="4"/>
      <c r="BP31" s="16"/>
      <c r="BQ31" s="4"/>
      <c r="BS31" s="9"/>
      <c r="BT31" s="7"/>
      <c r="BU31" s="8"/>
      <c r="BV31" s="8"/>
      <c r="BW31" s="8"/>
      <c r="BX31" s="8"/>
      <c r="BY31" s="8"/>
      <c r="BZ31" s="8"/>
      <c r="CA31" s="8"/>
      <c r="CB31" s="4"/>
    </row>
    <row r="32" spans="2:80" s="2" customFormat="1" x14ac:dyDescent="0.2">
      <c r="E32" s="15"/>
      <c r="F32" s="4"/>
      <c r="G32" s="4"/>
      <c r="H32" s="4"/>
      <c r="I32" s="4"/>
      <c r="J32" s="4"/>
      <c r="K32" s="4"/>
      <c r="L32" s="4"/>
      <c r="M32" s="6"/>
      <c r="N32" s="4"/>
      <c r="O32" s="4"/>
      <c r="P32" s="4"/>
      <c r="Q32" s="4"/>
      <c r="R32" s="4"/>
      <c r="S32" s="4"/>
      <c r="T32" s="4"/>
      <c r="U32" s="6"/>
      <c r="V32" s="4"/>
      <c r="W32" s="4"/>
      <c r="X32" s="4"/>
      <c r="Y32" s="4"/>
      <c r="Z32" s="4"/>
      <c r="AA32" s="4"/>
      <c r="AB32" s="4"/>
      <c r="AC32" s="6"/>
      <c r="AD32" s="4"/>
      <c r="AE32" s="4"/>
      <c r="AF32" s="4"/>
      <c r="AG32" s="4"/>
      <c r="AH32" s="4"/>
      <c r="AI32" s="4"/>
      <c r="AJ32" s="4"/>
      <c r="AK32" s="6"/>
      <c r="AL32" s="4"/>
      <c r="AM32" s="4"/>
      <c r="AN32" s="4"/>
      <c r="AO32" s="4"/>
      <c r="AP32" s="4"/>
      <c r="AQ32" s="4"/>
      <c r="AR32" s="4"/>
      <c r="AS32" s="6"/>
      <c r="AT32" s="4"/>
      <c r="AU32" s="4"/>
      <c r="AV32" s="4"/>
      <c r="AW32" s="4"/>
      <c r="AX32" s="4"/>
      <c r="AY32" s="4"/>
      <c r="AZ32" s="4"/>
      <c r="BA32" s="6"/>
      <c r="BB32" s="4"/>
      <c r="BC32" s="4"/>
      <c r="BD32" s="4"/>
      <c r="BE32" s="4"/>
      <c r="BF32" s="4"/>
      <c r="BG32" s="4"/>
      <c r="BH32" s="4"/>
      <c r="BI32" s="6"/>
      <c r="BJ32" s="4"/>
      <c r="BK32" s="4"/>
      <c r="BL32" s="4"/>
      <c r="BM32" s="4"/>
      <c r="BN32" s="4"/>
      <c r="BO32" s="4"/>
      <c r="BP32" s="16"/>
      <c r="BQ32" s="4"/>
      <c r="BS32" s="9"/>
      <c r="BT32" s="9"/>
      <c r="BU32" s="7"/>
      <c r="BV32" s="8"/>
      <c r="BW32" s="8"/>
      <c r="BX32" s="8"/>
      <c r="BY32" s="8"/>
      <c r="BZ32" s="8"/>
      <c r="CA32" s="8"/>
      <c r="CB32" s="4"/>
    </row>
    <row r="33" spans="5:80" s="2" customFormat="1" x14ac:dyDescent="0.2">
      <c r="E33" s="15"/>
      <c r="F33" s="4"/>
      <c r="G33" s="4"/>
      <c r="H33" s="4"/>
      <c r="I33" s="4"/>
      <c r="J33" s="4"/>
      <c r="K33" s="4"/>
      <c r="L33" s="4"/>
      <c r="M33" s="6"/>
      <c r="N33" s="4"/>
      <c r="O33" s="4"/>
      <c r="P33" s="4"/>
      <c r="Q33" s="4"/>
      <c r="R33" s="4"/>
      <c r="S33" s="4"/>
      <c r="T33" s="4"/>
      <c r="U33" s="6"/>
      <c r="V33" s="4"/>
      <c r="W33" s="4"/>
      <c r="X33" s="4"/>
      <c r="Y33" s="4"/>
      <c r="Z33" s="4"/>
      <c r="AA33" s="4"/>
      <c r="AB33" s="4"/>
      <c r="AC33" s="6"/>
      <c r="AD33" s="4"/>
      <c r="AE33" s="4"/>
      <c r="AF33" s="4"/>
      <c r="AG33" s="4"/>
      <c r="AH33" s="4"/>
      <c r="AI33" s="4"/>
      <c r="AJ33" s="4"/>
      <c r="AK33" s="6"/>
      <c r="AL33" s="4"/>
      <c r="AM33" s="4"/>
      <c r="AN33" s="4"/>
      <c r="AO33" s="4"/>
      <c r="AP33" s="4"/>
      <c r="AQ33" s="4"/>
      <c r="AR33" s="4"/>
      <c r="AS33" s="6"/>
      <c r="AT33" s="4"/>
      <c r="AU33" s="4"/>
      <c r="AV33" s="4"/>
      <c r="AW33" s="4"/>
      <c r="AX33" s="4"/>
      <c r="AY33" s="4"/>
      <c r="AZ33" s="4"/>
      <c r="BA33" s="6"/>
      <c r="BB33" s="4"/>
      <c r="BC33" s="4"/>
      <c r="BD33" s="4"/>
      <c r="BE33" s="4"/>
      <c r="BF33" s="4"/>
      <c r="BG33" s="4"/>
      <c r="BH33" s="4"/>
      <c r="BI33" s="6"/>
      <c r="BJ33" s="4"/>
      <c r="BK33" s="4"/>
      <c r="BL33" s="4"/>
      <c r="BM33" s="4"/>
      <c r="BN33" s="4"/>
      <c r="BO33" s="4"/>
      <c r="BP33" s="16"/>
      <c r="BQ33" s="4"/>
      <c r="BS33" s="9"/>
      <c r="BT33" s="9"/>
      <c r="BU33" s="9"/>
      <c r="BV33" s="7"/>
      <c r="BW33" s="8"/>
      <c r="BX33" s="8"/>
      <c r="BY33" s="8"/>
      <c r="BZ33" s="8"/>
      <c r="CA33" s="8"/>
      <c r="CB33" s="4"/>
    </row>
    <row r="34" spans="5:80" s="2" customFormat="1" x14ac:dyDescent="0.2">
      <c r="E34" s="15"/>
      <c r="F34" s="4"/>
      <c r="G34" s="4"/>
      <c r="H34" s="4"/>
      <c r="I34" s="4"/>
      <c r="J34" s="4"/>
      <c r="K34" s="4"/>
      <c r="L34" s="4"/>
      <c r="M34" s="6"/>
      <c r="N34" s="4"/>
      <c r="O34" s="4"/>
      <c r="P34" s="4"/>
      <c r="Q34" s="4"/>
      <c r="R34" s="4"/>
      <c r="S34" s="4"/>
      <c r="T34" s="4"/>
      <c r="U34" s="6"/>
      <c r="V34" s="4"/>
      <c r="W34" s="4"/>
      <c r="X34" s="4"/>
      <c r="Y34" s="4"/>
      <c r="Z34" s="4"/>
      <c r="AA34" s="4"/>
      <c r="AB34" s="4"/>
      <c r="AC34" s="6"/>
      <c r="AD34" s="4"/>
      <c r="AE34" s="4"/>
      <c r="AF34" s="4"/>
      <c r="AG34" s="4"/>
      <c r="AH34" s="4"/>
      <c r="AI34" s="4"/>
      <c r="AJ34" s="4"/>
      <c r="AK34" s="6"/>
      <c r="AL34" s="4"/>
      <c r="AM34" s="4"/>
      <c r="AN34" s="4"/>
      <c r="AO34" s="4"/>
      <c r="AP34" s="4"/>
      <c r="AQ34" s="4"/>
      <c r="AR34" s="4"/>
      <c r="AS34" s="6"/>
      <c r="AT34" s="4"/>
      <c r="AU34" s="4"/>
      <c r="AV34" s="4"/>
      <c r="AW34" s="4"/>
      <c r="AX34" s="4"/>
      <c r="AY34" s="4"/>
      <c r="AZ34" s="4"/>
      <c r="BA34" s="6"/>
      <c r="BB34" s="4"/>
      <c r="BC34" s="4"/>
      <c r="BD34" s="4"/>
      <c r="BE34" s="4"/>
      <c r="BF34" s="4"/>
      <c r="BG34" s="4"/>
      <c r="BH34" s="4"/>
      <c r="BI34" s="6"/>
      <c r="BJ34" s="4"/>
      <c r="BK34" s="4"/>
      <c r="BL34" s="4"/>
      <c r="BM34" s="4"/>
      <c r="BN34" s="4"/>
      <c r="BO34" s="4"/>
      <c r="BP34" s="16"/>
      <c r="BQ34" s="4"/>
      <c r="BS34" s="9"/>
      <c r="BT34" s="9"/>
      <c r="BU34" s="9"/>
      <c r="BV34" s="9"/>
      <c r="BW34" s="7"/>
      <c r="BX34" s="8"/>
      <c r="BY34" s="8"/>
      <c r="BZ34" s="8"/>
      <c r="CA34" s="8"/>
      <c r="CB34" s="4"/>
    </row>
    <row r="35" spans="5:80" s="2" customFormat="1" x14ac:dyDescent="0.2">
      <c r="E35" s="15"/>
      <c r="F35" s="4"/>
      <c r="G35" s="4"/>
      <c r="H35" s="4"/>
      <c r="I35" s="4"/>
      <c r="J35" s="4"/>
      <c r="K35" s="4"/>
      <c r="L35" s="4"/>
      <c r="M35" s="6"/>
      <c r="N35" s="4"/>
      <c r="O35" s="4"/>
      <c r="P35" s="4"/>
      <c r="Q35" s="4"/>
      <c r="R35" s="4"/>
      <c r="S35" s="4"/>
      <c r="T35" s="4"/>
      <c r="U35" s="6"/>
      <c r="V35" s="4"/>
      <c r="W35" s="4"/>
      <c r="X35" s="4"/>
      <c r="Y35" s="4"/>
      <c r="Z35" s="4"/>
      <c r="AA35" s="4"/>
      <c r="AB35" s="4"/>
      <c r="AC35" s="6"/>
      <c r="AD35" s="4"/>
      <c r="AE35" s="4"/>
      <c r="AF35" s="4"/>
      <c r="AG35" s="4"/>
      <c r="AH35" s="4"/>
      <c r="AI35" s="4"/>
      <c r="AJ35" s="4"/>
      <c r="AK35" s="6"/>
      <c r="AL35" s="4"/>
      <c r="AM35" s="4"/>
      <c r="AN35" s="4"/>
      <c r="AO35" s="4"/>
      <c r="AP35" s="4"/>
      <c r="AQ35" s="4"/>
      <c r="AR35" s="4"/>
      <c r="AS35" s="6"/>
      <c r="AT35" s="4"/>
      <c r="AU35" s="4"/>
      <c r="AV35" s="4"/>
      <c r="AW35" s="4"/>
      <c r="AX35" s="4"/>
      <c r="AY35" s="4"/>
      <c r="AZ35" s="4"/>
      <c r="BA35" s="6"/>
      <c r="BB35" s="4"/>
      <c r="BC35" s="4"/>
      <c r="BD35" s="4"/>
      <c r="BE35" s="4"/>
      <c r="BF35" s="4"/>
      <c r="BG35" s="4"/>
      <c r="BH35" s="4"/>
      <c r="BI35" s="6"/>
      <c r="BJ35" s="4"/>
      <c r="BK35" s="4"/>
      <c r="BL35" s="4"/>
      <c r="BM35" s="4"/>
      <c r="BN35" s="4"/>
      <c r="BO35" s="4"/>
      <c r="BP35" s="16"/>
      <c r="BQ35" s="4"/>
      <c r="BS35" s="9"/>
      <c r="BT35" s="9"/>
      <c r="BU35" s="9"/>
      <c r="BV35" s="9"/>
      <c r="BW35" s="9"/>
      <c r="BX35" s="7"/>
      <c r="BY35" s="8"/>
      <c r="BZ35" s="8"/>
      <c r="CA35" s="8"/>
      <c r="CB35" s="4"/>
    </row>
    <row r="36" spans="5:80" s="2" customFormat="1" x14ac:dyDescent="0.2">
      <c r="E36" s="15"/>
      <c r="F36" s="4"/>
      <c r="G36" s="4"/>
      <c r="H36" s="4"/>
      <c r="I36" s="4"/>
      <c r="J36" s="4"/>
      <c r="K36" s="4"/>
      <c r="L36" s="4"/>
      <c r="M36" s="6"/>
      <c r="N36" s="4"/>
      <c r="O36" s="4"/>
      <c r="P36" s="4"/>
      <c r="Q36" s="4"/>
      <c r="R36" s="4"/>
      <c r="S36" s="4"/>
      <c r="T36" s="4"/>
      <c r="U36" s="6"/>
      <c r="V36" s="4"/>
      <c r="W36" s="4"/>
      <c r="X36" s="4"/>
      <c r="Y36" s="4"/>
      <c r="Z36" s="4"/>
      <c r="AA36" s="4"/>
      <c r="AB36" s="4"/>
      <c r="AC36" s="6"/>
      <c r="AD36" s="4"/>
      <c r="AE36" s="4"/>
      <c r="AF36" s="4"/>
      <c r="AG36" s="4"/>
      <c r="AH36" s="4"/>
      <c r="AI36" s="4"/>
      <c r="AJ36" s="4"/>
      <c r="AK36" s="6"/>
      <c r="AL36" s="4"/>
      <c r="AM36" s="4"/>
      <c r="AN36" s="4"/>
      <c r="AO36" s="4"/>
      <c r="AP36" s="4"/>
      <c r="AQ36" s="4"/>
      <c r="AR36" s="4"/>
      <c r="AS36" s="6"/>
      <c r="AT36" s="4"/>
      <c r="AU36" s="4"/>
      <c r="AV36" s="4"/>
      <c r="AW36" s="4"/>
      <c r="AX36" s="4"/>
      <c r="AY36" s="4"/>
      <c r="AZ36" s="4"/>
      <c r="BA36" s="6"/>
      <c r="BB36" s="4"/>
      <c r="BC36" s="4"/>
      <c r="BD36" s="4"/>
      <c r="BE36" s="4"/>
      <c r="BF36" s="4"/>
      <c r="BG36" s="4"/>
      <c r="BH36" s="4"/>
      <c r="BI36" s="6"/>
      <c r="BJ36" s="4"/>
      <c r="BK36" s="4"/>
      <c r="BL36" s="4"/>
      <c r="BM36" s="4"/>
      <c r="BN36" s="4"/>
      <c r="BO36" s="4"/>
      <c r="BP36" s="16"/>
      <c r="BQ36" s="4"/>
      <c r="BS36" s="9"/>
      <c r="BT36" s="9"/>
      <c r="BU36" s="9"/>
      <c r="BV36" s="9"/>
      <c r="BW36" s="9"/>
      <c r="BX36" s="9"/>
      <c r="BY36" s="7"/>
      <c r="BZ36" s="8"/>
      <c r="CA36" s="8"/>
      <c r="CB36" s="4"/>
    </row>
    <row r="37" spans="5:80" s="2" customFormat="1" x14ac:dyDescent="0.2">
      <c r="E37" s="15"/>
      <c r="F37" s="4"/>
      <c r="G37" s="4"/>
      <c r="H37" s="4"/>
      <c r="I37" s="4"/>
      <c r="J37" s="4"/>
      <c r="K37" s="4"/>
      <c r="L37" s="4"/>
      <c r="M37" s="6"/>
      <c r="N37" s="4"/>
      <c r="O37" s="4"/>
      <c r="P37" s="4"/>
      <c r="Q37" s="4"/>
      <c r="R37" s="4"/>
      <c r="S37" s="4"/>
      <c r="T37" s="4"/>
      <c r="U37" s="6"/>
      <c r="V37" s="4"/>
      <c r="W37" s="4"/>
      <c r="X37" s="4"/>
      <c r="Y37" s="4"/>
      <c r="Z37" s="4"/>
      <c r="AA37" s="4"/>
      <c r="AB37" s="4"/>
      <c r="AC37" s="6"/>
      <c r="AD37" s="4"/>
      <c r="AE37" s="4"/>
      <c r="AF37" s="4"/>
      <c r="AG37" s="4"/>
      <c r="AH37" s="4"/>
      <c r="AI37" s="4"/>
      <c r="AJ37" s="4"/>
      <c r="AK37" s="6"/>
      <c r="AL37" s="4"/>
      <c r="AM37" s="4"/>
      <c r="AN37" s="4"/>
      <c r="AO37" s="4"/>
      <c r="AP37" s="4"/>
      <c r="AQ37" s="4"/>
      <c r="AR37" s="4"/>
      <c r="AS37" s="6"/>
      <c r="AT37" s="4"/>
      <c r="AU37" s="4"/>
      <c r="AV37" s="4"/>
      <c r="AW37" s="4"/>
      <c r="AX37" s="4"/>
      <c r="AY37" s="4"/>
      <c r="AZ37" s="4"/>
      <c r="BA37" s="6"/>
      <c r="BB37" s="4"/>
      <c r="BC37" s="4"/>
      <c r="BD37" s="4"/>
      <c r="BE37" s="4"/>
      <c r="BF37" s="4"/>
      <c r="BG37" s="4"/>
      <c r="BH37" s="4"/>
      <c r="BI37" s="6"/>
      <c r="BJ37" s="4"/>
      <c r="BK37" s="4"/>
      <c r="BL37" s="4"/>
      <c r="BM37" s="4"/>
      <c r="BN37" s="4"/>
      <c r="BO37" s="4"/>
      <c r="BP37" s="16"/>
      <c r="BQ37" s="4"/>
      <c r="BS37" s="9"/>
      <c r="BT37" s="9"/>
      <c r="BU37" s="9"/>
      <c r="BV37" s="9"/>
      <c r="BW37" s="9"/>
      <c r="BX37" s="9"/>
      <c r="BY37" s="9"/>
      <c r="BZ37" s="7"/>
      <c r="CA37" s="8"/>
      <c r="CB37" s="4"/>
    </row>
    <row r="38" spans="5:80" s="2" customFormat="1" x14ac:dyDescent="0.2">
      <c r="E38" s="15"/>
      <c r="F38" s="4"/>
      <c r="G38" s="4"/>
      <c r="H38" s="4"/>
      <c r="I38" s="4"/>
      <c r="J38" s="4"/>
      <c r="K38" s="4"/>
      <c r="L38" s="4"/>
      <c r="M38" s="6"/>
      <c r="N38" s="4"/>
      <c r="O38" s="4"/>
      <c r="P38" s="4"/>
      <c r="Q38" s="4"/>
      <c r="R38" s="4"/>
      <c r="S38" s="4"/>
      <c r="T38" s="4"/>
      <c r="U38" s="6"/>
      <c r="V38" s="4"/>
      <c r="W38" s="4"/>
      <c r="X38" s="4"/>
      <c r="Y38" s="4"/>
      <c r="Z38" s="4"/>
      <c r="AA38" s="4"/>
      <c r="AB38" s="4"/>
      <c r="AC38" s="6"/>
      <c r="AD38" s="4"/>
      <c r="AE38" s="4"/>
      <c r="AF38" s="4"/>
      <c r="AG38" s="4"/>
      <c r="AH38" s="4"/>
      <c r="AI38" s="4"/>
      <c r="AJ38" s="4"/>
      <c r="AK38" s="6"/>
      <c r="AL38" s="4"/>
      <c r="AM38" s="4"/>
      <c r="AN38" s="4"/>
      <c r="AO38" s="4"/>
      <c r="AP38" s="4"/>
      <c r="AQ38" s="4"/>
      <c r="AR38" s="4"/>
      <c r="AS38" s="6"/>
      <c r="AT38" s="4"/>
      <c r="AU38" s="4"/>
      <c r="AV38" s="4"/>
      <c r="AW38" s="4"/>
      <c r="AX38" s="4"/>
      <c r="AY38" s="4"/>
      <c r="AZ38" s="4"/>
      <c r="BA38" s="6"/>
      <c r="BB38" s="4"/>
      <c r="BC38" s="4"/>
      <c r="BD38" s="4"/>
      <c r="BE38" s="4"/>
      <c r="BF38" s="4"/>
      <c r="BG38" s="4"/>
      <c r="BH38" s="4"/>
      <c r="BI38" s="6"/>
      <c r="BJ38" s="4"/>
      <c r="BK38" s="4"/>
      <c r="BL38" s="4"/>
      <c r="BM38" s="4"/>
      <c r="BN38" s="4"/>
      <c r="BO38" s="4"/>
      <c r="BP38" s="16"/>
      <c r="BQ38" s="4"/>
      <c r="BS38" s="9"/>
      <c r="BT38" s="9"/>
      <c r="BU38" s="9"/>
      <c r="BV38" s="9"/>
      <c r="BW38" s="9"/>
      <c r="BX38" s="9"/>
      <c r="BY38" s="9"/>
      <c r="BZ38" s="9"/>
      <c r="CA38" s="7"/>
      <c r="CB38" s="4"/>
    </row>
    <row r="39" spans="5: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5: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c r="CB40" s="4"/>
    </row>
    <row r="41" spans="5:80" s="2" customFormat="1" x14ac:dyDescent="0.2">
      <c r="E41" s="15"/>
      <c r="F41" s="4"/>
      <c r="G41" s="4"/>
      <c r="H41" s="4"/>
      <c r="I41" s="4"/>
      <c r="J41" s="4"/>
      <c r="K41" s="4"/>
      <c r="L41" s="4"/>
      <c r="M41" s="6"/>
      <c r="N41" s="4"/>
      <c r="O41" s="4"/>
      <c r="P41" s="4"/>
      <c r="Q41" s="4"/>
      <c r="R41" s="4"/>
      <c r="S41" s="4"/>
      <c r="T41" s="4"/>
      <c r="U41" s="6"/>
      <c r="V41" s="4"/>
      <c r="W41" s="4"/>
      <c r="X41" s="4"/>
      <c r="Y41" s="4"/>
      <c r="Z41" s="4"/>
      <c r="AA41" s="4"/>
      <c r="AB41" s="4"/>
      <c r="AC41" s="6"/>
      <c r="AD41" s="4"/>
      <c r="AE41" s="4"/>
      <c r="AF41" s="4"/>
      <c r="AG41" s="4"/>
      <c r="AH41" s="4"/>
      <c r="AI41" s="4"/>
      <c r="AJ41" s="4"/>
      <c r="AK41" s="6"/>
      <c r="AL41" s="4"/>
      <c r="AM41" s="4"/>
      <c r="AN41" s="4"/>
      <c r="AO41" s="4"/>
      <c r="AP41" s="4"/>
      <c r="AQ41" s="4"/>
      <c r="AR41" s="4"/>
      <c r="AS41" s="6"/>
      <c r="AT41" s="4"/>
      <c r="AU41" s="4"/>
      <c r="AV41" s="4"/>
      <c r="AW41" s="4"/>
      <c r="AX41" s="4"/>
      <c r="AY41" s="4"/>
      <c r="AZ41" s="4"/>
      <c r="BA41" s="6"/>
      <c r="BB41" s="4"/>
      <c r="BC41" s="4"/>
      <c r="BD41" s="4"/>
      <c r="BE41" s="4"/>
      <c r="BF41" s="4"/>
      <c r="BG41" s="4"/>
      <c r="BH41" s="4"/>
      <c r="BI41" s="6"/>
      <c r="BJ41" s="4"/>
      <c r="BK41" s="4"/>
      <c r="BL41" s="4"/>
      <c r="BM41" s="4"/>
      <c r="BN41" s="4"/>
      <c r="BO41" s="4"/>
      <c r="BP41" s="16"/>
      <c r="BQ41" s="4"/>
      <c r="BS41" s="7"/>
      <c r="BT41" s="8"/>
      <c r="BU41" s="8"/>
      <c r="BV41" s="8"/>
      <c r="BW41" s="8"/>
      <c r="BX41" s="8"/>
      <c r="BY41" s="8"/>
      <c r="BZ41" s="8"/>
      <c r="CA41" s="8"/>
      <c r="CB41" s="4"/>
    </row>
    <row r="42" spans="5:80" s="2" customFormat="1" x14ac:dyDescent="0.2">
      <c r="E42" s="15"/>
      <c r="F42" s="4"/>
      <c r="G42" s="4"/>
      <c r="H42" s="4"/>
      <c r="I42" s="4"/>
      <c r="J42" s="4"/>
      <c r="K42" s="4"/>
      <c r="L42" s="4"/>
      <c r="M42" s="6"/>
      <c r="N42" s="4"/>
      <c r="O42" s="4"/>
      <c r="P42" s="4"/>
      <c r="Q42" s="4"/>
      <c r="R42" s="4"/>
      <c r="S42" s="4"/>
      <c r="T42" s="4"/>
      <c r="U42" s="6"/>
      <c r="V42" s="4"/>
      <c r="W42" s="4"/>
      <c r="X42" s="4"/>
      <c r="Y42" s="4"/>
      <c r="Z42" s="4"/>
      <c r="AA42" s="4"/>
      <c r="AB42" s="4"/>
      <c r="AC42" s="6"/>
      <c r="AD42" s="4"/>
      <c r="AE42" s="4"/>
      <c r="AF42" s="4"/>
      <c r="AG42" s="4"/>
      <c r="AH42" s="4"/>
      <c r="AI42" s="4"/>
      <c r="AJ42" s="4"/>
      <c r="AK42" s="6"/>
      <c r="AL42" s="4"/>
      <c r="AM42" s="4"/>
      <c r="AN42" s="4"/>
      <c r="AO42" s="4"/>
      <c r="AP42" s="4"/>
      <c r="AQ42" s="4"/>
      <c r="AR42" s="4"/>
      <c r="AS42" s="6"/>
      <c r="AT42" s="4"/>
      <c r="AU42" s="4"/>
      <c r="AV42" s="4"/>
      <c r="AW42" s="4"/>
      <c r="AX42" s="4"/>
      <c r="AY42" s="4"/>
      <c r="AZ42" s="4"/>
      <c r="BA42" s="6"/>
      <c r="BB42" s="4"/>
      <c r="BC42" s="4"/>
      <c r="BD42" s="4"/>
      <c r="BE42" s="4"/>
      <c r="BF42" s="4"/>
      <c r="BG42" s="4"/>
      <c r="BH42" s="4"/>
      <c r="BI42" s="6"/>
      <c r="BJ42" s="4"/>
      <c r="BK42" s="4"/>
      <c r="BL42" s="4"/>
      <c r="BM42" s="4"/>
      <c r="BN42" s="4"/>
      <c r="BO42" s="4"/>
      <c r="BP42" s="16"/>
      <c r="BQ42" s="4"/>
      <c r="BS42" s="9"/>
      <c r="BT42" s="7"/>
      <c r="BU42" s="8"/>
      <c r="BV42" s="8"/>
      <c r="BW42" s="8"/>
      <c r="BX42" s="8"/>
      <c r="BY42" s="8"/>
      <c r="BZ42" s="8"/>
      <c r="CA42" s="8"/>
      <c r="CB42" s="4"/>
    </row>
    <row r="43" spans="5:80" s="2" customFormat="1" x14ac:dyDescent="0.2">
      <c r="E43" s="15"/>
      <c r="F43" s="4"/>
      <c r="G43" s="4"/>
      <c r="H43" s="4"/>
      <c r="I43" s="4"/>
      <c r="J43" s="4"/>
      <c r="K43" s="4"/>
      <c r="L43" s="4"/>
      <c r="M43" s="6"/>
      <c r="N43" s="4"/>
      <c r="O43" s="4"/>
      <c r="P43" s="4"/>
      <c r="Q43" s="4"/>
      <c r="R43" s="4"/>
      <c r="S43" s="4"/>
      <c r="T43" s="4"/>
      <c r="U43" s="6"/>
      <c r="V43" s="4"/>
      <c r="W43" s="4"/>
      <c r="X43" s="4"/>
      <c r="Y43" s="4"/>
      <c r="Z43" s="4"/>
      <c r="AA43" s="4"/>
      <c r="AB43" s="4"/>
      <c r="AC43" s="6"/>
      <c r="AD43" s="4"/>
      <c r="AE43" s="4"/>
      <c r="AF43" s="4"/>
      <c r="AG43" s="4"/>
      <c r="AH43" s="4"/>
      <c r="AI43" s="4"/>
      <c r="AJ43" s="4"/>
      <c r="AK43" s="6"/>
      <c r="AL43" s="4"/>
      <c r="AM43" s="4"/>
      <c r="AN43" s="4"/>
      <c r="AO43" s="4"/>
      <c r="AP43" s="4"/>
      <c r="AQ43" s="4"/>
      <c r="AR43" s="4"/>
      <c r="AS43" s="6"/>
      <c r="AT43" s="4"/>
      <c r="AU43" s="4"/>
      <c r="AV43" s="4"/>
      <c r="AW43" s="4"/>
      <c r="AX43" s="4"/>
      <c r="AY43" s="4"/>
      <c r="AZ43" s="4"/>
      <c r="BA43" s="6"/>
      <c r="BB43" s="4"/>
      <c r="BC43" s="4"/>
      <c r="BD43" s="4"/>
      <c r="BE43" s="4"/>
      <c r="BF43" s="4"/>
      <c r="BG43" s="4"/>
      <c r="BH43" s="4"/>
      <c r="BI43" s="6"/>
      <c r="BJ43" s="4"/>
      <c r="BK43" s="4"/>
      <c r="BL43" s="4"/>
      <c r="BM43" s="4"/>
      <c r="BN43" s="4"/>
      <c r="BO43" s="4"/>
      <c r="BP43" s="16"/>
      <c r="BQ43" s="4"/>
      <c r="BS43" s="9"/>
      <c r="BT43" s="9"/>
      <c r="BU43" s="7"/>
      <c r="BV43" s="8"/>
      <c r="BW43" s="8"/>
      <c r="BX43" s="8"/>
      <c r="BY43" s="8"/>
      <c r="BZ43" s="8"/>
      <c r="CA43" s="8"/>
      <c r="CB43" s="4"/>
    </row>
    <row r="44" spans="5:80" s="2" customFormat="1" x14ac:dyDescent="0.2">
      <c r="E44" s="15"/>
      <c r="F44" s="4"/>
      <c r="G44" s="4"/>
      <c r="H44" s="4"/>
      <c r="I44" s="4"/>
      <c r="J44" s="4"/>
      <c r="K44" s="4"/>
      <c r="L44" s="4"/>
      <c r="M44" s="6"/>
      <c r="N44" s="4"/>
      <c r="O44" s="4"/>
      <c r="P44" s="4"/>
      <c r="Q44" s="4"/>
      <c r="R44" s="4"/>
      <c r="S44" s="4"/>
      <c r="T44" s="4"/>
      <c r="U44" s="6"/>
      <c r="V44" s="4"/>
      <c r="W44" s="4"/>
      <c r="X44" s="4"/>
      <c r="Y44" s="4"/>
      <c r="Z44" s="4"/>
      <c r="AA44" s="4"/>
      <c r="AB44" s="4"/>
      <c r="AC44" s="6"/>
      <c r="AD44" s="4"/>
      <c r="AE44" s="4"/>
      <c r="AF44" s="4"/>
      <c r="AG44" s="4"/>
      <c r="AH44" s="4"/>
      <c r="AI44" s="4"/>
      <c r="AJ44" s="4"/>
      <c r="AK44" s="6"/>
      <c r="AL44" s="4"/>
      <c r="AM44" s="4"/>
      <c r="AN44" s="4"/>
      <c r="AO44" s="4"/>
      <c r="AP44" s="4"/>
      <c r="AQ44" s="4"/>
      <c r="AR44" s="4"/>
      <c r="AS44" s="6"/>
      <c r="AT44" s="4"/>
      <c r="AU44" s="4"/>
      <c r="AV44" s="4"/>
      <c r="AW44" s="4"/>
      <c r="AX44" s="4"/>
      <c r="AY44" s="4"/>
      <c r="AZ44" s="4"/>
      <c r="BA44" s="6"/>
      <c r="BB44" s="4"/>
      <c r="BC44" s="4"/>
      <c r="BD44" s="4"/>
      <c r="BE44" s="4"/>
      <c r="BF44" s="4"/>
      <c r="BG44" s="4"/>
      <c r="BH44" s="4"/>
      <c r="BI44" s="6"/>
      <c r="BJ44" s="4"/>
      <c r="BK44" s="4"/>
      <c r="BL44" s="4"/>
      <c r="BM44" s="4"/>
      <c r="BN44" s="4"/>
      <c r="BO44" s="4"/>
      <c r="BP44" s="16"/>
      <c r="BQ44" s="4"/>
      <c r="BS44" s="9"/>
      <c r="BT44" s="9"/>
      <c r="BU44" s="9"/>
      <c r="BV44" s="7"/>
      <c r="BW44" s="8"/>
      <c r="BX44" s="8"/>
      <c r="BY44" s="8"/>
      <c r="BZ44" s="8"/>
      <c r="CA44" s="8"/>
      <c r="CB44" s="4"/>
    </row>
    <row r="45" spans="5:80" s="2" customFormat="1" x14ac:dyDescent="0.2">
      <c r="E45" s="15"/>
      <c r="F45" s="4"/>
      <c r="G45" s="4"/>
      <c r="H45" s="4"/>
      <c r="I45" s="4"/>
      <c r="J45" s="4"/>
      <c r="K45" s="4"/>
      <c r="L45" s="4"/>
      <c r="M45" s="6"/>
      <c r="N45" s="4"/>
      <c r="O45" s="4"/>
      <c r="P45" s="4"/>
      <c r="Q45" s="4"/>
      <c r="R45" s="4"/>
      <c r="S45" s="4"/>
      <c r="T45" s="4"/>
      <c r="U45" s="6"/>
      <c r="V45" s="4"/>
      <c r="W45" s="4"/>
      <c r="X45" s="4"/>
      <c r="Y45" s="4"/>
      <c r="Z45" s="4"/>
      <c r="AA45" s="4"/>
      <c r="AB45" s="4"/>
      <c r="AC45" s="6"/>
      <c r="AD45" s="4"/>
      <c r="AE45" s="4"/>
      <c r="AF45" s="4"/>
      <c r="AG45" s="4"/>
      <c r="AH45" s="4"/>
      <c r="AI45" s="4"/>
      <c r="AJ45" s="4"/>
      <c r="AK45" s="6"/>
      <c r="AL45" s="4"/>
      <c r="AM45" s="4"/>
      <c r="AN45" s="4"/>
      <c r="AO45" s="4"/>
      <c r="AP45" s="4"/>
      <c r="AQ45" s="4"/>
      <c r="AR45" s="4"/>
      <c r="AS45" s="6"/>
      <c r="AT45" s="4"/>
      <c r="AU45" s="4"/>
      <c r="AV45" s="4"/>
      <c r="AW45" s="4"/>
      <c r="AX45" s="4"/>
      <c r="AY45" s="4"/>
      <c r="AZ45" s="4"/>
      <c r="BA45" s="6"/>
      <c r="BB45" s="4"/>
      <c r="BC45" s="4"/>
      <c r="BD45" s="4"/>
      <c r="BE45" s="4"/>
      <c r="BF45" s="4"/>
      <c r="BG45" s="4"/>
      <c r="BH45" s="4"/>
      <c r="BI45" s="6"/>
      <c r="BJ45" s="4"/>
      <c r="BK45" s="4"/>
      <c r="BL45" s="4"/>
      <c r="BM45" s="4"/>
      <c r="BN45" s="4"/>
      <c r="BO45" s="4"/>
      <c r="BP45" s="16"/>
      <c r="BQ45" s="4"/>
      <c r="BS45" s="9"/>
      <c r="BT45" s="9"/>
      <c r="BU45" s="9"/>
      <c r="BV45" s="9"/>
      <c r="BW45" s="7"/>
      <c r="BX45" s="8"/>
      <c r="BY45" s="8"/>
      <c r="BZ45" s="8"/>
      <c r="CA45" s="8"/>
      <c r="CB45" s="4"/>
    </row>
    <row r="46" spans="5:80" s="2" customFormat="1" x14ac:dyDescent="0.2">
      <c r="E46" s="15"/>
      <c r="F46" s="4"/>
      <c r="G46" s="4"/>
      <c r="H46" s="4"/>
      <c r="I46" s="4"/>
      <c r="J46" s="4"/>
      <c r="K46" s="4"/>
      <c r="L46" s="4"/>
      <c r="M46" s="6"/>
      <c r="N46" s="4"/>
      <c r="O46" s="4"/>
      <c r="P46" s="4"/>
      <c r="Q46" s="4"/>
      <c r="R46" s="4"/>
      <c r="S46" s="4"/>
      <c r="T46" s="4"/>
      <c r="U46" s="6"/>
      <c r="V46" s="4"/>
      <c r="W46" s="4"/>
      <c r="X46" s="4"/>
      <c r="Y46" s="4"/>
      <c r="Z46" s="4"/>
      <c r="AA46" s="4"/>
      <c r="AB46" s="4"/>
      <c r="AC46" s="6"/>
      <c r="AD46" s="4"/>
      <c r="AE46" s="4"/>
      <c r="AF46" s="4"/>
      <c r="AG46" s="4"/>
      <c r="AH46" s="4"/>
      <c r="AI46" s="4"/>
      <c r="AJ46" s="4"/>
      <c r="AK46" s="6"/>
      <c r="AL46" s="4"/>
      <c r="AM46" s="4"/>
      <c r="AN46" s="4"/>
      <c r="AO46" s="4"/>
      <c r="AP46" s="4"/>
      <c r="AQ46" s="4"/>
      <c r="AR46" s="4"/>
      <c r="AS46" s="6"/>
      <c r="AT46" s="4"/>
      <c r="AU46" s="4"/>
      <c r="AV46" s="4"/>
      <c r="AW46" s="4"/>
      <c r="AX46" s="4"/>
      <c r="AY46" s="4"/>
      <c r="AZ46" s="4"/>
      <c r="BA46" s="6"/>
      <c r="BB46" s="4"/>
      <c r="BC46" s="4"/>
      <c r="BD46" s="4"/>
      <c r="BE46" s="4"/>
      <c r="BF46" s="4"/>
      <c r="BG46" s="4"/>
      <c r="BH46" s="4"/>
      <c r="BI46" s="6"/>
      <c r="BJ46" s="4"/>
      <c r="BK46" s="4"/>
      <c r="BL46" s="4"/>
      <c r="BM46" s="4"/>
      <c r="BN46" s="4"/>
      <c r="BO46" s="4"/>
      <c r="BP46" s="16"/>
      <c r="BQ46" s="4"/>
      <c r="BS46" s="9"/>
      <c r="BT46" s="9"/>
      <c r="BU46" s="9"/>
      <c r="BV46" s="9"/>
      <c r="BW46" s="9"/>
      <c r="BX46" s="7"/>
      <c r="BY46" s="8"/>
      <c r="BZ46" s="8"/>
      <c r="CA46" s="8"/>
      <c r="CB46" s="4"/>
    </row>
    <row r="47" spans="5:80" s="2" customFormat="1" x14ac:dyDescent="0.2">
      <c r="E47" s="15"/>
      <c r="F47" s="4"/>
      <c r="G47" s="4"/>
      <c r="H47" s="4"/>
      <c r="I47" s="4"/>
      <c r="J47" s="4"/>
      <c r="K47" s="4"/>
      <c r="L47" s="4"/>
      <c r="M47" s="6"/>
      <c r="N47" s="4"/>
      <c r="O47" s="4"/>
      <c r="P47" s="4"/>
      <c r="Q47" s="4"/>
      <c r="R47" s="4"/>
      <c r="S47" s="4"/>
      <c r="T47" s="4"/>
      <c r="U47" s="6"/>
      <c r="V47" s="4"/>
      <c r="W47" s="4"/>
      <c r="X47" s="4"/>
      <c r="Y47" s="4"/>
      <c r="Z47" s="4"/>
      <c r="AA47" s="4"/>
      <c r="AB47" s="4"/>
      <c r="AC47" s="6"/>
      <c r="AD47" s="4"/>
      <c r="AE47" s="4"/>
      <c r="AF47" s="4"/>
      <c r="AG47" s="4"/>
      <c r="AH47" s="4"/>
      <c r="AI47" s="4"/>
      <c r="AJ47" s="4"/>
      <c r="AK47" s="6"/>
      <c r="AL47" s="4"/>
      <c r="AM47" s="4"/>
      <c r="AN47" s="4"/>
      <c r="AO47" s="4"/>
      <c r="AP47" s="4"/>
      <c r="AQ47" s="4"/>
      <c r="AR47" s="4"/>
      <c r="AS47" s="6"/>
      <c r="AT47" s="4"/>
      <c r="AU47" s="4"/>
      <c r="AV47" s="4"/>
      <c r="AW47" s="4"/>
      <c r="AX47" s="4"/>
      <c r="AY47" s="4"/>
      <c r="AZ47" s="4"/>
      <c r="BA47" s="6"/>
      <c r="BB47" s="4"/>
      <c r="BC47" s="4"/>
      <c r="BD47" s="4"/>
      <c r="BE47" s="4"/>
      <c r="BF47" s="4"/>
      <c r="BG47" s="4"/>
      <c r="BH47" s="4"/>
      <c r="BI47" s="6"/>
      <c r="BJ47" s="4"/>
      <c r="BK47" s="4"/>
      <c r="BL47" s="4"/>
      <c r="BM47" s="4"/>
      <c r="BN47" s="4"/>
      <c r="BO47" s="4"/>
      <c r="BP47" s="16"/>
      <c r="BQ47" s="4"/>
      <c r="BS47" s="9"/>
      <c r="BT47" s="9"/>
      <c r="BU47" s="9"/>
      <c r="BV47" s="9"/>
      <c r="BW47" s="9"/>
      <c r="BX47" s="9"/>
      <c r="BY47" s="7"/>
      <c r="BZ47" s="8"/>
      <c r="CA47" s="8"/>
      <c r="CB47" s="4"/>
    </row>
    <row r="48" spans="5:80" s="2" customFormat="1" x14ac:dyDescent="0.2">
      <c r="E48" s="15"/>
      <c r="F48" s="4"/>
      <c r="G48" s="4"/>
      <c r="H48" s="4"/>
      <c r="I48" s="4"/>
      <c r="J48" s="4"/>
      <c r="K48" s="4"/>
      <c r="L48" s="4"/>
      <c r="M48" s="6"/>
      <c r="N48" s="4"/>
      <c r="O48" s="4"/>
      <c r="P48" s="4"/>
      <c r="Q48" s="4"/>
      <c r="R48" s="4"/>
      <c r="S48" s="4"/>
      <c r="T48" s="4"/>
      <c r="U48" s="6"/>
      <c r="V48" s="4"/>
      <c r="W48" s="4"/>
      <c r="X48" s="4"/>
      <c r="Y48" s="4"/>
      <c r="Z48" s="4"/>
      <c r="AA48" s="4"/>
      <c r="AB48" s="4"/>
      <c r="AC48" s="6"/>
      <c r="AD48" s="4"/>
      <c r="AE48" s="4"/>
      <c r="AF48" s="4"/>
      <c r="AG48" s="4"/>
      <c r="AH48" s="4"/>
      <c r="AI48" s="4"/>
      <c r="AJ48" s="4"/>
      <c r="AK48" s="6"/>
      <c r="AL48" s="4"/>
      <c r="AM48" s="4"/>
      <c r="AN48" s="4"/>
      <c r="AO48" s="4"/>
      <c r="AP48" s="4"/>
      <c r="AQ48" s="4"/>
      <c r="AR48" s="4"/>
      <c r="AS48" s="6"/>
      <c r="AT48" s="4"/>
      <c r="AU48" s="4"/>
      <c r="AV48" s="4"/>
      <c r="AW48" s="4"/>
      <c r="AX48" s="4"/>
      <c r="AY48" s="4"/>
      <c r="AZ48" s="4"/>
      <c r="BA48" s="6"/>
      <c r="BB48" s="4"/>
      <c r="BC48" s="4"/>
      <c r="BD48" s="4"/>
      <c r="BE48" s="4"/>
      <c r="BF48" s="4"/>
      <c r="BG48" s="4"/>
      <c r="BH48" s="4"/>
      <c r="BI48" s="6"/>
      <c r="BJ48" s="4"/>
      <c r="BK48" s="4"/>
      <c r="BL48" s="4"/>
      <c r="BM48" s="4"/>
      <c r="BN48" s="4"/>
      <c r="BO48" s="4"/>
      <c r="BP48" s="16"/>
      <c r="BQ48" s="4"/>
      <c r="BS48" s="9"/>
      <c r="BT48" s="9"/>
      <c r="BU48" s="9"/>
      <c r="BV48" s="9"/>
      <c r="BW48" s="9"/>
      <c r="BX48" s="9"/>
      <c r="BY48" s="9"/>
      <c r="BZ48" s="7"/>
      <c r="CA48" s="8"/>
      <c r="CB48" s="4"/>
    </row>
    <row r="49" spans="5:80" s="2" customFormat="1" x14ac:dyDescent="0.2">
      <c r="E49" s="15"/>
      <c r="F49" s="4"/>
      <c r="G49" s="4"/>
      <c r="H49" s="4"/>
      <c r="I49" s="4"/>
      <c r="J49" s="4"/>
      <c r="K49" s="4"/>
      <c r="L49" s="4"/>
      <c r="M49" s="6"/>
      <c r="N49" s="4"/>
      <c r="O49" s="4"/>
      <c r="P49" s="4"/>
      <c r="Q49" s="4"/>
      <c r="R49" s="4"/>
      <c r="S49" s="4"/>
      <c r="T49" s="4"/>
      <c r="U49" s="6"/>
      <c r="V49" s="4"/>
      <c r="W49" s="4"/>
      <c r="X49" s="4"/>
      <c r="Y49" s="4"/>
      <c r="Z49" s="4"/>
      <c r="AA49" s="4"/>
      <c r="AB49" s="4"/>
      <c r="AC49" s="6"/>
      <c r="AD49" s="4"/>
      <c r="AE49" s="4"/>
      <c r="AF49" s="4"/>
      <c r="AG49" s="4"/>
      <c r="AH49" s="4"/>
      <c r="AI49" s="4"/>
      <c r="AJ49" s="4"/>
      <c r="AK49" s="6"/>
      <c r="AL49" s="4"/>
      <c r="AM49" s="4"/>
      <c r="AN49" s="4"/>
      <c r="AO49" s="4"/>
      <c r="AP49" s="4"/>
      <c r="AQ49" s="4"/>
      <c r="AR49" s="4"/>
      <c r="AS49" s="6"/>
      <c r="AT49" s="4"/>
      <c r="AU49" s="4"/>
      <c r="AV49" s="4"/>
      <c r="AW49" s="4"/>
      <c r="AX49" s="4"/>
      <c r="AY49" s="4"/>
      <c r="AZ49" s="4"/>
      <c r="BA49" s="6"/>
      <c r="BB49" s="4"/>
      <c r="BC49" s="4"/>
      <c r="BD49" s="4"/>
      <c r="BE49" s="4"/>
      <c r="BF49" s="4"/>
      <c r="BG49" s="4"/>
      <c r="BH49" s="4"/>
      <c r="BI49" s="6"/>
      <c r="BJ49" s="4"/>
      <c r="BK49" s="4"/>
      <c r="BL49" s="4"/>
      <c r="BM49" s="4"/>
      <c r="BN49" s="4"/>
      <c r="BO49" s="4"/>
      <c r="BP49" s="16"/>
      <c r="BQ49" s="4"/>
      <c r="BS49" s="9"/>
      <c r="BT49" s="9"/>
      <c r="BU49" s="9"/>
      <c r="BV49" s="9"/>
      <c r="BW49" s="9"/>
      <c r="BX49" s="9"/>
      <c r="BY49" s="9"/>
      <c r="BZ49" s="9"/>
      <c r="CA49" s="7"/>
      <c r="CB49" s="4"/>
    </row>
    <row r="50" spans="5: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5: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c r="CB51" s="4"/>
    </row>
    <row r="52" spans="5: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S52" s="7"/>
      <c r="BT52" s="8"/>
      <c r="BU52" s="8"/>
      <c r="BV52" s="8"/>
      <c r="BW52" s="8"/>
      <c r="BX52" s="8"/>
      <c r="BY52" s="8"/>
      <c r="BZ52" s="8"/>
      <c r="CA52" s="8"/>
      <c r="CB52" s="4"/>
    </row>
    <row r="53" spans="5: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S53" s="9"/>
      <c r="BT53" s="7"/>
      <c r="BU53" s="8"/>
      <c r="BV53" s="8"/>
      <c r="BW53" s="8"/>
      <c r="BX53" s="8"/>
      <c r="BY53" s="8"/>
      <c r="BZ53" s="8"/>
      <c r="CA53" s="8"/>
      <c r="CB53" s="4"/>
    </row>
    <row r="54" spans="5: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S54" s="9"/>
      <c r="BT54" s="9"/>
      <c r="BU54" s="7"/>
      <c r="BV54" s="8"/>
      <c r="BW54" s="8"/>
      <c r="BX54" s="8"/>
      <c r="BY54" s="8"/>
      <c r="BZ54" s="8"/>
      <c r="CA54" s="8"/>
      <c r="CB54" s="4"/>
    </row>
    <row r="55" spans="5: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S55" s="9"/>
      <c r="BT55" s="9"/>
      <c r="BU55" s="9"/>
      <c r="BV55" s="7"/>
      <c r="BW55" s="8"/>
      <c r="BX55" s="8"/>
      <c r="BY55" s="8"/>
      <c r="BZ55" s="8"/>
      <c r="CA55" s="8"/>
      <c r="CB55" s="4"/>
    </row>
    <row r="56" spans="5: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S56" s="9"/>
      <c r="BT56" s="9"/>
      <c r="BU56" s="9"/>
      <c r="BV56" s="9"/>
      <c r="BW56" s="7"/>
      <c r="BX56" s="8"/>
      <c r="BY56" s="8"/>
      <c r="BZ56" s="8"/>
      <c r="CA56" s="8"/>
      <c r="CB56" s="4"/>
    </row>
    <row r="57" spans="5: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S57" s="9"/>
      <c r="BT57" s="9"/>
      <c r="BU57" s="9"/>
      <c r="BV57" s="9"/>
      <c r="BW57" s="9"/>
      <c r="BX57" s="7"/>
      <c r="BY57" s="8"/>
      <c r="BZ57" s="8"/>
      <c r="CA57" s="8"/>
      <c r="CB57" s="4"/>
    </row>
    <row r="58" spans="5: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S58" s="9"/>
      <c r="BT58" s="9"/>
      <c r="BU58" s="9"/>
      <c r="BV58" s="9"/>
      <c r="BW58" s="9"/>
      <c r="BX58" s="9"/>
      <c r="BY58" s="7"/>
      <c r="BZ58" s="8"/>
      <c r="CA58" s="8"/>
      <c r="CB58" s="4"/>
    </row>
    <row r="59" spans="5: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S59" s="9"/>
      <c r="BT59" s="9"/>
      <c r="BU59" s="9"/>
      <c r="BV59" s="9"/>
      <c r="BW59" s="9"/>
      <c r="BX59" s="9"/>
      <c r="BY59" s="9"/>
      <c r="BZ59" s="7"/>
      <c r="CA59" s="8"/>
      <c r="CB59" s="4"/>
    </row>
    <row r="60" spans="5: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S60" s="9"/>
      <c r="BT60" s="9"/>
      <c r="BU60" s="9"/>
      <c r="BV60" s="9"/>
      <c r="BW60" s="9"/>
      <c r="BX60" s="9"/>
      <c r="BY60" s="9"/>
      <c r="BZ60" s="9"/>
      <c r="CA60" s="7"/>
      <c r="CB60" s="4"/>
    </row>
    <row r="61" spans="5:80" s="2" customFormat="1" ht="12.75" thickTop="1" x14ac:dyDescent="0.2">
      <c r="AC61" s="4"/>
      <c r="AD61" s="4"/>
      <c r="AE61" s="4"/>
      <c r="AF61" s="4"/>
      <c r="AG61" s="4"/>
      <c r="AH61" s="4"/>
      <c r="AI61" s="4"/>
      <c r="AJ61" s="4"/>
      <c r="AK61" s="4"/>
      <c r="AL61" s="4"/>
      <c r="AM61" s="4"/>
      <c r="AN61" s="4"/>
      <c r="AO61" s="4"/>
      <c r="AP61" s="4"/>
      <c r="AQ61" s="4"/>
      <c r="AR61" s="4"/>
    </row>
    <row r="62" spans="5:80" s="2" customFormat="1" x14ac:dyDescent="0.2">
      <c r="AC62" s="4"/>
      <c r="AD62" s="4"/>
      <c r="AE62" s="4"/>
      <c r="AF62" s="4"/>
      <c r="AG62" s="4"/>
      <c r="AH62" s="4"/>
      <c r="AI62" s="4"/>
      <c r="AJ62" s="4"/>
      <c r="AK62" s="4"/>
      <c r="AL62" s="4"/>
      <c r="AM62" s="4"/>
      <c r="AN62" s="4"/>
      <c r="AO62" s="4"/>
      <c r="AP62" s="4"/>
      <c r="AQ62" s="4"/>
      <c r="AR62" s="4"/>
    </row>
    <row r="63" spans="5:80" s="2" customFormat="1" ht="13.5" customHeight="1" thickBot="1" x14ac:dyDescent="0.25">
      <c r="F63" s="186" t="s">
        <v>164</v>
      </c>
      <c r="X63" s="1033" t="s">
        <v>366</v>
      </c>
      <c r="Y63" s="1033"/>
      <c r="Z63" s="160" t="s">
        <v>150</v>
      </c>
      <c r="AA63" s="160" t="s">
        <v>15</v>
      </c>
      <c r="AB63" s="160" t="s">
        <v>445</v>
      </c>
      <c r="AC63" s="651" t="s">
        <v>444</v>
      </c>
      <c r="AD63" s="1034" t="s">
        <v>367</v>
      </c>
      <c r="AE63" s="1034"/>
      <c r="AF63" s="1034" t="s">
        <v>374</v>
      </c>
      <c r="AG63" s="1034"/>
      <c r="AH63" s="1030" t="s">
        <v>445</v>
      </c>
      <c r="AI63" s="1030"/>
      <c r="AJ63" s="1030" t="s">
        <v>444</v>
      </c>
      <c r="AK63" s="1030"/>
      <c r="AL63" s="1034" t="s">
        <v>109</v>
      </c>
      <c r="AM63" s="1034"/>
    </row>
    <row r="64" spans="5:80" s="2" customFormat="1" ht="14.25" thickTop="1" thickBot="1" x14ac:dyDescent="0.25">
      <c r="F64" s="767">
        <v>1000000</v>
      </c>
      <c r="G64" s="770" t="s">
        <v>440</v>
      </c>
      <c r="P64" s="663"/>
      <c r="Q64" s="664"/>
      <c r="U64" s="65" t="s">
        <v>6</v>
      </c>
      <c r="V64" s="39" t="str">
        <f ca="1">'Endrunde 4'!$H12</f>
        <v/>
      </c>
      <c r="W64" s="32" t="str">
        <f ca="1">'Endrunde 4'!$J12</f>
        <v/>
      </c>
      <c r="X64" s="32" t="str">
        <f ca="1">IF(AND($AA64=1,'Endrunde 4'!$K12&lt;&gt;"",'Endrunde 4'!$M12&lt;&gt;"",ABS('Endrunde 4'!$K12-'Endrunde 4'!$M12)&gt;1),'Endrunde 4'!$K12,"")</f>
        <v/>
      </c>
      <c r="Y64" s="33" t="str">
        <f ca="1">IF(AND($AA64=1,'Endrunde 4'!$K12&lt;&gt;"",'Endrunde 4'!$M12&lt;&gt;"",ABS('Endrunde 4'!$K12-'Endrunde 4'!$M12)&gt;1),'Endrunde 4'!$M12,"")</f>
        <v/>
      </c>
      <c r="Z64" s="31" t="str">
        <f ca="1">V64&amp;W64</f>
        <v/>
      </c>
      <c r="AA64" s="32">
        <f ca="1">IF(AND(V64&lt;&gt;"",W64&lt;&gt;"",V64&lt;&gt;W64,'Endrunde 4'!$T12&lt;&gt;"",'Endrunde 4'!$V12&lt;&gt;""),1,0)</f>
        <v>0</v>
      </c>
      <c r="AB64" s="139" t="str">
        <f ca="1">IF(AA64&gt;0,AH64&amp;Sprache!$E$109&amp;AI64,"")</f>
        <v/>
      </c>
      <c r="AC64" s="140" t="str">
        <f ca="1">IF(AA64&gt;0,AJ64&amp;Sprache!$E$109&amp;AK64,"")</f>
        <v/>
      </c>
      <c r="AD64" s="144" t="str">
        <f ca="1">IF(AND($AA64=1,'Endrunde 4'!$N12&lt;&gt;"",'Endrunde 4'!$P12&lt;&gt;"",ABS('Endrunde 4'!$N12-'Endrunde 4'!$P12)&gt;1),'Endrunde 4'!$N12,"")</f>
        <v/>
      </c>
      <c r="AE64" s="140" t="str">
        <f ca="1">IF(AND($AA64=1,'Endrunde 4'!$N12&lt;&gt;"",'Endrunde 4'!$P12&lt;&gt;"",ABS('Endrunde 4'!$N12-'Endrunde 4'!$P12)&gt;1),'Endrunde 4'!$P12,"")</f>
        <v/>
      </c>
      <c r="AF64" s="144" t="str">
        <f ca="1">IF(AND($AA64=1,'Endrunde 4'!$Q12&lt;&gt;"",'Endrunde 4'!$S12&lt;&gt;"",ABS('Endrunde 4'!$Q12-'Endrunde 4'!$S12)&gt;1),'Endrunde 4'!$Q12,"")</f>
        <v/>
      </c>
      <c r="AG64" s="140" t="str">
        <f ca="1">IF(AND($AA64=1,'Endrunde 4'!$Q12&lt;&gt;"",'Endrunde 4'!$S12&lt;&gt;"",ABS('Endrunde 4'!$Q12-'Endrunde 4'!$S12)&gt;1),'Endrunde 4'!$S12,"")</f>
        <v/>
      </c>
      <c r="AH64" s="144" t="str">
        <f ca="1">IF(AA64&gt;0,SUM(X64,AD64,AF64),"")</f>
        <v/>
      </c>
      <c r="AI64" s="140" t="str">
        <f ca="1">IF(AA64&gt;0,SUM(Y64,AE64,AG64),"")</f>
        <v/>
      </c>
      <c r="AJ64" s="144">
        <f ca="1">IF('Endrunde 4'!$T12="",0,'Endrunde 4'!$T12)</f>
        <v>0</v>
      </c>
      <c r="AK64" s="140">
        <f ca="1">IF('Endrunde 4'!$V12="",0,'Endrunde 4'!$V12)</f>
        <v>0</v>
      </c>
      <c r="AL64" s="144" t="str">
        <f ca="1">IF($AA64=0,"",IF($AJ64&gt;$AK64,Einstellungen!$C$4,IF($AJ64=$AK64,1,0)))</f>
        <v/>
      </c>
      <c r="AM64" s="140" t="str">
        <f ca="1">IF($AA64=0,"",IF($AJ64&lt;$AK64,Einstellungen!$C$4,IF($AJ64=$AK64,1,0)))</f>
        <v/>
      </c>
    </row>
    <row r="65" spans="2:39" s="2" customFormat="1" ht="13.5" thickBot="1" x14ac:dyDescent="0.25">
      <c r="F65" s="768">
        <v>1000</v>
      </c>
      <c r="G65" s="771" t="s">
        <v>441</v>
      </c>
      <c r="H65" s="766">
        <v>500</v>
      </c>
      <c r="I65" s="187" t="s">
        <v>359</v>
      </c>
      <c r="P65" s="663"/>
      <c r="Q65" s="664"/>
      <c r="U65" s="66" t="s">
        <v>7</v>
      </c>
      <c r="V65" s="40" t="str">
        <f ca="1">'Endrunde 4'!$H13</f>
        <v>Maibach 1822 eV</v>
      </c>
      <c r="W65" s="13" t="str">
        <f ca="1">'Endrunde 4'!$J13</f>
        <v>FC Grönlingen</v>
      </c>
      <c r="X65" s="13">
        <f ca="1">IF(AND($AA65=1,'Endrunde 4'!$K13&lt;&gt;"",'Endrunde 4'!$M13&lt;&gt;"",ABS('Endrunde 4'!$K13-'Endrunde 4'!$M13)&gt;1),'Endrunde 4'!$K13,"")</f>
        <v>25</v>
      </c>
      <c r="Y65" s="35">
        <f ca="1">IF(AND($AA65=1,'Endrunde 4'!$K13&lt;&gt;"",'Endrunde 4'!$M13&lt;&gt;"",ABS('Endrunde 4'!$K13-'Endrunde 4'!$M13)&gt;1),'Endrunde 4'!$M13,"")</f>
        <v>19</v>
      </c>
      <c r="Z65" s="34" t="str">
        <f t="shared" ref="Z65:Z73" ca="1" si="0">V65&amp;W65</f>
        <v>Maibach 1822 eVFC Grönlingen</v>
      </c>
      <c r="AA65" s="809">
        <f ca="1">IF(AND(V65&lt;&gt;"",W65&lt;&gt;"",V65&lt;&gt;W65,'Endrunde 4'!$T13&lt;&gt;"",'Endrunde 4'!$V13&lt;&gt;""),1,0)</f>
        <v>1</v>
      </c>
      <c r="AB65" s="809" t="str">
        <f ca="1">IF(AA65&gt;0,AH65&amp;Sprache!$E$109&amp;AI65,"")</f>
        <v>70 : 66</v>
      </c>
      <c r="AC65" s="141" t="str">
        <f ca="1">IF(AA65&gt;0,AJ65&amp;Sprache!$E$109&amp;AK65,"")</f>
        <v>2 : 1</v>
      </c>
      <c r="AD65" s="145">
        <f ca="1">IF(AND($AA65=1,'Endrunde 4'!$N13&lt;&gt;"",'Endrunde 4'!$P13&lt;&gt;"",ABS('Endrunde 4'!$N13-'Endrunde 4'!$P13)&gt;1),'Endrunde 4'!$N13,"")</f>
        <v>20</v>
      </c>
      <c r="AE65" s="141">
        <f ca="1">IF(AND($AA65=1,'Endrunde 4'!$N13&lt;&gt;"",'Endrunde 4'!$P13&lt;&gt;"",ABS('Endrunde 4'!$N13-'Endrunde 4'!$P13)&gt;1),'Endrunde 4'!$P13,"")</f>
        <v>25</v>
      </c>
      <c r="AF65" s="145">
        <f ca="1">IF(AND($AA65=1,'Endrunde 4'!$Q13&lt;&gt;"",'Endrunde 4'!$S13&lt;&gt;"",ABS('Endrunde 4'!$Q13-'Endrunde 4'!$S13)&gt;1),'Endrunde 4'!$Q13,"")</f>
        <v>25</v>
      </c>
      <c r="AG65" s="141">
        <f ca="1">IF(AND($AA65=1,'Endrunde 4'!$Q13&lt;&gt;"",'Endrunde 4'!$S13&lt;&gt;"",ABS('Endrunde 4'!$Q13-'Endrunde 4'!$S13)&gt;1),'Endrunde 4'!$S13,"")</f>
        <v>22</v>
      </c>
      <c r="AH65" s="145">
        <f t="shared" ref="AH65:AH99" ca="1" si="1">IF(AA65&gt;0,SUM(X65,AD65,AF65),"")</f>
        <v>70</v>
      </c>
      <c r="AI65" s="141">
        <f t="shared" ref="AI65:AI99" ca="1" si="2">IF(AA65&gt;0,SUM(Y65,AE65,AG65),"")</f>
        <v>66</v>
      </c>
      <c r="AJ65" s="145">
        <f ca="1">IF('Endrunde 4'!$T13="",0,'Endrunde 4'!$T13)</f>
        <v>2</v>
      </c>
      <c r="AK65" s="141">
        <f ca="1">IF('Endrunde 4'!$V13="",0,'Endrunde 4'!$V13)</f>
        <v>1</v>
      </c>
      <c r="AL65" s="145">
        <f ca="1">IF($AA65=0,"",IF($AJ65&gt;$AK65,Einstellungen!$C$4,IF($AJ65=$AK65,1,0)))</f>
        <v>2</v>
      </c>
      <c r="AM65" s="141">
        <f ca="1">IF($AA65=0,"",IF($AJ65&lt;$AK65,Einstellungen!$C$4,IF($AJ65=$AK65,1,0)))</f>
        <v>0</v>
      </c>
    </row>
    <row r="66" spans="2:39" s="2" customFormat="1" ht="12.75" x14ac:dyDescent="0.2">
      <c r="F66" s="768">
        <v>1</v>
      </c>
      <c r="G66" s="771" t="s">
        <v>442</v>
      </c>
      <c r="P66" s="663"/>
      <c r="Q66" s="664"/>
      <c r="U66" s="66" t="s">
        <v>8</v>
      </c>
      <c r="V66" s="40" t="str">
        <f ca="1">'Endrunde 4'!$H14</f>
        <v>VFB Essenheim</v>
      </c>
      <c r="W66" s="13" t="str">
        <f ca="1">'Endrunde 4'!$J14</f>
        <v>SSV Wildbach</v>
      </c>
      <c r="X66" s="13">
        <f ca="1">IF(AND($AA66=1,'Endrunde 4'!$K14&lt;&gt;"",'Endrunde 4'!$M14&lt;&gt;"",ABS('Endrunde 4'!$K14-'Endrunde 4'!$M14)&gt;1),'Endrunde 4'!$K14,"")</f>
        <v>25</v>
      </c>
      <c r="Y66" s="35">
        <f ca="1">IF(AND($AA66=1,'Endrunde 4'!$K14&lt;&gt;"",'Endrunde 4'!$M14&lt;&gt;"",ABS('Endrunde 4'!$K14-'Endrunde 4'!$M14)&gt;1),'Endrunde 4'!$M14,"")</f>
        <v>21</v>
      </c>
      <c r="Z66" s="34" t="str">
        <f t="shared" ca="1" si="0"/>
        <v>VFB EssenheimSSV Wildbach</v>
      </c>
      <c r="AA66" s="809">
        <f ca="1">IF(AND(V66&lt;&gt;"",W66&lt;&gt;"",V66&lt;&gt;W66,'Endrunde 4'!$T14&lt;&gt;"",'Endrunde 4'!$V14&lt;&gt;""),1,0)</f>
        <v>1</v>
      </c>
      <c r="AB66" s="809" t="str">
        <f ca="1">IF(AA66&gt;0,AH66&amp;Sprache!$E$109&amp;AI66,"")</f>
        <v>50 : 44</v>
      </c>
      <c r="AC66" s="141" t="str">
        <f ca="1">IF(AA66&gt;0,AJ66&amp;Sprache!$E$109&amp;AK66,"")</f>
        <v>2 : 0</v>
      </c>
      <c r="AD66" s="145">
        <f ca="1">IF(AND($AA66=1,'Endrunde 4'!$N14&lt;&gt;"",'Endrunde 4'!$P14&lt;&gt;"",ABS('Endrunde 4'!$N14-'Endrunde 4'!$P14)&gt;1),'Endrunde 4'!$N14,"")</f>
        <v>25</v>
      </c>
      <c r="AE66" s="141">
        <f ca="1">IF(AND($AA66=1,'Endrunde 4'!$N14&lt;&gt;"",'Endrunde 4'!$P14&lt;&gt;"",ABS('Endrunde 4'!$N14-'Endrunde 4'!$P14)&gt;1),'Endrunde 4'!$P14,"")</f>
        <v>23</v>
      </c>
      <c r="AF66" s="145" t="str">
        <f ca="1">IF(AND($AA66=1,'Endrunde 4'!$Q14&lt;&gt;"",'Endrunde 4'!$S14&lt;&gt;"",ABS('Endrunde 4'!$Q14-'Endrunde 4'!$S14)&gt;1),'Endrunde 4'!$Q14,"")</f>
        <v/>
      </c>
      <c r="AG66" s="141" t="str">
        <f ca="1">IF(AND($AA66=1,'Endrunde 4'!$Q14&lt;&gt;"",'Endrunde 4'!$S14&lt;&gt;"",ABS('Endrunde 4'!$Q14-'Endrunde 4'!$S14)&gt;1),'Endrunde 4'!$S14,"")</f>
        <v/>
      </c>
      <c r="AH66" s="145">
        <f t="shared" ca="1" si="1"/>
        <v>50</v>
      </c>
      <c r="AI66" s="141">
        <f t="shared" ca="1" si="2"/>
        <v>44</v>
      </c>
      <c r="AJ66" s="145">
        <f ca="1">IF('Endrunde 4'!$T14="",0,'Endrunde 4'!$T14)</f>
        <v>2</v>
      </c>
      <c r="AK66" s="141">
        <f ca="1">IF('Endrunde 4'!$V14="",0,'Endrunde 4'!$V14)</f>
        <v>0</v>
      </c>
      <c r="AL66" s="145">
        <f ca="1">IF($AA66=0,"",IF($AJ66&gt;$AK66,Einstellungen!$C$4,IF($AJ66=$AK66,1,0)))</f>
        <v>2</v>
      </c>
      <c r="AM66" s="141">
        <f ca="1">IF($AA66=0,"",IF($AJ66&lt;$AK66,Einstellungen!$C$4,IF($AJ66=$AK66,1,0)))</f>
        <v>0</v>
      </c>
    </row>
    <row r="67" spans="2:39" s="2" customFormat="1" ht="12.75" thickBot="1" x14ac:dyDescent="0.25">
      <c r="F67" s="769">
        <v>1E-3</v>
      </c>
      <c r="G67" s="772" t="s">
        <v>443</v>
      </c>
      <c r="P67" s="663"/>
      <c r="Q67" s="664"/>
      <c r="U67" s="66" t="s">
        <v>9</v>
      </c>
      <c r="V67" s="40" t="str">
        <f ca="1">'Endrunde 4'!$H15</f>
        <v>1. FC Riedwald</v>
      </c>
      <c r="W67" s="13" t="str">
        <f ca="1">'Endrunde 4'!$J15</f>
        <v>Mainz 05</v>
      </c>
      <c r="X67" s="13">
        <f ca="1">IF(AND($AA67=1,'Endrunde 4'!$K15&lt;&gt;"",'Endrunde 4'!$M15&lt;&gt;"",ABS('Endrunde 4'!$K15-'Endrunde 4'!$M15)&gt;1),'Endrunde 4'!$K15,"")</f>
        <v>25</v>
      </c>
      <c r="Y67" s="35">
        <f ca="1">IF(AND($AA67=1,'Endrunde 4'!$K15&lt;&gt;"",'Endrunde 4'!$M15&lt;&gt;"",ABS('Endrunde 4'!$K15-'Endrunde 4'!$M15)&gt;1),'Endrunde 4'!$M15,"")</f>
        <v>22</v>
      </c>
      <c r="Z67" s="34" t="str">
        <f t="shared" ca="1" si="0"/>
        <v>1. FC RiedwaldMainz 05</v>
      </c>
      <c r="AA67" s="809">
        <f ca="1">IF(AND(V67&lt;&gt;"",W67&lt;&gt;"",V67&lt;&gt;W67,'Endrunde 4'!$T15&lt;&gt;"",'Endrunde 4'!$V15&lt;&gt;""),1,0)</f>
        <v>1</v>
      </c>
      <c r="AB67" s="809" t="str">
        <f ca="1">IF(AA67&gt;0,AH67&amp;Sprache!$E$109&amp;AI67,"")</f>
        <v>50 : 39</v>
      </c>
      <c r="AC67" s="141" t="str">
        <f ca="1">IF(AA67&gt;0,AJ67&amp;Sprache!$E$109&amp;AK67,"")</f>
        <v>2 : 0</v>
      </c>
      <c r="AD67" s="145">
        <f ca="1">IF(AND($AA67=1,'Endrunde 4'!$N15&lt;&gt;"",'Endrunde 4'!$P15&lt;&gt;"",ABS('Endrunde 4'!$N15-'Endrunde 4'!$P15)&gt;1),'Endrunde 4'!$N15,"")</f>
        <v>25</v>
      </c>
      <c r="AE67" s="141">
        <f ca="1">IF(AND($AA67=1,'Endrunde 4'!$N15&lt;&gt;"",'Endrunde 4'!$P15&lt;&gt;"",ABS('Endrunde 4'!$N15-'Endrunde 4'!$P15)&gt;1),'Endrunde 4'!$P15,"")</f>
        <v>17</v>
      </c>
      <c r="AF67" s="145" t="str">
        <f ca="1">IF(AND($AA67=1,'Endrunde 4'!$Q15&lt;&gt;"",'Endrunde 4'!$S15&lt;&gt;"",ABS('Endrunde 4'!$Q15-'Endrunde 4'!$S15)&gt;1),'Endrunde 4'!$Q15,"")</f>
        <v/>
      </c>
      <c r="AG67" s="141" t="str">
        <f ca="1">IF(AND($AA67=1,'Endrunde 4'!$Q15&lt;&gt;"",'Endrunde 4'!$S15&lt;&gt;"",ABS('Endrunde 4'!$Q15-'Endrunde 4'!$S15)&gt;1),'Endrunde 4'!$S15,"")</f>
        <v/>
      </c>
      <c r="AH67" s="145">
        <f t="shared" ca="1" si="1"/>
        <v>50</v>
      </c>
      <c r="AI67" s="141">
        <f t="shared" ca="1" si="2"/>
        <v>39</v>
      </c>
      <c r="AJ67" s="145">
        <f ca="1">IF('Endrunde 4'!$T15="",0,'Endrunde 4'!$T15)</f>
        <v>2</v>
      </c>
      <c r="AK67" s="141">
        <f ca="1">IF('Endrunde 4'!$V15="",0,'Endrunde 4'!$V15)</f>
        <v>0</v>
      </c>
      <c r="AL67" s="145">
        <f ca="1">IF($AA67=0,"",IF($AJ67&gt;$AK67,Einstellungen!$C$4,IF($AJ67=$AK67,1,0)))</f>
        <v>2</v>
      </c>
      <c r="AM67" s="141">
        <f ca="1">IF($AA67=0,"",IF($AJ67&lt;$AK67,Einstellungen!$C$4,IF($AJ67=$AK67,1,0)))</f>
        <v>0</v>
      </c>
    </row>
    <row r="68" spans="2:39" s="2" customFormat="1" x14ac:dyDescent="0.2">
      <c r="P68" s="663"/>
      <c r="Q68" s="664"/>
      <c r="U68" s="66" t="s">
        <v>10</v>
      </c>
      <c r="V68" s="40" t="str">
        <f ca="1">'Endrunde 4'!$H16</f>
        <v>FC Barcelona</v>
      </c>
      <c r="W68" s="13" t="str">
        <f ca="1">'Endrunde 4'!$J16</f>
        <v>Manchester City</v>
      </c>
      <c r="X68" s="13">
        <f ca="1">IF(AND($AA68=1,'Endrunde 4'!$K16&lt;&gt;"",'Endrunde 4'!$M16&lt;&gt;"",ABS('Endrunde 4'!$K16-'Endrunde 4'!$M16)&gt;1),'Endrunde 4'!$K16,"")</f>
        <v>25</v>
      </c>
      <c r="Y68" s="35">
        <f ca="1">IF(AND($AA68=1,'Endrunde 4'!$K16&lt;&gt;"",'Endrunde 4'!$M16&lt;&gt;"",ABS('Endrunde 4'!$K16-'Endrunde 4'!$M16)&gt;1),'Endrunde 4'!$M16,"")</f>
        <v>23</v>
      </c>
      <c r="Z68" s="34" t="str">
        <f t="shared" ca="1" si="0"/>
        <v>FC BarcelonaManchester City</v>
      </c>
      <c r="AA68" s="809">
        <f ca="1">IF(AND(V68&lt;&gt;"",W68&lt;&gt;"",V68&lt;&gt;W68,'Endrunde 4'!$T16&lt;&gt;"",'Endrunde 4'!$V16&lt;&gt;""),1,0)</f>
        <v>1</v>
      </c>
      <c r="AB68" s="809" t="str">
        <f ca="1">IF(AA68&gt;0,AH68&amp;Sprache!$E$109&amp;AI68,"")</f>
        <v>50 : 41</v>
      </c>
      <c r="AC68" s="141" t="str">
        <f ca="1">IF(AA68&gt;0,AJ68&amp;Sprache!$E$109&amp;AK68,"")</f>
        <v>2 : 0</v>
      </c>
      <c r="AD68" s="145">
        <f ca="1">IF(AND($AA68=1,'Endrunde 4'!$N16&lt;&gt;"",'Endrunde 4'!$P16&lt;&gt;"",ABS('Endrunde 4'!$N16-'Endrunde 4'!$P16)&gt;1),'Endrunde 4'!$N16,"")</f>
        <v>25</v>
      </c>
      <c r="AE68" s="141">
        <f ca="1">IF(AND($AA68=1,'Endrunde 4'!$N16&lt;&gt;"",'Endrunde 4'!$P16&lt;&gt;"",ABS('Endrunde 4'!$N16-'Endrunde 4'!$P16)&gt;1),'Endrunde 4'!$P16,"")</f>
        <v>18</v>
      </c>
      <c r="AF68" s="145" t="str">
        <f ca="1">IF(AND($AA68=1,'Endrunde 4'!$Q16&lt;&gt;"",'Endrunde 4'!$S16&lt;&gt;"",ABS('Endrunde 4'!$Q16-'Endrunde 4'!$S16)&gt;1),'Endrunde 4'!$Q16,"")</f>
        <v/>
      </c>
      <c r="AG68" s="141" t="str">
        <f ca="1">IF(AND($AA68=1,'Endrunde 4'!$Q16&lt;&gt;"",'Endrunde 4'!$S16&lt;&gt;"",ABS('Endrunde 4'!$Q16-'Endrunde 4'!$S16)&gt;1),'Endrunde 4'!$S16,"")</f>
        <v/>
      </c>
      <c r="AH68" s="145">
        <f t="shared" ca="1" si="1"/>
        <v>50</v>
      </c>
      <c r="AI68" s="141">
        <f t="shared" ca="1" si="2"/>
        <v>41</v>
      </c>
      <c r="AJ68" s="145">
        <f ca="1">IF('Endrunde 4'!$T16="",0,'Endrunde 4'!$T16)</f>
        <v>2</v>
      </c>
      <c r="AK68" s="141">
        <f ca="1">IF('Endrunde 4'!$V16="",0,'Endrunde 4'!$V16)</f>
        <v>0</v>
      </c>
      <c r="AL68" s="145">
        <f ca="1">IF($AA68=0,"",IF($AJ68&gt;$AK68,Einstellungen!$C$4,IF($AJ68=$AK68,1,0)))</f>
        <v>2</v>
      </c>
      <c r="AM68" s="141">
        <f ca="1">IF($AA68=0,"",IF($AJ68&lt;$AK68,Einstellungen!$C$4,IF($AJ68=$AK68,1,0)))</f>
        <v>0</v>
      </c>
    </row>
    <row r="69" spans="2:39" s="2" customFormat="1" x14ac:dyDescent="0.2">
      <c r="P69" s="663"/>
      <c r="Q69" s="664"/>
      <c r="U69" s="66" t="s">
        <v>11</v>
      </c>
      <c r="V69" s="40" t="str">
        <f ca="1">'Endrunde 4'!$H17</f>
        <v>Eintracht Frankfurt</v>
      </c>
      <c r="W69" s="13" t="str">
        <f ca="1">'Endrunde 4'!$J17</f>
        <v>Inter Mailand</v>
      </c>
      <c r="X69" s="13">
        <f ca="1">IF(AND($AA69=1,'Endrunde 4'!$K17&lt;&gt;"",'Endrunde 4'!$M17&lt;&gt;"",ABS('Endrunde 4'!$K17-'Endrunde 4'!$M17)&gt;1),'Endrunde 4'!$K17,"")</f>
        <v>25</v>
      </c>
      <c r="Y69" s="35">
        <f ca="1">IF(AND($AA69=1,'Endrunde 4'!$K17&lt;&gt;"",'Endrunde 4'!$M17&lt;&gt;"",ABS('Endrunde 4'!$K17-'Endrunde 4'!$M17)&gt;1),'Endrunde 4'!$M17,"")</f>
        <v>17</v>
      </c>
      <c r="Z69" s="34" t="str">
        <f t="shared" ca="1" si="0"/>
        <v>Eintracht FrankfurtInter Mailand</v>
      </c>
      <c r="AA69" s="809">
        <f ca="1">IF(AND(V69&lt;&gt;"",W69&lt;&gt;"",V69&lt;&gt;W69,'Endrunde 4'!$T17&lt;&gt;"",'Endrunde 4'!$V17&lt;&gt;""),1,0)</f>
        <v>1</v>
      </c>
      <c r="AB69" s="809" t="str">
        <f ca="1">IF(AA69&gt;0,AH69&amp;Sprache!$E$109&amp;AI69,"")</f>
        <v>50 : 36</v>
      </c>
      <c r="AC69" s="141" t="str">
        <f ca="1">IF(AA69&gt;0,AJ69&amp;Sprache!$E$109&amp;AK69,"")</f>
        <v>2 : 0</v>
      </c>
      <c r="AD69" s="145">
        <f ca="1">IF(AND($AA69=1,'Endrunde 4'!$N17&lt;&gt;"",'Endrunde 4'!$P17&lt;&gt;"",ABS('Endrunde 4'!$N17-'Endrunde 4'!$P17)&gt;1),'Endrunde 4'!$N17,"")</f>
        <v>25</v>
      </c>
      <c r="AE69" s="141">
        <f ca="1">IF(AND($AA69=1,'Endrunde 4'!$N17&lt;&gt;"",'Endrunde 4'!$P17&lt;&gt;"",ABS('Endrunde 4'!$N17-'Endrunde 4'!$P17)&gt;1),'Endrunde 4'!$P17,"")</f>
        <v>19</v>
      </c>
      <c r="AF69" s="145" t="str">
        <f ca="1">IF(AND($AA69=1,'Endrunde 4'!$Q17&lt;&gt;"",'Endrunde 4'!$S17&lt;&gt;"",ABS('Endrunde 4'!$Q17-'Endrunde 4'!$S17)&gt;1),'Endrunde 4'!$Q17,"")</f>
        <v/>
      </c>
      <c r="AG69" s="141" t="str">
        <f ca="1">IF(AND($AA69=1,'Endrunde 4'!$Q17&lt;&gt;"",'Endrunde 4'!$S17&lt;&gt;"",ABS('Endrunde 4'!$Q17-'Endrunde 4'!$S17)&gt;1),'Endrunde 4'!$S17,"")</f>
        <v/>
      </c>
      <c r="AH69" s="145">
        <f t="shared" ca="1" si="1"/>
        <v>50</v>
      </c>
      <c r="AI69" s="141">
        <f t="shared" ca="1" si="2"/>
        <v>36</v>
      </c>
      <c r="AJ69" s="145">
        <f ca="1">IF('Endrunde 4'!$T17="",0,'Endrunde 4'!$T17)</f>
        <v>2</v>
      </c>
      <c r="AK69" s="141">
        <f ca="1">IF('Endrunde 4'!$V17="",0,'Endrunde 4'!$V17)</f>
        <v>0</v>
      </c>
      <c r="AL69" s="145">
        <f ca="1">IF($AA69=0,"",IF($AJ69&gt;$AK69,Einstellungen!$C$4,IF($AJ69=$AK69,1,0)))</f>
        <v>2</v>
      </c>
      <c r="AM69" s="141">
        <f ca="1">IF($AA69=0,"",IF($AJ69&lt;$AK69,Einstellungen!$C$4,IF($AJ69=$AK69,1,0)))</f>
        <v>0</v>
      </c>
    </row>
    <row r="70" spans="2:39" s="2" customFormat="1" x14ac:dyDescent="0.2">
      <c r="P70" s="663"/>
      <c r="Q70" s="664"/>
      <c r="U70" s="66" t="s">
        <v>16</v>
      </c>
      <c r="V70" s="40" t="str">
        <f ca="1">'Endrunde 4'!$H18</f>
        <v/>
      </c>
      <c r="W70" s="13" t="str">
        <f ca="1">'Endrunde 4'!$J18</f>
        <v/>
      </c>
      <c r="X70" s="13" t="str">
        <f ca="1">IF(AND($AA70=1,'Endrunde 4'!$K18&lt;&gt;"",'Endrunde 4'!$M18&lt;&gt;"",ABS('Endrunde 4'!$K18-'Endrunde 4'!$M18)&gt;1),'Endrunde 4'!$K18,"")</f>
        <v/>
      </c>
      <c r="Y70" s="35" t="str">
        <f ca="1">IF(AND($AA70=1,'Endrunde 4'!$K18&lt;&gt;"",'Endrunde 4'!$M18&lt;&gt;"",ABS('Endrunde 4'!$K18-'Endrunde 4'!$M18)&gt;1),'Endrunde 4'!$M18,"")</f>
        <v/>
      </c>
      <c r="Z70" s="34" t="str">
        <f t="shared" ca="1" si="0"/>
        <v/>
      </c>
      <c r="AA70" s="809">
        <f ca="1">IF(AND(V70&lt;&gt;"",W70&lt;&gt;"",V70&lt;&gt;W70,'Endrunde 4'!$T18&lt;&gt;"",'Endrunde 4'!$V18&lt;&gt;""),1,0)</f>
        <v>0</v>
      </c>
      <c r="AB70" s="809" t="str">
        <f ca="1">IF(AA70&gt;0,AH70&amp;Sprache!$E$109&amp;AI70,"")</f>
        <v/>
      </c>
      <c r="AC70" s="141" t="str">
        <f ca="1">IF(AA70&gt;0,AJ70&amp;Sprache!$E$109&amp;AK70,"")</f>
        <v/>
      </c>
      <c r="AD70" s="145" t="str">
        <f ca="1">IF(AND($AA70=1,'Endrunde 4'!$N18&lt;&gt;"",'Endrunde 4'!$P18&lt;&gt;"",ABS('Endrunde 4'!$N18-'Endrunde 4'!$P18)&gt;1),'Endrunde 4'!$N18,"")</f>
        <v/>
      </c>
      <c r="AE70" s="141" t="str">
        <f ca="1">IF(AND($AA70=1,'Endrunde 4'!$N18&lt;&gt;"",'Endrunde 4'!$P18&lt;&gt;"",ABS('Endrunde 4'!$N18-'Endrunde 4'!$P18)&gt;1),'Endrunde 4'!$P18,"")</f>
        <v/>
      </c>
      <c r="AF70" s="145" t="str">
        <f ca="1">IF(AND($AA70=1,'Endrunde 4'!$Q18&lt;&gt;"",'Endrunde 4'!$S18&lt;&gt;"",ABS('Endrunde 4'!$Q18-'Endrunde 4'!$S18)&gt;1),'Endrunde 4'!$Q18,"")</f>
        <v/>
      </c>
      <c r="AG70" s="141" t="str">
        <f ca="1">IF(AND($AA70=1,'Endrunde 4'!$Q18&lt;&gt;"",'Endrunde 4'!$S18&lt;&gt;"",ABS('Endrunde 4'!$Q18-'Endrunde 4'!$S18)&gt;1),'Endrunde 4'!$S18,"")</f>
        <v/>
      </c>
      <c r="AH70" s="145" t="str">
        <f t="shared" ca="1" si="1"/>
        <v/>
      </c>
      <c r="AI70" s="141" t="str">
        <f t="shared" ca="1" si="2"/>
        <v/>
      </c>
      <c r="AJ70" s="145">
        <f ca="1">IF('Endrunde 4'!$T18="",0,'Endrunde 4'!$T18)</f>
        <v>0</v>
      </c>
      <c r="AK70" s="141">
        <f ca="1">IF('Endrunde 4'!$V18="",0,'Endrunde 4'!$V18)</f>
        <v>0</v>
      </c>
      <c r="AL70" s="145" t="str">
        <f ca="1">IF($AA70=0,"",IF($AJ70&gt;$AK70,Einstellungen!$C$4,IF($AJ70=$AK70,1,0)))</f>
        <v/>
      </c>
      <c r="AM70" s="141" t="str">
        <f ca="1">IF($AA70=0,"",IF($AJ70&lt;$AK70,Einstellungen!$C$4,IF($AJ70=$AK70,1,0)))</f>
        <v/>
      </c>
    </row>
    <row r="71" spans="2:39" s="2" customFormat="1" x14ac:dyDescent="0.2">
      <c r="B71" s="4"/>
      <c r="C71" s="4"/>
      <c r="D71" s="4"/>
      <c r="E71" s="4"/>
      <c r="F71" s="4"/>
      <c r="G71" s="4"/>
      <c r="H71" s="4"/>
      <c r="I71" s="4"/>
      <c r="J71" s="4"/>
      <c r="K71" s="4"/>
      <c r="L71" s="4"/>
      <c r="M71" s="4"/>
      <c r="P71" s="663"/>
      <c r="Q71" s="664"/>
      <c r="U71" s="66" t="s">
        <v>17</v>
      </c>
      <c r="V71" s="40" t="str">
        <f ca="1">'Endrunde 4'!$H19</f>
        <v>1. FC Nürnberg</v>
      </c>
      <c r="W71" s="13" t="str">
        <f ca="1">'Endrunde 4'!$J19</f>
        <v>SV Oberredenburg</v>
      </c>
      <c r="X71" s="13">
        <f ca="1">IF(AND($AA71=1,'Endrunde 4'!$K19&lt;&gt;"",'Endrunde 4'!$M19&lt;&gt;"",ABS('Endrunde 4'!$K19-'Endrunde 4'!$M19)&gt;1),'Endrunde 4'!$K19,"")</f>
        <v>25</v>
      </c>
      <c r="Y71" s="35">
        <f ca="1">IF(AND($AA71=1,'Endrunde 4'!$K19&lt;&gt;"",'Endrunde 4'!$M19&lt;&gt;"",ABS('Endrunde 4'!$K19-'Endrunde 4'!$M19)&gt;1),'Endrunde 4'!$M19,"")</f>
        <v>19</v>
      </c>
      <c r="Z71" s="34" t="str">
        <f t="shared" ca="1" si="0"/>
        <v>1. FC NürnbergSV Oberredenburg</v>
      </c>
      <c r="AA71" s="809">
        <f ca="1">IF(AND(V71&lt;&gt;"",W71&lt;&gt;"",V71&lt;&gt;W71,'Endrunde 4'!$T19&lt;&gt;"",'Endrunde 4'!$V19&lt;&gt;""),1,0)</f>
        <v>1</v>
      </c>
      <c r="AB71" s="809" t="str">
        <f ca="1">IF(AA71&gt;0,AH71&amp;Sprache!$E$109&amp;AI71,"")</f>
        <v>50 : 40</v>
      </c>
      <c r="AC71" s="141" t="str">
        <f ca="1">IF(AA71&gt;0,AJ71&amp;Sprache!$E$109&amp;AK71,"")</f>
        <v>2 : 0</v>
      </c>
      <c r="AD71" s="145">
        <f ca="1">IF(AND($AA71=1,'Endrunde 4'!$N19&lt;&gt;"",'Endrunde 4'!$P19&lt;&gt;"",ABS('Endrunde 4'!$N19-'Endrunde 4'!$P19)&gt;1),'Endrunde 4'!$N19,"")</f>
        <v>25</v>
      </c>
      <c r="AE71" s="141">
        <f ca="1">IF(AND($AA71=1,'Endrunde 4'!$N19&lt;&gt;"",'Endrunde 4'!$P19&lt;&gt;"",ABS('Endrunde 4'!$N19-'Endrunde 4'!$P19)&gt;1),'Endrunde 4'!$P19,"")</f>
        <v>21</v>
      </c>
      <c r="AF71" s="145" t="str">
        <f ca="1">IF(AND($AA71=1,'Endrunde 4'!$Q19&lt;&gt;"",'Endrunde 4'!$S19&lt;&gt;"",ABS('Endrunde 4'!$Q19-'Endrunde 4'!$S19)&gt;1),'Endrunde 4'!$Q19,"")</f>
        <v/>
      </c>
      <c r="AG71" s="141" t="str">
        <f ca="1">IF(AND($AA71=1,'Endrunde 4'!$Q19&lt;&gt;"",'Endrunde 4'!$S19&lt;&gt;"",ABS('Endrunde 4'!$Q19-'Endrunde 4'!$S19)&gt;1),'Endrunde 4'!$S19,"")</f>
        <v/>
      </c>
      <c r="AH71" s="145">
        <f t="shared" ca="1" si="1"/>
        <v>50</v>
      </c>
      <c r="AI71" s="141">
        <f t="shared" ca="1" si="2"/>
        <v>40</v>
      </c>
      <c r="AJ71" s="145">
        <f ca="1">IF('Endrunde 4'!$T19="",0,'Endrunde 4'!$T19)</f>
        <v>2</v>
      </c>
      <c r="AK71" s="141">
        <f ca="1">IF('Endrunde 4'!$V19="",0,'Endrunde 4'!$V19)</f>
        <v>0</v>
      </c>
      <c r="AL71" s="145">
        <f ca="1">IF($AA71=0,"",IF($AJ71&gt;$AK71,Einstellungen!$C$4,IF($AJ71=$AK71,1,0)))</f>
        <v>2</v>
      </c>
      <c r="AM71" s="141">
        <f ca="1">IF($AA71=0,"",IF($AJ71&lt;$AK71,Einstellungen!$C$4,IF($AJ71=$AK71,1,0)))</f>
        <v>0</v>
      </c>
    </row>
    <row r="72" spans="2:39" s="2" customFormat="1" x14ac:dyDescent="0.2">
      <c r="B72" s="4"/>
      <c r="C72" s="4"/>
      <c r="D72" s="4"/>
      <c r="E72" s="4"/>
      <c r="F72" s="13"/>
      <c r="G72" s="13"/>
      <c r="H72" s="13"/>
      <c r="I72" s="13"/>
      <c r="J72" s="13"/>
      <c r="K72" s="13"/>
      <c r="L72" s="13"/>
      <c r="M72" s="13"/>
      <c r="P72" s="663"/>
      <c r="Q72" s="664"/>
      <c r="U72" s="66" t="s">
        <v>18</v>
      </c>
      <c r="V72" s="40" t="str">
        <f ca="1">'Endrunde 4'!$H20</f>
        <v>FSV Rauen</v>
      </c>
      <c r="W72" s="13" t="str">
        <f ca="1">'Endrunde 4'!$J20</f>
        <v>HSV</v>
      </c>
      <c r="X72" s="13">
        <f ca="1">IF(AND($AA72=1,'Endrunde 4'!$K20&lt;&gt;"",'Endrunde 4'!$M20&lt;&gt;"",ABS('Endrunde 4'!$K20-'Endrunde 4'!$M20)&gt;1),'Endrunde 4'!$K20,"")</f>
        <v>20</v>
      </c>
      <c r="Y72" s="35">
        <f ca="1">IF(AND($AA72=1,'Endrunde 4'!$K20&lt;&gt;"",'Endrunde 4'!$M20&lt;&gt;"",ABS('Endrunde 4'!$K20-'Endrunde 4'!$M20)&gt;1),'Endrunde 4'!$M20,"")</f>
        <v>25</v>
      </c>
      <c r="Z72" s="34" t="str">
        <f t="shared" ca="1" si="0"/>
        <v>FSV RauenHSV</v>
      </c>
      <c r="AA72" s="809">
        <f ca="1">IF(AND(V72&lt;&gt;"",W72&lt;&gt;"",V72&lt;&gt;W72,'Endrunde 4'!$T20&lt;&gt;"",'Endrunde 4'!$V20&lt;&gt;""),1,0)</f>
        <v>1</v>
      </c>
      <c r="AB72" s="809" t="str">
        <f ca="1">IF(AA72&gt;0,AH72&amp;Sprache!$E$109&amp;AI72,"")</f>
        <v>45 : 46</v>
      </c>
      <c r="AC72" s="141" t="str">
        <f ca="1">IF(AA72&gt;0,AJ72&amp;Sprache!$E$109&amp;AK72,"")</f>
        <v>1 : 1</v>
      </c>
      <c r="AD72" s="145">
        <f ca="1">IF(AND($AA72=1,'Endrunde 4'!$N20&lt;&gt;"",'Endrunde 4'!$P20&lt;&gt;"",ABS('Endrunde 4'!$N20-'Endrunde 4'!$P20)&gt;1),'Endrunde 4'!$N20,"")</f>
        <v>25</v>
      </c>
      <c r="AE72" s="141">
        <f ca="1">IF(AND($AA72=1,'Endrunde 4'!$N20&lt;&gt;"",'Endrunde 4'!$P20&lt;&gt;"",ABS('Endrunde 4'!$N20-'Endrunde 4'!$P20)&gt;1),'Endrunde 4'!$P20,"")</f>
        <v>21</v>
      </c>
      <c r="AF72" s="145" t="str">
        <f ca="1">IF(AND($AA72=1,'Endrunde 4'!$Q20&lt;&gt;"",'Endrunde 4'!$S20&lt;&gt;"",ABS('Endrunde 4'!$Q20-'Endrunde 4'!$S20)&gt;1),'Endrunde 4'!$Q20,"")</f>
        <v/>
      </c>
      <c r="AG72" s="141" t="str">
        <f ca="1">IF(AND($AA72=1,'Endrunde 4'!$Q20&lt;&gt;"",'Endrunde 4'!$S20&lt;&gt;"",ABS('Endrunde 4'!$Q20-'Endrunde 4'!$S20)&gt;1),'Endrunde 4'!$S20,"")</f>
        <v/>
      </c>
      <c r="AH72" s="145">
        <f t="shared" ca="1" si="1"/>
        <v>45</v>
      </c>
      <c r="AI72" s="141">
        <f t="shared" ca="1" si="2"/>
        <v>46</v>
      </c>
      <c r="AJ72" s="145">
        <f ca="1">IF('Endrunde 4'!$T20="",0,'Endrunde 4'!$T20)</f>
        <v>1</v>
      </c>
      <c r="AK72" s="141">
        <f ca="1">IF('Endrunde 4'!$V20="",0,'Endrunde 4'!$V20)</f>
        <v>1</v>
      </c>
      <c r="AL72" s="145">
        <f ca="1">IF($AA72=0,"",IF($AJ72&gt;$AK72,Einstellungen!$C$4,IF($AJ72=$AK72,1,0)))</f>
        <v>1</v>
      </c>
      <c r="AM72" s="141">
        <f ca="1">IF($AA72=0,"",IF($AJ72&lt;$AK72,Einstellungen!$C$4,IF($AJ72=$AK72,1,0)))</f>
        <v>1</v>
      </c>
    </row>
    <row r="73" spans="2:39" s="2" customFormat="1" x14ac:dyDescent="0.2">
      <c r="B73" s="4"/>
      <c r="C73" s="4"/>
      <c r="D73" s="4"/>
      <c r="E73" s="4"/>
      <c r="F73" s="13"/>
      <c r="G73" s="13"/>
      <c r="H73" s="13"/>
      <c r="I73" s="13"/>
      <c r="J73" s="13"/>
      <c r="K73" s="13"/>
      <c r="L73" s="13"/>
      <c r="M73" s="13"/>
      <c r="U73" s="66" t="s">
        <v>24</v>
      </c>
      <c r="V73" s="40" t="str">
        <f ca="1">'Endrunde 4'!$H21</f>
        <v>Borussia Dortmund</v>
      </c>
      <c r="W73" s="13" t="str">
        <f ca="1">'Endrunde 4'!$J21</f>
        <v>RB Leipzig</v>
      </c>
      <c r="X73" s="13">
        <f ca="1">IF(AND($AA73=1,'Endrunde 4'!$K21&lt;&gt;"",'Endrunde 4'!$M21&lt;&gt;"",ABS('Endrunde 4'!$K21-'Endrunde 4'!$M21)&gt;1),'Endrunde 4'!$K21,"")</f>
        <v>14</v>
      </c>
      <c r="Y73" s="35">
        <f ca="1">IF(AND($AA73=1,'Endrunde 4'!$K21&lt;&gt;"",'Endrunde 4'!$M21&lt;&gt;"",ABS('Endrunde 4'!$K21-'Endrunde 4'!$M21)&gt;1),'Endrunde 4'!$M21,"")</f>
        <v>25</v>
      </c>
      <c r="Z73" s="34" t="str">
        <f t="shared" ca="1" si="0"/>
        <v>Borussia DortmundRB Leipzig</v>
      </c>
      <c r="AA73" s="809">
        <f ca="1">IF(AND(V73&lt;&gt;"",W73&lt;&gt;"",V73&lt;&gt;W73,'Endrunde 4'!$T21&lt;&gt;"",'Endrunde 4'!$V21&lt;&gt;""),1,0)</f>
        <v>1</v>
      </c>
      <c r="AB73" s="809" t="str">
        <f ca="1">IF(AA73&gt;0,AH73&amp;Sprache!$E$109&amp;AI73,"")</f>
        <v>39 : 48</v>
      </c>
      <c r="AC73" s="141" t="str">
        <f ca="1">IF(AA73&gt;0,AJ73&amp;Sprache!$E$109&amp;AK73,"")</f>
        <v>1 : 1</v>
      </c>
      <c r="AD73" s="145">
        <f ca="1">IF(AND($AA73=1,'Endrunde 4'!$N21&lt;&gt;"",'Endrunde 4'!$P21&lt;&gt;"",ABS('Endrunde 4'!$N21-'Endrunde 4'!$P21)&gt;1),'Endrunde 4'!$N21,"")</f>
        <v>25</v>
      </c>
      <c r="AE73" s="141">
        <f ca="1">IF(AND($AA73=1,'Endrunde 4'!$N21&lt;&gt;"",'Endrunde 4'!$P21&lt;&gt;"",ABS('Endrunde 4'!$N21-'Endrunde 4'!$P21)&gt;1),'Endrunde 4'!$P21,"")</f>
        <v>23</v>
      </c>
      <c r="AF73" s="145" t="str">
        <f ca="1">IF(AND($AA73=1,'Endrunde 4'!$Q21&lt;&gt;"",'Endrunde 4'!$S21&lt;&gt;"",ABS('Endrunde 4'!$Q21-'Endrunde 4'!$S21)&gt;1),'Endrunde 4'!$Q21,"")</f>
        <v/>
      </c>
      <c r="AG73" s="141" t="str">
        <f ca="1">IF(AND($AA73=1,'Endrunde 4'!$Q21&lt;&gt;"",'Endrunde 4'!$S21&lt;&gt;"",ABS('Endrunde 4'!$Q21-'Endrunde 4'!$S21)&gt;1),'Endrunde 4'!$S21,"")</f>
        <v/>
      </c>
      <c r="AH73" s="145">
        <f t="shared" ca="1" si="1"/>
        <v>39</v>
      </c>
      <c r="AI73" s="141">
        <f t="shared" ca="1" si="2"/>
        <v>48</v>
      </c>
      <c r="AJ73" s="145">
        <f ca="1">IF('Endrunde 4'!$T21="",0,'Endrunde 4'!$T21)</f>
        <v>1</v>
      </c>
      <c r="AK73" s="141">
        <f ca="1">IF('Endrunde 4'!$V21="",0,'Endrunde 4'!$V21)</f>
        <v>1</v>
      </c>
      <c r="AL73" s="145">
        <f ca="1">IF($AA73=0,"",IF($AJ73&gt;$AK73,Einstellungen!$C$4,IF($AJ73=$AK73,1,0)))</f>
        <v>1</v>
      </c>
      <c r="AM73" s="141">
        <f ca="1">IF($AA73=0,"",IF($AJ73&lt;$AK73,Einstellungen!$C$4,IF($AJ73=$AK73,1,0)))</f>
        <v>1</v>
      </c>
    </row>
    <row r="74" spans="2:39" s="2" customFormat="1" x14ac:dyDescent="0.2">
      <c r="B74" s="4"/>
      <c r="C74" s="4"/>
      <c r="D74" s="4"/>
      <c r="E74" s="4"/>
      <c r="F74" s="13"/>
      <c r="G74" s="13"/>
      <c r="H74" s="13"/>
      <c r="I74" s="13"/>
      <c r="J74" s="13"/>
      <c r="K74" s="13"/>
      <c r="L74" s="13"/>
      <c r="M74" s="13"/>
      <c r="U74" s="66" t="s">
        <v>25</v>
      </c>
      <c r="V74" s="40" t="str">
        <f ca="1">'Endrunde 4'!$H22</f>
        <v>Kickers Rodendorf</v>
      </c>
      <c r="W74" s="13" t="str">
        <f ca="1">'Endrunde 4'!$J22</f>
        <v>Paris St. Germain</v>
      </c>
      <c r="X74" s="13">
        <f ca="1">IF(AND($AA74=1,'Endrunde 4'!$K22&lt;&gt;"",'Endrunde 4'!$M22&lt;&gt;"",ABS('Endrunde 4'!$K22-'Endrunde 4'!$M22)&gt;1),'Endrunde 4'!$K22,"")</f>
        <v>20</v>
      </c>
      <c r="Y74" s="35">
        <f ca="1">IF(AND($AA74=1,'Endrunde 4'!$K22&lt;&gt;"",'Endrunde 4'!$M22&lt;&gt;"",ABS('Endrunde 4'!$K22-'Endrunde 4'!$M22)&gt;1),'Endrunde 4'!$M22,"")</f>
        <v>25</v>
      </c>
      <c r="Z74" s="34" t="str">
        <f ca="1">V74&amp;W74</f>
        <v>Kickers RodendorfParis St. Germain</v>
      </c>
      <c r="AA74" s="809">
        <f ca="1">IF(AND(V74&lt;&gt;"",W74&lt;&gt;"",V74&lt;&gt;W74,'Endrunde 4'!$T22&lt;&gt;"",'Endrunde 4'!$V22&lt;&gt;""),1,0)</f>
        <v>1</v>
      </c>
      <c r="AB74" s="809" t="str">
        <f ca="1">IF(AA74&gt;0,AH74&amp;Sprache!$E$109&amp;AI74,"")</f>
        <v>45 : 42</v>
      </c>
      <c r="AC74" s="141" t="str">
        <f ca="1">IF(AA74&gt;0,AJ74&amp;Sprache!$E$109&amp;AK74,"")</f>
        <v>1 : 1</v>
      </c>
      <c r="AD74" s="145">
        <f ca="1">IF(AND($AA74=1,'Endrunde 4'!$N22&lt;&gt;"",'Endrunde 4'!$P22&lt;&gt;"",ABS('Endrunde 4'!$N22-'Endrunde 4'!$P22)&gt;1),'Endrunde 4'!$N22,"")</f>
        <v>25</v>
      </c>
      <c r="AE74" s="141">
        <f ca="1">IF(AND($AA74=1,'Endrunde 4'!$N22&lt;&gt;"",'Endrunde 4'!$P22&lt;&gt;"",ABS('Endrunde 4'!$N22-'Endrunde 4'!$P22)&gt;1),'Endrunde 4'!$P22,"")</f>
        <v>17</v>
      </c>
      <c r="AF74" s="145" t="str">
        <f ca="1">IF(AND($AA74=1,'Endrunde 4'!$Q22&lt;&gt;"",'Endrunde 4'!$S22&lt;&gt;"",ABS('Endrunde 4'!$Q22-'Endrunde 4'!$S22)&gt;1),'Endrunde 4'!$Q22,"")</f>
        <v/>
      </c>
      <c r="AG74" s="141" t="str">
        <f ca="1">IF(AND($AA74=1,'Endrunde 4'!$Q22&lt;&gt;"",'Endrunde 4'!$S22&lt;&gt;"",ABS('Endrunde 4'!$Q22-'Endrunde 4'!$S22)&gt;1),'Endrunde 4'!$S22,"")</f>
        <v/>
      </c>
      <c r="AH74" s="145">
        <f t="shared" ca="1" si="1"/>
        <v>45</v>
      </c>
      <c r="AI74" s="141">
        <f t="shared" ca="1" si="2"/>
        <v>42</v>
      </c>
      <c r="AJ74" s="145">
        <f ca="1">IF('Endrunde 4'!$T22="",0,'Endrunde 4'!$T22)</f>
        <v>1</v>
      </c>
      <c r="AK74" s="141">
        <f ca="1">IF('Endrunde 4'!$V22="",0,'Endrunde 4'!$V22)</f>
        <v>1</v>
      </c>
      <c r="AL74" s="145">
        <f ca="1">IF($AA74=0,"",IF($AJ74&gt;$AK74,Einstellungen!$C$4,IF($AJ74=$AK74,1,0)))</f>
        <v>1</v>
      </c>
      <c r="AM74" s="141">
        <f ca="1">IF($AA74=0,"",IF($AJ74&lt;$AK74,Einstellungen!$C$4,IF($AJ74=$AK74,1,0)))</f>
        <v>1</v>
      </c>
    </row>
    <row r="75" spans="2:39" s="2" customFormat="1" x14ac:dyDescent="0.2">
      <c r="B75" s="4"/>
      <c r="C75" s="4"/>
      <c r="D75" s="4"/>
      <c r="E75" s="4"/>
      <c r="F75" s="13"/>
      <c r="G75" s="13"/>
      <c r="H75" s="13"/>
      <c r="I75" s="13"/>
      <c r="J75" s="13"/>
      <c r="K75" s="13"/>
      <c r="L75" s="13"/>
      <c r="M75" s="13"/>
      <c r="U75" s="66" t="s">
        <v>26</v>
      </c>
      <c r="V75" s="40" t="str">
        <f ca="1">'Endrunde 4'!$H23</f>
        <v>Real Madrid</v>
      </c>
      <c r="W75" s="13" t="str">
        <f ca="1">'Endrunde 4'!$J23</f>
        <v>TSG Saalberg eV</v>
      </c>
      <c r="X75" s="13">
        <f ca="1">IF(AND($AA75=1,'Endrunde 4'!$K23&lt;&gt;"",'Endrunde 4'!$M23&lt;&gt;"",ABS('Endrunde 4'!$K23-'Endrunde 4'!$M23)&gt;1),'Endrunde 4'!$K23,"")</f>
        <v>19</v>
      </c>
      <c r="Y75" s="35">
        <f ca="1">IF(AND($AA75=1,'Endrunde 4'!$K23&lt;&gt;"",'Endrunde 4'!$M23&lt;&gt;"",ABS('Endrunde 4'!$K23-'Endrunde 4'!$M23)&gt;1),'Endrunde 4'!$M23,"")</f>
        <v>25</v>
      </c>
      <c r="Z75" s="34" t="str">
        <f t="shared" ref="Z75:Z99" ca="1" si="3">V75&amp;W75</f>
        <v>Real MadridTSG Saalberg eV</v>
      </c>
      <c r="AA75" s="809">
        <f ca="1">IF(AND(V75&lt;&gt;"",W75&lt;&gt;"",V75&lt;&gt;W75,'Endrunde 4'!$T23&lt;&gt;"",'Endrunde 4'!$V23&lt;&gt;""),1,0)</f>
        <v>1</v>
      </c>
      <c r="AB75" s="809" t="str">
        <f ca="1">IF(AA75&gt;0,AH75&amp;Sprache!$E$109&amp;AI75,"")</f>
        <v>44 : 43</v>
      </c>
      <c r="AC75" s="141" t="str">
        <f ca="1">IF(AA75&gt;0,AJ75&amp;Sprache!$E$109&amp;AK75,"")</f>
        <v>1 : 1</v>
      </c>
      <c r="AD75" s="145">
        <f ca="1">IF(AND($AA75=1,'Endrunde 4'!$N23&lt;&gt;"",'Endrunde 4'!$P23&lt;&gt;"",ABS('Endrunde 4'!$N23-'Endrunde 4'!$P23)&gt;1),'Endrunde 4'!$N23,"")</f>
        <v>25</v>
      </c>
      <c r="AE75" s="141">
        <f ca="1">IF(AND($AA75=1,'Endrunde 4'!$N23&lt;&gt;"",'Endrunde 4'!$P23&lt;&gt;"",ABS('Endrunde 4'!$N23-'Endrunde 4'!$P23)&gt;1),'Endrunde 4'!$P23,"")</f>
        <v>18</v>
      </c>
      <c r="AF75" s="145" t="str">
        <f ca="1">IF(AND($AA75=1,'Endrunde 4'!$Q23&lt;&gt;"",'Endrunde 4'!$S23&lt;&gt;"",ABS('Endrunde 4'!$Q23-'Endrunde 4'!$S23)&gt;1),'Endrunde 4'!$Q23,"")</f>
        <v/>
      </c>
      <c r="AG75" s="141" t="str">
        <f ca="1">IF(AND($AA75=1,'Endrunde 4'!$Q23&lt;&gt;"",'Endrunde 4'!$S23&lt;&gt;"",ABS('Endrunde 4'!$Q23-'Endrunde 4'!$S23)&gt;1),'Endrunde 4'!$S23,"")</f>
        <v/>
      </c>
      <c r="AH75" s="145">
        <f t="shared" ca="1" si="1"/>
        <v>44</v>
      </c>
      <c r="AI75" s="141">
        <f t="shared" ca="1" si="2"/>
        <v>43</v>
      </c>
      <c r="AJ75" s="145">
        <f ca="1">IF('Endrunde 4'!$T23="",0,'Endrunde 4'!$T23)</f>
        <v>1</v>
      </c>
      <c r="AK75" s="141">
        <f ca="1">IF('Endrunde 4'!$V23="",0,'Endrunde 4'!$V23)</f>
        <v>1</v>
      </c>
      <c r="AL75" s="145">
        <f ca="1">IF($AA75=0,"",IF($AJ75&gt;$AK75,Einstellungen!$C$4,IF($AJ75=$AK75,1,0)))</f>
        <v>1</v>
      </c>
      <c r="AM75" s="141">
        <f ca="1">IF($AA75=0,"",IF($AJ75&lt;$AK75,Einstellungen!$C$4,IF($AJ75=$AK75,1,0)))</f>
        <v>1</v>
      </c>
    </row>
    <row r="76" spans="2:39" s="2" customFormat="1" x14ac:dyDescent="0.2">
      <c r="B76" s="4"/>
      <c r="C76" s="4"/>
      <c r="D76" s="4"/>
      <c r="E76" s="4"/>
      <c r="F76" s="13"/>
      <c r="G76" s="13"/>
      <c r="H76" s="13"/>
      <c r="I76" s="13"/>
      <c r="J76" s="13"/>
      <c r="K76" s="13"/>
      <c r="L76" s="13"/>
      <c r="M76" s="13"/>
      <c r="U76" s="66" t="s">
        <v>27</v>
      </c>
      <c r="V76" s="40" t="str">
        <f ca="1">'Endrunde 4'!$H24</f>
        <v/>
      </c>
      <c r="W76" s="13" t="str">
        <f ca="1">'Endrunde 4'!$J24</f>
        <v/>
      </c>
      <c r="X76" s="13" t="str">
        <f ca="1">IF(AND($AA76=1,'Endrunde 4'!$K24&lt;&gt;"",'Endrunde 4'!$M24&lt;&gt;"",ABS('Endrunde 4'!$K24-'Endrunde 4'!$M24)&gt;1),'Endrunde 4'!$K24,"")</f>
        <v/>
      </c>
      <c r="Y76" s="35" t="str">
        <f ca="1">IF(AND($AA76=1,'Endrunde 4'!$K24&lt;&gt;"",'Endrunde 4'!$M24&lt;&gt;"",ABS('Endrunde 4'!$K24-'Endrunde 4'!$M24)&gt;1),'Endrunde 4'!$M24,"")</f>
        <v/>
      </c>
      <c r="Z76" s="34" t="str">
        <f t="shared" ca="1" si="3"/>
        <v/>
      </c>
      <c r="AA76" s="809">
        <f ca="1">IF(AND(V76&lt;&gt;"",W76&lt;&gt;"",V76&lt;&gt;W76,'Endrunde 4'!$T24&lt;&gt;"",'Endrunde 4'!$V24&lt;&gt;""),1,0)</f>
        <v>0</v>
      </c>
      <c r="AB76" s="809" t="str">
        <f ca="1">IF(AA76&gt;0,AH76&amp;Sprache!$E$109&amp;AI76,"")</f>
        <v/>
      </c>
      <c r="AC76" s="141" t="str">
        <f ca="1">IF(AA76&gt;0,AJ76&amp;Sprache!$E$109&amp;AK76,"")</f>
        <v/>
      </c>
      <c r="AD76" s="145" t="str">
        <f ca="1">IF(AND($AA76=1,'Endrunde 4'!$N24&lt;&gt;"",'Endrunde 4'!$P24&lt;&gt;"",ABS('Endrunde 4'!$N24-'Endrunde 4'!$P24)&gt;1),'Endrunde 4'!$N24,"")</f>
        <v/>
      </c>
      <c r="AE76" s="141" t="str">
        <f ca="1">IF(AND($AA76=1,'Endrunde 4'!$N24&lt;&gt;"",'Endrunde 4'!$P24&lt;&gt;"",ABS('Endrunde 4'!$N24-'Endrunde 4'!$P24)&gt;1),'Endrunde 4'!$P24,"")</f>
        <v/>
      </c>
      <c r="AF76" s="145" t="str">
        <f ca="1">IF(AND($AA76=1,'Endrunde 4'!$Q24&lt;&gt;"",'Endrunde 4'!$S24&lt;&gt;"",ABS('Endrunde 4'!$Q24-'Endrunde 4'!$S24)&gt;1),'Endrunde 4'!$Q24,"")</f>
        <v/>
      </c>
      <c r="AG76" s="141" t="str">
        <f ca="1">IF(AND($AA76=1,'Endrunde 4'!$Q24&lt;&gt;"",'Endrunde 4'!$S24&lt;&gt;"",ABS('Endrunde 4'!$Q24-'Endrunde 4'!$S24)&gt;1),'Endrunde 4'!$S24,"")</f>
        <v/>
      </c>
      <c r="AH76" s="145" t="str">
        <f t="shared" ca="1" si="1"/>
        <v/>
      </c>
      <c r="AI76" s="141" t="str">
        <f t="shared" ca="1" si="2"/>
        <v/>
      </c>
      <c r="AJ76" s="145">
        <f ca="1">IF('Endrunde 4'!$T24="",0,'Endrunde 4'!$T24)</f>
        <v>0</v>
      </c>
      <c r="AK76" s="141">
        <f ca="1">IF('Endrunde 4'!$V24="",0,'Endrunde 4'!$V24)</f>
        <v>0</v>
      </c>
      <c r="AL76" s="145" t="str">
        <f ca="1">IF($AA76=0,"",IF($AJ76&gt;$AK76,Einstellungen!$C$4,IF($AJ76=$AK76,1,0)))</f>
        <v/>
      </c>
      <c r="AM76" s="141" t="str">
        <f ca="1">IF($AA76=0,"",IF($AJ76&lt;$AK76,Einstellungen!$C$4,IF($AJ76=$AK76,1,0)))</f>
        <v/>
      </c>
    </row>
    <row r="77" spans="2:39" s="2" customFormat="1" x14ac:dyDescent="0.2">
      <c r="B77" s="4"/>
      <c r="C77" s="4"/>
      <c r="D77" s="4"/>
      <c r="E77" s="4"/>
      <c r="F77" s="13"/>
      <c r="G77" s="13"/>
      <c r="H77" s="13"/>
      <c r="I77" s="13"/>
      <c r="J77" s="13"/>
      <c r="K77" s="13"/>
      <c r="L77" s="13"/>
      <c r="M77" s="13"/>
      <c r="U77" s="66" t="s">
        <v>28</v>
      </c>
      <c r="V77" s="40" t="str">
        <f ca="1">'Endrunde 4'!$H25</f>
        <v>Maibach 1822 eV</v>
      </c>
      <c r="W77" s="13" t="str">
        <f ca="1">'Endrunde 4'!$J25</f>
        <v>1. FC Nürnberg</v>
      </c>
      <c r="X77" s="13">
        <f ca="1">IF(AND($AA77=1,'Endrunde 4'!$K25&lt;&gt;"",'Endrunde 4'!$M25&lt;&gt;"",ABS('Endrunde 4'!$K25-'Endrunde 4'!$M25)&gt;1),'Endrunde 4'!$K25,"")</f>
        <v>14</v>
      </c>
      <c r="Y77" s="35">
        <f ca="1">IF(AND($AA77=1,'Endrunde 4'!$K25&lt;&gt;"",'Endrunde 4'!$M25&lt;&gt;"",ABS('Endrunde 4'!$K25-'Endrunde 4'!$M25)&gt;1),'Endrunde 4'!$M25,"")</f>
        <v>25</v>
      </c>
      <c r="Z77" s="34" t="str">
        <f t="shared" ca="1" si="3"/>
        <v>Maibach 1822 eV1. FC Nürnberg</v>
      </c>
      <c r="AA77" s="809">
        <f ca="1">IF(AND(V77&lt;&gt;"",W77&lt;&gt;"",V77&lt;&gt;W77,'Endrunde 4'!$T25&lt;&gt;"",'Endrunde 4'!$V25&lt;&gt;""),1,0)</f>
        <v>1</v>
      </c>
      <c r="AB77" s="809" t="str">
        <f ca="1">IF(AA77&gt;0,AH77&amp;Sprache!$E$109&amp;AI77,"")</f>
        <v>39 : 45</v>
      </c>
      <c r="AC77" s="141" t="str">
        <f ca="1">IF(AA77&gt;0,AJ77&amp;Sprache!$E$109&amp;AK77,"")</f>
        <v>1 : 1</v>
      </c>
      <c r="AD77" s="145">
        <f ca="1">IF(AND($AA77=1,'Endrunde 4'!$N25&lt;&gt;"",'Endrunde 4'!$P25&lt;&gt;"",ABS('Endrunde 4'!$N25-'Endrunde 4'!$P25)&gt;1),'Endrunde 4'!$N25,"")</f>
        <v>25</v>
      </c>
      <c r="AE77" s="141">
        <f ca="1">IF(AND($AA77=1,'Endrunde 4'!$N25&lt;&gt;"",'Endrunde 4'!$P25&lt;&gt;"",ABS('Endrunde 4'!$N25-'Endrunde 4'!$P25)&gt;1),'Endrunde 4'!$P25,"")</f>
        <v>20</v>
      </c>
      <c r="AF77" s="145" t="str">
        <f ca="1">IF(AND($AA77=1,'Endrunde 4'!$Q25&lt;&gt;"",'Endrunde 4'!$S25&lt;&gt;"",ABS('Endrunde 4'!$Q25-'Endrunde 4'!$S25)&gt;1),'Endrunde 4'!$Q25,"")</f>
        <v/>
      </c>
      <c r="AG77" s="141" t="str">
        <f ca="1">IF(AND($AA77=1,'Endrunde 4'!$Q25&lt;&gt;"",'Endrunde 4'!$S25&lt;&gt;"",ABS('Endrunde 4'!$Q25-'Endrunde 4'!$S25)&gt;1),'Endrunde 4'!$S25,"")</f>
        <v/>
      </c>
      <c r="AH77" s="145">
        <f t="shared" ca="1" si="1"/>
        <v>39</v>
      </c>
      <c r="AI77" s="141">
        <f t="shared" ca="1" si="2"/>
        <v>45</v>
      </c>
      <c r="AJ77" s="145">
        <f ca="1">IF('Endrunde 4'!$T25="",0,'Endrunde 4'!$T25)</f>
        <v>1</v>
      </c>
      <c r="AK77" s="141">
        <f ca="1">IF('Endrunde 4'!$V25="",0,'Endrunde 4'!$V25)</f>
        <v>1</v>
      </c>
      <c r="AL77" s="145">
        <f ca="1">IF($AA77=0,"",IF($AJ77&gt;$AK77,Einstellungen!$C$4,IF($AJ77=$AK77,1,0)))</f>
        <v>1</v>
      </c>
      <c r="AM77" s="141">
        <f ca="1">IF($AA77=0,"",IF($AJ77&lt;$AK77,Einstellungen!$C$4,IF($AJ77=$AK77,1,0)))</f>
        <v>1</v>
      </c>
    </row>
    <row r="78" spans="2:39" s="2" customFormat="1" x14ac:dyDescent="0.2">
      <c r="B78" s="4"/>
      <c r="C78" s="4"/>
      <c r="D78" s="4"/>
      <c r="E78" s="4"/>
      <c r="F78" s="13"/>
      <c r="G78" s="13"/>
      <c r="H78" s="13"/>
      <c r="I78" s="13"/>
      <c r="J78" s="13"/>
      <c r="K78" s="13"/>
      <c r="L78" s="13"/>
      <c r="M78" s="13"/>
      <c r="U78" s="66" t="s">
        <v>29</v>
      </c>
      <c r="V78" s="40" t="str">
        <f ca="1">'Endrunde 4'!$H26</f>
        <v>VFB Essenheim</v>
      </c>
      <c r="W78" s="13" t="str">
        <f ca="1">'Endrunde 4'!$J26</f>
        <v>FSV Rauen</v>
      </c>
      <c r="X78" s="13">
        <f ca="1">IF(AND($AA78=1,'Endrunde 4'!$K26&lt;&gt;"",'Endrunde 4'!$M26&lt;&gt;"",ABS('Endrunde 4'!$K26-'Endrunde 4'!$M26)&gt;1),'Endrunde 4'!$K26,"")</f>
        <v>21</v>
      </c>
      <c r="Y78" s="35">
        <f ca="1">IF(AND($AA78=1,'Endrunde 4'!$K26&lt;&gt;"",'Endrunde 4'!$M26&lt;&gt;"",ABS('Endrunde 4'!$K26-'Endrunde 4'!$M26)&gt;1),'Endrunde 4'!$M26,"")</f>
        <v>25</v>
      </c>
      <c r="Z78" s="34" t="str">
        <f t="shared" ca="1" si="3"/>
        <v>VFB EssenheimFSV Rauen</v>
      </c>
      <c r="AA78" s="809">
        <f ca="1">IF(AND(V78&lt;&gt;"",W78&lt;&gt;"",V78&lt;&gt;W78,'Endrunde 4'!$T26&lt;&gt;"",'Endrunde 4'!$V26&lt;&gt;""),1,0)</f>
        <v>1</v>
      </c>
      <c r="AB78" s="809" t="str">
        <f ca="1">IF(AA78&gt;0,AH78&amp;Sprache!$E$109&amp;AI78,"")</f>
        <v>46 : 43</v>
      </c>
      <c r="AC78" s="141" t="str">
        <f ca="1">IF(AA78&gt;0,AJ78&amp;Sprache!$E$109&amp;AK78,"")</f>
        <v>1 : 1</v>
      </c>
      <c r="AD78" s="145">
        <f ca="1">IF(AND($AA78=1,'Endrunde 4'!$N26&lt;&gt;"",'Endrunde 4'!$P26&lt;&gt;"",ABS('Endrunde 4'!$N26-'Endrunde 4'!$P26)&gt;1),'Endrunde 4'!$N26,"")</f>
        <v>25</v>
      </c>
      <c r="AE78" s="141">
        <f ca="1">IF(AND($AA78=1,'Endrunde 4'!$N26&lt;&gt;"",'Endrunde 4'!$P26&lt;&gt;"",ABS('Endrunde 4'!$N26-'Endrunde 4'!$P26)&gt;1),'Endrunde 4'!$P26,"")</f>
        <v>18</v>
      </c>
      <c r="AF78" s="145" t="str">
        <f ca="1">IF(AND($AA78=1,'Endrunde 4'!$Q26&lt;&gt;"",'Endrunde 4'!$S26&lt;&gt;"",ABS('Endrunde 4'!$Q26-'Endrunde 4'!$S26)&gt;1),'Endrunde 4'!$Q26,"")</f>
        <v/>
      </c>
      <c r="AG78" s="141" t="str">
        <f ca="1">IF(AND($AA78=1,'Endrunde 4'!$Q26&lt;&gt;"",'Endrunde 4'!$S26&lt;&gt;"",ABS('Endrunde 4'!$Q26-'Endrunde 4'!$S26)&gt;1),'Endrunde 4'!$S26,"")</f>
        <v/>
      </c>
      <c r="AH78" s="145">
        <f t="shared" ca="1" si="1"/>
        <v>46</v>
      </c>
      <c r="AI78" s="141">
        <f t="shared" ca="1" si="2"/>
        <v>43</v>
      </c>
      <c r="AJ78" s="145">
        <f ca="1">IF('Endrunde 4'!$T26="",0,'Endrunde 4'!$T26)</f>
        <v>1</v>
      </c>
      <c r="AK78" s="141">
        <f ca="1">IF('Endrunde 4'!$V26="",0,'Endrunde 4'!$V26)</f>
        <v>1</v>
      </c>
      <c r="AL78" s="145">
        <f ca="1">IF($AA78=0,"",IF($AJ78&gt;$AK78,Einstellungen!$C$4,IF($AJ78=$AK78,1,0)))</f>
        <v>1</v>
      </c>
      <c r="AM78" s="141">
        <f ca="1">IF($AA78=0,"",IF($AJ78&lt;$AK78,Einstellungen!$C$4,IF($AJ78=$AK78,1,0)))</f>
        <v>1</v>
      </c>
    </row>
    <row r="79" spans="2:39" s="2" customFormat="1" x14ac:dyDescent="0.2">
      <c r="B79" s="4"/>
      <c r="C79" s="4"/>
      <c r="D79" s="4"/>
      <c r="E79" s="4"/>
      <c r="F79" s="13"/>
      <c r="G79" s="13"/>
      <c r="H79" s="13"/>
      <c r="I79" s="13"/>
      <c r="J79" s="13"/>
      <c r="K79" s="13"/>
      <c r="L79" s="13"/>
      <c r="M79" s="13"/>
      <c r="U79" s="66" t="s">
        <v>30</v>
      </c>
      <c r="V79" s="40" t="str">
        <f ca="1">'Endrunde 4'!$H27</f>
        <v>1. FC Riedwald</v>
      </c>
      <c r="W79" s="13" t="str">
        <f ca="1">'Endrunde 4'!$J27</f>
        <v>Borussia Dortmund</v>
      </c>
      <c r="X79" s="13">
        <f ca="1">IF(AND($AA79=1,'Endrunde 4'!$K27&lt;&gt;"",'Endrunde 4'!$M27&lt;&gt;"",ABS('Endrunde 4'!$K27-'Endrunde 4'!$M27)&gt;1),'Endrunde 4'!$K27,"")</f>
        <v>25</v>
      </c>
      <c r="Y79" s="35">
        <f ca="1">IF(AND($AA79=1,'Endrunde 4'!$K27&lt;&gt;"",'Endrunde 4'!$M27&lt;&gt;"",ABS('Endrunde 4'!$K27-'Endrunde 4'!$M27)&gt;1),'Endrunde 4'!$M27,"")</f>
        <v>23</v>
      </c>
      <c r="Z79" s="34" t="str">
        <f t="shared" ca="1" si="3"/>
        <v>1. FC RiedwaldBorussia Dortmund</v>
      </c>
      <c r="AA79" s="809">
        <f ca="1">IF(AND(V79&lt;&gt;"",W79&lt;&gt;"",V79&lt;&gt;W79,'Endrunde 4'!$T27&lt;&gt;"",'Endrunde 4'!$V27&lt;&gt;""),1,0)</f>
        <v>1</v>
      </c>
      <c r="AB79" s="809" t="str">
        <f ca="1">IF(AA79&gt;0,AH79&amp;Sprache!$E$109&amp;AI79,"")</f>
        <v>50 : 45</v>
      </c>
      <c r="AC79" s="141" t="str">
        <f ca="1">IF(AA79&gt;0,AJ79&amp;Sprache!$E$109&amp;AK79,"")</f>
        <v>2 : 0</v>
      </c>
      <c r="AD79" s="145">
        <f ca="1">IF(AND($AA79=1,'Endrunde 4'!$N27&lt;&gt;"",'Endrunde 4'!$P27&lt;&gt;"",ABS('Endrunde 4'!$N27-'Endrunde 4'!$P27)&gt;1),'Endrunde 4'!$N27,"")</f>
        <v>25</v>
      </c>
      <c r="AE79" s="141">
        <f ca="1">IF(AND($AA79=1,'Endrunde 4'!$N27&lt;&gt;"",'Endrunde 4'!$P27&lt;&gt;"",ABS('Endrunde 4'!$N27-'Endrunde 4'!$P27)&gt;1),'Endrunde 4'!$P27,"")</f>
        <v>22</v>
      </c>
      <c r="AF79" s="145" t="str">
        <f ca="1">IF(AND($AA79=1,'Endrunde 4'!$Q27&lt;&gt;"",'Endrunde 4'!$S27&lt;&gt;"",ABS('Endrunde 4'!$Q27-'Endrunde 4'!$S27)&gt;1),'Endrunde 4'!$Q27,"")</f>
        <v/>
      </c>
      <c r="AG79" s="141" t="str">
        <f ca="1">IF(AND($AA79=1,'Endrunde 4'!$Q27&lt;&gt;"",'Endrunde 4'!$S27&lt;&gt;"",ABS('Endrunde 4'!$Q27-'Endrunde 4'!$S27)&gt;1),'Endrunde 4'!$S27,"")</f>
        <v/>
      </c>
      <c r="AH79" s="145">
        <f t="shared" ca="1" si="1"/>
        <v>50</v>
      </c>
      <c r="AI79" s="141">
        <f t="shared" ca="1" si="2"/>
        <v>45</v>
      </c>
      <c r="AJ79" s="145">
        <f ca="1">IF('Endrunde 4'!$T27="",0,'Endrunde 4'!$T27)</f>
        <v>2</v>
      </c>
      <c r="AK79" s="141">
        <f ca="1">IF('Endrunde 4'!$V27="",0,'Endrunde 4'!$V27)</f>
        <v>0</v>
      </c>
      <c r="AL79" s="145">
        <f ca="1">IF($AA79=0,"",IF($AJ79&gt;$AK79,Einstellungen!$C$4,IF($AJ79=$AK79,1,0)))</f>
        <v>2</v>
      </c>
      <c r="AM79" s="141">
        <f ca="1">IF($AA79=0,"",IF($AJ79&lt;$AK79,Einstellungen!$C$4,IF($AJ79=$AK79,1,0)))</f>
        <v>0</v>
      </c>
    </row>
    <row r="80" spans="2:39" s="2" customFormat="1" x14ac:dyDescent="0.2">
      <c r="B80" s="4"/>
      <c r="C80" s="4"/>
      <c r="D80" s="4"/>
      <c r="E80" s="4"/>
      <c r="F80" s="13"/>
      <c r="G80" s="13"/>
      <c r="H80" s="13"/>
      <c r="I80" s="13"/>
      <c r="J80" s="13"/>
      <c r="K80" s="13"/>
      <c r="L80" s="13"/>
      <c r="M80" s="13"/>
      <c r="U80" s="66" t="s">
        <v>31</v>
      </c>
      <c r="V80" s="40" t="str">
        <f ca="1">'Endrunde 4'!$H28</f>
        <v>FC Barcelona</v>
      </c>
      <c r="W80" s="13" t="str">
        <f ca="1">'Endrunde 4'!$J28</f>
        <v>Kickers Rodendorf</v>
      </c>
      <c r="X80" s="13">
        <f ca="1">IF(AND($AA80=1,'Endrunde 4'!$K28&lt;&gt;"",'Endrunde 4'!$M28&lt;&gt;"",ABS('Endrunde 4'!$K28-'Endrunde 4'!$M28)&gt;1),'Endrunde 4'!$K28,"")</f>
        <v>25</v>
      </c>
      <c r="Y80" s="35">
        <f ca="1">IF(AND($AA80=1,'Endrunde 4'!$K28&lt;&gt;"",'Endrunde 4'!$M28&lt;&gt;"",ABS('Endrunde 4'!$K28-'Endrunde 4'!$M28)&gt;1),'Endrunde 4'!$M28,"")</f>
        <v>20</v>
      </c>
      <c r="Z80" s="34" t="str">
        <f t="shared" ca="1" si="3"/>
        <v>FC BarcelonaKickers Rodendorf</v>
      </c>
      <c r="AA80" s="809">
        <f ca="1">IF(AND(V80&lt;&gt;"",W80&lt;&gt;"",V80&lt;&gt;W80,'Endrunde 4'!$T28&lt;&gt;"",'Endrunde 4'!$V28&lt;&gt;""),1,0)</f>
        <v>1</v>
      </c>
      <c r="AB80" s="809" t="str">
        <f ca="1">IF(AA80&gt;0,AH80&amp;Sprache!$E$109&amp;AI80,"")</f>
        <v>50 : 31</v>
      </c>
      <c r="AC80" s="141" t="str">
        <f ca="1">IF(AA80&gt;0,AJ80&amp;Sprache!$E$109&amp;AK80,"")</f>
        <v>2 : 0</v>
      </c>
      <c r="AD80" s="145">
        <f ca="1">IF(AND($AA80=1,'Endrunde 4'!$N28&lt;&gt;"",'Endrunde 4'!$P28&lt;&gt;"",ABS('Endrunde 4'!$N28-'Endrunde 4'!$P28)&gt;1),'Endrunde 4'!$N28,"")</f>
        <v>25</v>
      </c>
      <c r="AE80" s="141">
        <f ca="1">IF(AND($AA80=1,'Endrunde 4'!$N28&lt;&gt;"",'Endrunde 4'!$P28&lt;&gt;"",ABS('Endrunde 4'!$N28-'Endrunde 4'!$P28)&gt;1),'Endrunde 4'!$P28,"")</f>
        <v>11</v>
      </c>
      <c r="AF80" s="145" t="str">
        <f ca="1">IF(AND($AA80=1,'Endrunde 4'!$Q28&lt;&gt;"",'Endrunde 4'!$S28&lt;&gt;"",ABS('Endrunde 4'!$Q28-'Endrunde 4'!$S28)&gt;1),'Endrunde 4'!$Q28,"")</f>
        <v/>
      </c>
      <c r="AG80" s="141" t="str">
        <f ca="1">IF(AND($AA80=1,'Endrunde 4'!$Q28&lt;&gt;"",'Endrunde 4'!$S28&lt;&gt;"",ABS('Endrunde 4'!$Q28-'Endrunde 4'!$S28)&gt;1),'Endrunde 4'!$S28,"")</f>
        <v/>
      </c>
      <c r="AH80" s="145">
        <f t="shared" ca="1" si="1"/>
        <v>50</v>
      </c>
      <c r="AI80" s="141">
        <f t="shared" ca="1" si="2"/>
        <v>31</v>
      </c>
      <c r="AJ80" s="145">
        <f ca="1">IF('Endrunde 4'!$T28="",0,'Endrunde 4'!$T28)</f>
        <v>2</v>
      </c>
      <c r="AK80" s="141">
        <f ca="1">IF('Endrunde 4'!$V28="",0,'Endrunde 4'!$V28)</f>
        <v>0</v>
      </c>
      <c r="AL80" s="145">
        <f ca="1">IF($AA80=0,"",IF($AJ80&gt;$AK80,Einstellungen!$C$4,IF($AJ80=$AK80,1,0)))</f>
        <v>2</v>
      </c>
      <c r="AM80" s="141">
        <f ca="1">IF($AA80=0,"",IF($AJ80&lt;$AK80,Einstellungen!$C$4,IF($AJ80=$AK80,1,0)))</f>
        <v>0</v>
      </c>
    </row>
    <row r="81" spans="2:39" s="2" customFormat="1" x14ac:dyDescent="0.2">
      <c r="B81" s="4"/>
      <c r="C81" s="4"/>
      <c r="D81" s="4"/>
      <c r="E81" s="4"/>
      <c r="F81" s="13"/>
      <c r="G81" s="13"/>
      <c r="H81" s="13"/>
      <c r="I81" s="13"/>
      <c r="J81" s="13"/>
      <c r="K81" s="13"/>
      <c r="L81" s="13"/>
      <c r="M81" s="13"/>
      <c r="U81" s="66" t="s">
        <v>32</v>
      </c>
      <c r="V81" s="40" t="str">
        <f ca="1">'Endrunde 4'!$H29</f>
        <v>Eintracht Frankfurt</v>
      </c>
      <c r="W81" s="13" t="str">
        <f ca="1">'Endrunde 4'!$J29</f>
        <v>Real Madrid</v>
      </c>
      <c r="X81" s="13">
        <f ca="1">IF(AND($AA81=1,'Endrunde 4'!$K29&lt;&gt;"",'Endrunde 4'!$M29&lt;&gt;"",ABS('Endrunde 4'!$K29-'Endrunde 4'!$M29)&gt;1),'Endrunde 4'!$K29,"")</f>
        <v>25</v>
      </c>
      <c r="Y81" s="35">
        <f ca="1">IF(AND($AA81=1,'Endrunde 4'!$K29&lt;&gt;"",'Endrunde 4'!$M29&lt;&gt;"",ABS('Endrunde 4'!$K29-'Endrunde 4'!$M29)&gt;1),'Endrunde 4'!$M29,"")</f>
        <v>12</v>
      </c>
      <c r="Z81" s="34" t="str">
        <f t="shared" ca="1" si="3"/>
        <v>Eintracht FrankfurtReal Madrid</v>
      </c>
      <c r="AA81" s="809">
        <f ca="1">IF(AND(V81&lt;&gt;"",W81&lt;&gt;"",V81&lt;&gt;W81,'Endrunde 4'!$T29&lt;&gt;"",'Endrunde 4'!$V29&lt;&gt;""),1,0)</f>
        <v>1</v>
      </c>
      <c r="AB81" s="809" t="str">
        <f ca="1">IF(AA81&gt;0,AH81&amp;Sprache!$E$109&amp;AI81,"")</f>
        <v>50 : 29</v>
      </c>
      <c r="AC81" s="141" t="str">
        <f ca="1">IF(AA81&gt;0,AJ81&amp;Sprache!$E$109&amp;AK81,"")</f>
        <v>2 : 0</v>
      </c>
      <c r="AD81" s="145">
        <f ca="1">IF(AND($AA81=1,'Endrunde 4'!$N29&lt;&gt;"",'Endrunde 4'!$P29&lt;&gt;"",ABS('Endrunde 4'!$N29-'Endrunde 4'!$P29)&gt;1),'Endrunde 4'!$N29,"")</f>
        <v>25</v>
      </c>
      <c r="AE81" s="141">
        <f ca="1">IF(AND($AA81=1,'Endrunde 4'!$N29&lt;&gt;"",'Endrunde 4'!$P29&lt;&gt;"",ABS('Endrunde 4'!$N29-'Endrunde 4'!$P29)&gt;1),'Endrunde 4'!$P29,"")</f>
        <v>17</v>
      </c>
      <c r="AF81" s="145" t="str">
        <f ca="1">IF(AND($AA81=1,'Endrunde 4'!$Q29&lt;&gt;"",'Endrunde 4'!$S29&lt;&gt;"",ABS('Endrunde 4'!$Q29-'Endrunde 4'!$S29)&gt;1),'Endrunde 4'!$Q29,"")</f>
        <v/>
      </c>
      <c r="AG81" s="141" t="str">
        <f ca="1">IF(AND($AA81=1,'Endrunde 4'!$Q29&lt;&gt;"",'Endrunde 4'!$S29&lt;&gt;"",ABS('Endrunde 4'!$Q29-'Endrunde 4'!$S29)&gt;1),'Endrunde 4'!$S29,"")</f>
        <v/>
      </c>
      <c r="AH81" s="145">
        <f t="shared" ca="1" si="1"/>
        <v>50</v>
      </c>
      <c r="AI81" s="141">
        <f t="shared" ca="1" si="2"/>
        <v>29</v>
      </c>
      <c r="AJ81" s="145">
        <f ca="1">IF('Endrunde 4'!$T29="",0,'Endrunde 4'!$T29)</f>
        <v>2</v>
      </c>
      <c r="AK81" s="141">
        <f ca="1">IF('Endrunde 4'!$V29="",0,'Endrunde 4'!$V29)</f>
        <v>0</v>
      </c>
      <c r="AL81" s="145">
        <f ca="1">IF($AA81=0,"",IF($AJ81&gt;$AK81,Einstellungen!$C$4,IF($AJ81=$AK81,1,0)))</f>
        <v>2</v>
      </c>
      <c r="AM81" s="141">
        <f ca="1">IF($AA81=0,"",IF($AJ81&lt;$AK81,Einstellungen!$C$4,IF($AJ81=$AK81,1,0)))</f>
        <v>0</v>
      </c>
    </row>
    <row r="82" spans="2:39" s="2" customFormat="1" x14ac:dyDescent="0.2">
      <c r="B82" s="4"/>
      <c r="C82" s="4"/>
      <c r="D82" s="4"/>
      <c r="E82" s="4"/>
      <c r="F82" s="13"/>
      <c r="G82" s="13"/>
      <c r="H82" s="13"/>
      <c r="I82" s="13"/>
      <c r="J82" s="13"/>
      <c r="K82" s="13"/>
      <c r="L82" s="13"/>
      <c r="M82" s="13"/>
      <c r="U82" s="66" t="s">
        <v>33</v>
      </c>
      <c r="V82" s="40" t="str">
        <f ca="1">'Endrunde 4'!$H30</f>
        <v/>
      </c>
      <c r="W82" s="13" t="str">
        <f ca="1">'Endrunde 4'!$J30</f>
        <v/>
      </c>
      <c r="X82" s="13" t="str">
        <f ca="1">IF(AND($AA82=1,'Endrunde 4'!$K30&lt;&gt;"",'Endrunde 4'!$M30&lt;&gt;"",ABS('Endrunde 4'!$K30-'Endrunde 4'!$M30)&gt;1),'Endrunde 4'!$K30,"")</f>
        <v/>
      </c>
      <c r="Y82" s="35" t="str">
        <f ca="1">IF(AND($AA82=1,'Endrunde 4'!$K30&lt;&gt;"",'Endrunde 4'!$M30&lt;&gt;"",ABS('Endrunde 4'!$K30-'Endrunde 4'!$M30)&gt;1),'Endrunde 4'!$M30,"")</f>
        <v/>
      </c>
      <c r="Z82" s="34" t="str">
        <f t="shared" ca="1" si="3"/>
        <v/>
      </c>
      <c r="AA82" s="809">
        <f ca="1">IF(AND(V82&lt;&gt;"",W82&lt;&gt;"",V82&lt;&gt;W82,'Endrunde 4'!$T30&lt;&gt;"",'Endrunde 4'!$V30&lt;&gt;""),1,0)</f>
        <v>0</v>
      </c>
      <c r="AB82" s="809" t="str">
        <f ca="1">IF(AA82&gt;0,AH82&amp;Sprache!$E$109&amp;AI82,"")</f>
        <v/>
      </c>
      <c r="AC82" s="141" t="str">
        <f ca="1">IF(AA82&gt;0,AJ82&amp;Sprache!$E$109&amp;AK82,"")</f>
        <v/>
      </c>
      <c r="AD82" s="145" t="str">
        <f ca="1">IF(AND($AA82=1,'Endrunde 4'!$N30&lt;&gt;"",'Endrunde 4'!$P30&lt;&gt;"",ABS('Endrunde 4'!$N30-'Endrunde 4'!$P30)&gt;1),'Endrunde 4'!$N30,"")</f>
        <v/>
      </c>
      <c r="AE82" s="141" t="str">
        <f ca="1">IF(AND($AA82=1,'Endrunde 4'!$N30&lt;&gt;"",'Endrunde 4'!$P30&lt;&gt;"",ABS('Endrunde 4'!$N30-'Endrunde 4'!$P30)&gt;1),'Endrunde 4'!$P30,"")</f>
        <v/>
      </c>
      <c r="AF82" s="145" t="str">
        <f ca="1">IF(AND($AA82=1,'Endrunde 4'!$Q30&lt;&gt;"",'Endrunde 4'!$S30&lt;&gt;"",ABS('Endrunde 4'!$Q30-'Endrunde 4'!$S30)&gt;1),'Endrunde 4'!$Q30,"")</f>
        <v/>
      </c>
      <c r="AG82" s="141" t="str">
        <f ca="1">IF(AND($AA82=1,'Endrunde 4'!$Q30&lt;&gt;"",'Endrunde 4'!$S30&lt;&gt;"",ABS('Endrunde 4'!$Q30-'Endrunde 4'!$S30)&gt;1),'Endrunde 4'!$S30,"")</f>
        <v/>
      </c>
      <c r="AH82" s="145" t="str">
        <f t="shared" ca="1" si="1"/>
        <v/>
      </c>
      <c r="AI82" s="141" t="str">
        <f t="shared" ca="1" si="2"/>
        <v/>
      </c>
      <c r="AJ82" s="145">
        <f ca="1">IF('Endrunde 4'!$T30="",0,'Endrunde 4'!$T30)</f>
        <v>0</v>
      </c>
      <c r="AK82" s="141">
        <f ca="1">IF('Endrunde 4'!$V30="",0,'Endrunde 4'!$V30)</f>
        <v>0</v>
      </c>
      <c r="AL82" s="145" t="str">
        <f ca="1">IF($AA82=0,"",IF($AJ82&gt;$AK82,Einstellungen!$C$4,IF($AJ82=$AK82,1,0)))</f>
        <v/>
      </c>
      <c r="AM82" s="141" t="str">
        <f ca="1">IF($AA82=0,"",IF($AJ82&lt;$AK82,Einstellungen!$C$4,IF($AJ82=$AK82,1,0)))</f>
        <v/>
      </c>
    </row>
    <row r="83" spans="2:39" s="2" customFormat="1" x14ac:dyDescent="0.2">
      <c r="B83" s="4"/>
      <c r="C83" s="4"/>
      <c r="D83" s="4"/>
      <c r="E83" s="4"/>
      <c r="F83" s="13"/>
      <c r="G83" s="13"/>
      <c r="H83" s="13"/>
      <c r="I83" s="13"/>
      <c r="J83" s="13"/>
      <c r="K83" s="13"/>
      <c r="L83" s="13"/>
      <c r="M83" s="13"/>
      <c r="U83" s="66" t="s">
        <v>34</v>
      </c>
      <c r="V83" s="40" t="str">
        <f ca="1">'Endrunde 4'!$H31</f>
        <v>SV Oberredenburg</v>
      </c>
      <c r="W83" s="13" t="str">
        <f ca="1">'Endrunde 4'!$J31</f>
        <v>FC Grönlingen</v>
      </c>
      <c r="X83" s="13">
        <f ca="1">IF(AND($AA83=1,'Endrunde 4'!$K31&lt;&gt;"",'Endrunde 4'!$M31&lt;&gt;"",ABS('Endrunde 4'!$K31-'Endrunde 4'!$M31)&gt;1),'Endrunde 4'!$K31,"")</f>
        <v>25</v>
      </c>
      <c r="Y83" s="35">
        <f ca="1">IF(AND($AA83=1,'Endrunde 4'!$K31&lt;&gt;"",'Endrunde 4'!$M31&lt;&gt;"",ABS('Endrunde 4'!$K31-'Endrunde 4'!$M31)&gt;1),'Endrunde 4'!$M31,"")</f>
        <v>23</v>
      </c>
      <c r="Z83" s="34" t="str">
        <f t="shared" ca="1" si="3"/>
        <v>SV OberredenburgFC Grönlingen</v>
      </c>
      <c r="AA83" s="809">
        <f ca="1">IF(AND(V83&lt;&gt;"",W83&lt;&gt;"",V83&lt;&gt;W83,'Endrunde 4'!$T31&lt;&gt;"",'Endrunde 4'!$V31&lt;&gt;""),1,0)</f>
        <v>1</v>
      </c>
      <c r="AB83" s="809" t="str">
        <f ca="1">IF(AA83&gt;0,AH83&amp;Sprache!$E$109&amp;AI83,"")</f>
        <v>50 : 42</v>
      </c>
      <c r="AC83" s="141" t="str">
        <f ca="1">IF(AA83&gt;0,AJ83&amp;Sprache!$E$109&amp;AK83,"")</f>
        <v>2 : 0</v>
      </c>
      <c r="AD83" s="145">
        <f ca="1">IF(AND($AA83=1,'Endrunde 4'!$N31&lt;&gt;"",'Endrunde 4'!$P31&lt;&gt;"",ABS('Endrunde 4'!$N31-'Endrunde 4'!$P31)&gt;1),'Endrunde 4'!$N31,"")</f>
        <v>25</v>
      </c>
      <c r="AE83" s="141">
        <f ca="1">IF(AND($AA83=1,'Endrunde 4'!$N31&lt;&gt;"",'Endrunde 4'!$P31&lt;&gt;"",ABS('Endrunde 4'!$N31-'Endrunde 4'!$P31)&gt;1),'Endrunde 4'!$P31,"")</f>
        <v>19</v>
      </c>
      <c r="AF83" s="145" t="str">
        <f ca="1">IF(AND($AA83=1,'Endrunde 4'!$Q31&lt;&gt;"",'Endrunde 4'!$S31&lt;&gt;"",ABS('Endrunde 4'!$Q31-'Endrunde 4'!$S31)&gt;1),'Endrunde 4'!$Q31,"")</f>
        <v/>
      </c>
      <c r="AG83" s="141" t="str">
        <f ca="1">IF(AND($AA83=1,'Endrunde 4'!$Q31&lt;&gt;"",'Endrunde 4'!$S31&lt;&gt;"",ABS('Endrunde 4'!$Q31-'Endrunde 4'!$S31)&gt;1),'Endrunde 4'!$S31,"")</f>
        <v/>
      </c>
      <c r="AH83" s="145">
        <f t="shared" ca="1" si="1"/>
        <v>50</v>
      </c>
      <c r="AI83" s="141">
        <f t="shared" ca="1" si="2"/>
        <v>42</v>
      </c>
      <c r="AJ83" s="145">
        <f ca="1">IF('Endrunde 4'!$T31="",0,'Endrunde 4'!$T31)</f>
        <v>2</v>
      </c>
      <c r="AK83" s="141">
        <f ca="1">IF('Endrunde 4'!$V31="",0,'Endrunde 4'!$V31)</f>
        <v>0</v>
      </c>
      <c r="AL83" s="145">
        <f ca="1">IF($AA83=0,"",IF($AJ83&gt;$AK83,Einstellungen!$C$4,IF($AJ83=$AK83,1,0)))</f>
        <v>2</v>
      </c>
      <c r="AM83" s="141">
        <f ca="1">IF($AA83=0,"",IF($AJ83&lt;$AK83,Einstellungen!$C$4,IF($AJ83=$AK83,1,0)))</f>
        <v>0</v>
      </c>
    </row>
    <row r="84" spans="2:39" s="2" customFormat="1" x14ac:dyDescent="0.2">
      <c r="B84" s="4"/>
      <c r="C84" s="4"/>
      <c r="D84" s="4"/>
      <c r="E84" s="4"/>
      <c r="F84" s="13"/>
      <c r="G84" s="13"/>
      <c r="H84" s="13"/>
      <c r="I84" s="13"/>
      <c r="J84" s="13"/>
      <c r="K84" s="13"/>
      <c r="L84" s="13"/>
      <c r="M84" s="13"/>
      <c r="U84" s="66" t="s">
        <v>35</v>
      </c>
      <c r="V84" s="40" t="str">
        <f ca="1">'Endrunde 4'!$H32</f>
        <v>HSV</v>
      </c>
      <c r="W84" s="13" t="str">
        <f ca="1">'Endrunde 4'!$J32</f>
        <v>SSV Wildbach</v>
      </c>
      <c r="X84" s="13">
        <f ca="1">IF(AND($AA84=1,'Endrunde 4'!$K32&lt;&gt;"",'Endrunde 4'!$M32&lt;&gt;"",ABS('Endrunde 4'!$K32-'Endrunde 4'!$M32)&gt;1),'Endrunde 4'!$K32,"")</f>
        <v>13</v>
      </c>
      <c r="Y84" s="35">
        <f ca="1">IF(AND($AA84=1,'Endrunde 4'!$K32&lt;&gt;"",'Endrunde 4'!$M32&lt;&gt;"",ABS('Endrunde 4'!$K32-'Endrunde 4'!$M32)&gt;1),'Endrunde 4'!$M32,"")</f>
        <v>25</v>
      </c>
      <c r="Z84" s="34" t="str">
        <f t="shared" ca="1" si="3"/>
        <v>HSVSSV Wildbach</v>
      </c>
      <c r="AA84" s="809">
        <f ca="1">IF(AND(V84&lt;&gt;"",W84&lt;&gt;"",V84&lt;&gt;W84,'Endrunde 4'!$T32&lt;&gt;"",'Endrunde 4'!$V32&lt;&gt;""),1,0)</f>
        <v>1</v>
      </c>
      <c r="AB84" s="809" t="str">
        <f ca="1">IF(AA84&gt;0,AH84&amp;Sprache!$E$109&amp;AI84,"")</f>
        <v>38 : 45</v>
      </c>
      <c r="AC84" s="141" t="str">
        <f ca="1">IF(AA84&gt;0,AJ84&amp;Sprache!$E$109&amp;AK84,"")</f>
        <v>1 : 1</v>
      </c>
      <c r="AD84" s="145">
        <f ca="1">IF(AND($AA84=1,'Endrunde 4'!$N32&lt;&gt;"",'Endrunde 4'!$P32&lt;&gt;"",ABS('Endrunde 4'!$N32-'Endrunde 4'!$P32)&gt;1),'Endrunde 4'!$N32,"")</f>
        <v>25</v>
      </c>
      <c r="AE84" s="141">
        <f ca="1">IF(AND($AA84=1,'Endrunde 4'!$N32&lt;&gt;"",'Endrunde 4'!$P32&lt;&gt;"",ABS('Endrunde 4'!$N32-'Endrunde 4'!$P32)&gt;1),'Endrunde 4'!$P32,"")</f>
        <v>20</v>
      </c>
      <c r="AF84" s="145" t="str">
        <f ca="1">IF(AND($AA84=1,'Endrunde 4'!$Q32&lt;&gt;"",'Endrunde 4'!$S32&lt;&gt;"",ABS('Endrunde 4'!$Q32-'Endrunde 4'!$S32)&gt;1),'Endrunde 4'!$Q32,"")</f>
        <v/>
      </c>
      <c r="AG84" s="141" t="str">
        <f ca="1">IF(AND($AA84=1,'Endrunde 4'!$Q32&lt;&gt;"",'Endrunde 4'!$S32&lt;&gt;"",ABS('Endrunde 4'!$Q32-'Endrunde 4'!$S32)&gt;1),'Endrunde 4'!$S32,"")</f>
        <v/>
      </c>
      <c r="AH84" s="145">
        <f t="shared" ca="1" si="1"/>
        <v>38</v>
      </c>
      <c r="AI84" s="141">
        <f t="shared" ca="1" si="2"/>
        <v>45</v>
      </c>
      <c r="AJ84" s="145">
        <f ca="1">IF('Endrunde 4'!$T32="",0,'Endrunde 4'!$T32)</f>
        <v>1</v>
      </c>
      <c r="AK84" s="141">
        <f ca="1">IF('Endrunde 4'!$V32="",0,'Endrunde 4'!$V32)</f>
        <v>1</v>
      </c>
      <c r="AL84" s="145">
        <f ca="1">IF($AA84=0,"",IF($AJ84&gt;$AK84,Einstellungen!$C$4,IF($AJ84=$AK84,1,0)))</f>
        <v>1</v>
      </c>
      <c r="AM84" s="141">
        <f ca="1">IF($AA84=0,"",IF($AJ84&lt;$AK84,Einstellungen!$C$4,IF($AJ84=$AK84,1,0)))</f>
        <v>1</v>
      </c>
    </row>
    <row r="85" spans="2:39" s="2" customFormat="1" x14ac:dyDescent="0.2">
      <c r="B85" s="4"/>
      <c r="C85" s="4"/>
      <c r="D85" s="4"/>
      <c r="E85" s="4"/>
      <c r="F85" s="13"/>
      <c r="G85" s="13"/>
      <c r="H85" s="13"/>
      <c r="I85" s="13"/>
      <c r="J85" s="13"/>
      <c r="K85" s="13"/>
      <c r="L85" s="13"/>
      <c r="M85" s="13"/>
      <c r="U85" s="66" t="s">
        <v>36</v>
      </c>
      <c r="V85" s="40" t="str">
        <f ca="1">'Endrunde 4'!$H33</f>
        <v>RB Leipzig</v>
      </c>
      <c r="W85" s="13" t="str">
        <f ca="1">'Endrunde 4'!$J33</f>
        <v>Mainz 05</v>
      </c>
      <c r="X85" s="13">
        <f ca="1">IF(AND($AA85=1,'Endrunde 4'!$K33&lt;&gt;"",'Endrunde 4'!$M33&lt;&gt;"",ABS('Endrunde 4'!$K33-'Endrunde 4'!$M33)&gt;1),'Endrunde 4'!$K33,"")</f>
        <v>19</v>
      </c>
      <c r="Y85" s="35">
        <f ca="1">IF(AND($AA85=1,'Endrunde 4'!$K33&lt;&gt;"",'Endrunde 4'!$M33&lt;&gt;"",ABS('Endrunde 4'!$K33-'Endrunde 4'!$M33)&gt;1),'Endrunde 4'!$M33,"")</f>
        <v>25</v>
      </c>
      <c r="Z85" s="34" t="str">
        <f t="shared" ca="1" si="3"/>
        <v>RB LeipzigMainz 05</v>
      </c>
      <c r="AA85" s="809">
        <f ca="1">IF(AND(V85&lt;&gt;"",W85&lt;&gt;"",V85&lt;&gt;W85,'Endrunde 4'!$T33&lt;&gt;"",'Endrunde 4'!$V33&lt;&gt;""),1,0)</f>
        <v>1</v>
      </c>
      <c r="AB85" s="809" t="str">
        <f ca="1">IF(AA85&gt;0,AH85&amp;Sprache!$E$109&amp;AI85,"")</f>
        <v>44 : 46</v>
      </c>
      <c r="AC85" s="141" t="str">
        <f ca="1">IF(AA85&gt;0,AJ85&amp;Sprache!$E$109&amp;AK85,"")</f>
        <v>1 : 1</v>
      </c>
      <c r="AD85" s="145">
        <f ca="1">IF(AND($AA85=1,'Endrunde 4'!$N33&lt;&gt;"",'Endrunde 4'!$P33&lt;&gt;"",ABS('Endrunde 4'!$N33-'Endrunde 4'!$P33)&gt;1),'Endrunde 4'!$N33,"")</f>
        <v>25</v>
      </c>
      <c r="AE85" s="141">
        <f ca="1">IF(AND($AA85=1,'Endrunde 4'!$N33&lt;&gt;"",'Endrunde 4'!$P33&lt;&gt;"",ABS('Endrunde 4'!$N33-'Endrunde 4'!$P33)&gt;1),'Endrunde 4'!$P33,"")</f>
        <v>21</v>
      </c>
      <c r="AF85" s="145" t="str">
        <f ca="1">IF(AND($AA85=1,'Endrunde 4'!$Q33&lt;&gt;"",'Endrunde 4'!$S33&lt;&gt;"",ABS('Endrunde 4'!$Q33-'Endrunde 4'!$S33)&gt;1),'Endrunde 4'!$Q33,"")</f>
        <v/>
      </c>
      <c r="AG85" s="141" t="str">
        <f ca="1">IF(AND($AA85=1,'Endrunde 4'!$Q33&lt;&gt;"",'Endrunde 4'!$S33&lt;&gt;"",ABS('Endrunde 4'!$Q33-'Endrunde 4'!$S33)&gt;1),'Endrunde 4'!$S33,"")</f>
        <v/>
      </c>
      <c r="AH85" s="145">
        <f t="shared" ca="1" si="1"/>
        <v>44</v>
      </c>
      <c r="AI85" s="141">
        <f t="shared" ca="1" si="2"/>
        <v>46</v>
      </c>
      <c r="AJ85" s="145">
        <f ca="1">IF('Endrunde 4'!$T33="",0,'Endrunde 4'!$T33)</f>
        <v>1</v>
      </c>
      <c r="AK85" s="141">
        <f ca="1">IF('Endrunde 4'!$V33="",0,'Endrunde 4'!$V33)</f>
        <v>1</v>
      </c>
      <c r="AL85" s="145">
        <f ca="1">IF($AA85=0,"",IF($AJ85&gt;$AK85,Einstellungen!$C$4,IF($AJ85=$AK85,1,0)))</f>
        <v>1</v>
      </c>
      <c r="AM85" s="141">
        <f ca="1">IF($AA85=0,"",IF($AJ85&lt;$AK85,Einstellungen!$C$4,IF($AJ85=$AK85,1,0)))</f>
        <v>1</v>
      </c>
    </row>
    <row r="86" spans="2:39" s="2" customFormat="1" x14ac:dyDescent="0.2">
      <c r="B86" s="4"/>
      <c r="C86" s="4"/>
      <c r="D86" s="4"/>
      <c r="E86" s="4"/>
      <c r="F86" s="13"/>
      <c r="G86" s="13"/>
      <c r="H86" s="13"/>
      <c r="I86" s="13"/>
      <c r="J86" s="13"/>
      <c r="K86" s="13"/>
      <c r="L86" s="13"/>
      <c r="M86" s="13"/>
      <c r="U86" s="66" t="s">
        <v>37</v>
      </c>
      <c r="V86" s="40" t="str">
        <f ca="1">'Endrunde 4'!$H34</f>
        <v>Paris St. Germain</v>
      </c>
      <c r="W86" s="13" t="str">
        <f ca="1">'Endrunde 4'!$J34</f>
        <v>Manchester City</v>
      </c>
      <c r="X86" s="13">
        <f ca="1">IF(AND($AA86=1,'Endrunde 4'!$K34&lt;&gt;"",'Endrunde 4'!$M34&lt;&gt;"",ABS('Endrunde 4'!$K34-'Endrunde 4'!$M34)&gt;1),'Endrunde 4'!$K34,"")</f>
        <v>17</v>
      </c>
      <c r="Y86" s="35">
        <f ca="1">IF(AND($AA86=1,'Endrunde 4'!$K34&lt;&gt;"",'Endrunde 4'!$M34&lt;&gt;"",ABS('Endrunde 4'!$K34-'Endrunde 4'!$M34)&gt;1),'Endrunde 4'!$M34,"")</f>
        <v>25</v>
      </c>
      <c r="Z86" s="34" t="str">
        <f t="shared" ca="1" si="3"/>
        <v>Paris St. GermainManchester City</v>
      </c>
      <c r="AA86" s="809">
        <f ca="1">IF(AND(V86&lt;&gt;"",W86&lt;&gt;"",V86&lt;&gt;W86,'Endrunde 4'!$T34&lt;&gt;"",'Endrunde 4'!$V34&lt;&gt;""),1,0)</f>
        <v>1</v>
      </c>
      <c r="AB86" s="809" t="str">
        <f ca="1">IF(AA86&gt;0,AH86&amp;Sprache!$E$109&amp;AI86,"")</f>
        <v>42 : 47</v>
      </c>
      <c r="AC86" s="141" t="str">
        <f ca="1">IF(AA86&gt;0,AJ86&amp;Sprache!$E$109&amp;AK86,"")</f>
        <v>1 : 1</v>
      </c>
      <c r="AD86" s="145">
        <f ca="1">IF(AND($AA86=1,'Endrunde 4'!$N34&lt;&gt;"",'Endrunde 4'!$P34&lt;&gt;"",ABS('Endrunde 4'!$N34-'Endrunde 4'!$P34)&gt;1),'Endrunde 4'!$N34,"")</f>
        <v>25</v>
      </c>
      <c r="AE86" s="141">
        <f ca="1">IF(AND($AA86=1,'Endrunde 4'!$N34&lt;&gt;"",'Endrunde 4'!$P34&lt;&gt;"",ABS('Endrunde 4'!$N34-'Endrunde 4'!$P34)&gt;1),'Endrunde 4'!$P34,"")</f>
        <v>22</v>
      </c>
      <c r="AF86" s="145" t="str">
        <f ca="1">IF(AND($AA86=1,'Endrunde 4'!$Q34&lt;&gt;"",'Endrunde 4'!$S34&lt;&gt;"",ABS('Endrunde 4'!$Q34-'Endrunde 4'!$S34)&gt;1),'Endrunde 4'!$Q34,"")</f>
        <v/>
      </c>
      <c r="AG86" s="141" t="str">
        <f ca="1">IF(AND($AA86=1,'Endrunde 4'!$Q34&lt;&gt;"",'Endrunde 4'!$S34&lt;&gt;"",ABS('Endrunde 4'!$Q34-'Endrunde 4'!$S34)&gt;1),'Endrunde 4'!$S34,"")</f>
        <v/>
      </c>
      <c r="AH86" s="145">
        <f t="shared" ca="1" si="1"/>
        <v>42</v>
      </c>
      <c r="AI86" s="141">
        <f t="shared" ca="1" si="2"/>
        <v>47</v>
      </c>
      <c r="AJ86" s="145">
        <f ca="1">IF('Endrunde 4'!$T34="",0,'Endrunde 4'!$T34)</f>
        <v>1</v>
      </c>
      <c r="AK86" s="141">
        <f ca="1">IF('Endrunde 4'!$V34="",0,'Endrunde 4'!$V34)</f>
        <v>1</v>
      </c>
      <c r="AL86" s="145">
        <f ca="1">IF($AA86=0,"",IF($AJ86&gt;$AK86,Einstellungen!$C$4,IF($AJ86=$AK86,1,0)))</f>
        <v>1</v>
      </c>
      <c r="AM86" s="141">
        <f ca="1">IF($AA86=0,"",IF($AJ86&lt;$AK86,Einstellungen!$C$4,IF($AJ86=$AK86,1,0)))</f>
        <v>1</v>
      </c>
    </row>
    <row r="87" spans="2:39" s="2" customFormat="1" x14ac:dyDescent="0.2">
      <c r="B87" s="4"/>
      <c r="C87" s="4"/>
      <c r="D87" s="4"/>
      <c r="E87" s="4"/>
      <c r="F87" s="13"/>
      <c r="G87" s="13"/>
      <c r="H87" s="13"/>
      <c r="I87" s="13"/>
      <c r="J87" s="13"/>
      <c r="K87" s="13"/>
      <c r="L87" s="13"/>
      <c r="M87" s="13"/>
      <c r="U87" s="66" t="s">
        <v>38</v>
      </c>
      <c r="V87" s="40" t="str">
        <f ca="1">'Endrunde 4'!$H35</f>
        <v>TSG Saalberg eV</v>
      </c>
      <c r="W87" s="13" t="str">
        <f ca="1">'Endrunde 4'!$J35</f>
        <v>Inter Mailand</v>
      </c>
      <c r="X87" s="13">
        <f ca="1">IF(AND($AA87=1,'Endrunde 4'!$K35&lt;&gt;"",'Endrunde 4'!$M35&lt;&gt;"",ABS('Endrunde 4'!$K35-'Endrunde 4'!$M35)&gt;1),'Endrunde 4'!$K35,"")</f>
        <v>14</v>
      </c>
      <c r="Y87" s="35">
        <f ca="1">IF(AND($AA87=1,'Endrunde 4'!$K35&lt;&gt;"",'Endrunde 4'!$M35&lt;&gt;"",ABS('Endrunde 4'!$K35-'Endrunde 4'!$M35)&gt;1),'Endrunde 4'!$M35,"")</f>
        <v>25</v>
      </c>
      <c r="Z87" s="34" t="str">
        <f t="shared" ca="1" si="3"/>
        <v>TSG Saalberg eVInter Mailand</v>
      </c>
      <c r="AA87" s="809">
        <f ca="1">IF(AND(V87&lt;&gt;"",W87&lt;&gt;"",V87&lt;&gt;W87,'Endrunde 4'!$T35&lt;&gt;"",'Endrunde 4'!$V35&lt;&gt;""),1,0)</f>
        <v>1</v>
      </c>
      <c r="AB87" s="809" t="str">
        <f ca="1">IF(AA87&gt;0,AH87&amp;Sprache!$E$109&amp;AI87,"")</f>
        <v>39 : 48</v>
      </c>
      <c r="AC87" s="141" t="str">
        <f ca="1">IF(AA87&gt;0,AJ87&amp;Sprache!$E$109&amp;AK87,"")</f>
        <v>1 : 1</v>
      </c>
      <c r="AD87" s="145">
        <f ca="1">IF(AND($AA87=1,'Endrunde 4'!$N35&lt;&gt;"",'Endrunde 4'!$P35&lt;&gt;"",ABS('Endrunde 4'!$N35-'Endrunde 4'!$P35)&gt;1),'Endrunde 4'!$N35,"")</f>
        <v>25</v>
      </c>
      <c r="AE87" s="141">
        <f ca="1">IF(AND($AA87=1,'Endrunde 4'!$N35&lt;&gt;"",'Endrunde 4'!$P35&lt;&gt;"",ABS('Endrunde 4'!$N35-'Endrunde 4'!$P35)&gt;1),'Endrunde 4'!$P35,"")</f>
        <v>23</v>
      </c>
      <c r="AF87" s="145" t="str">
        <f ca="1">IF(AND($AA87=1,'Endrunde 4'!$Q35&lt;&gt;"",'Endrunde 4'!$S35&lt;&gt;"",ABS('Endrunde 4'!$Q35-'Endrunde 4'!$S35)&gt;1),'Endrunde 4'!$Q35,"")</f>
        <v/>
      </c>
      <c r="AG87" s="141" t="str">
        <f ca="1">IF(AND($AA87=1,'Endrunde 4'!$Q35&lt;&gt;"",'Endrunde 4'!$S35&lt;&gt;"",ABS('Endrunde 4'!$Q35-'Endrunde 4'!$S35)&gt;1),'Endrunde 4'!$S35,"")</f>
        <v/>
      </c>
      <c r="AH87" s="145">
        <f t="shared" ca="1" si="1"/>
        <v>39</v>
      </c>
      <c r="AI87" s="141">
        <f t="shared" ca="1" si="2"/>
        <v>48</v>
      </c>
      <c r="AJ87" s="145">
        <f ca="1">IF('Endrunde 4'!$T35="",0,'Endrunde 4'!$T35)</f>
        <v>1</v>
      </c>
      <c r="AK87" s="141">
        <f ca="1">IF('Endrunde 4'!$V35="",0,'Endrunde 4'!$V35)</f>
        <v>1</v>
      </c>
      <c r="AL87" s="145">
        <f ca="1">IF($AA87=0,"",IF($AJ87&gt;$AK87,Einstellungen!$C$4,IF($AJ87=$AK87,1,0)))</f>
        <v>1</v>
      </c>
      <c r="AM87" s="141">
        <f ca="1">IF($AA87=0,"",IF($AJ87&lt;$AK87,Einstellungen!$C$4,IF($AJ87=$AK87,1,0)))</f>
        <v>1</v>
      </c>
    </row>
    <row r="88" spans="2:39" s="2" customFormat="1" x14ac:dyDescent="0.2">
      <c r="B88" s="4"/>
      <c r="C88" s="4"/>
      <c r="D88" s="4"/>
      <c r="E88" s="4"/>
      <c r="F88" s="13"/>
      <c r="G88" s="13"/>
      <c r="H88" s="13"/>
      <c r="I88" s="13"/>
      <c r="J88" s="13"/>
      <c r="K88" s="13"/>
      <c r="L88" s="13"/>
      <c r="M88" s="13"/>
      <c r="U88" s="66" t="s">
        <v>39</v>
      </c>
      <c r="V88" s="40" t="str">
        <f ca="1">'Endrunde 4'!$H36</f>
        <v/>
      </c>
      <c r="W88" s="13" t="str">
        <f ca="1">'Endrunde 4'!$J36</f>
        <v/>
      </c>
      <c r="X88" s="13" t="str">
        <f ca="1">IF(AND($AA88=1,'Endrunde 4'!$K36&lt;&gt;"",'Endrunde 4'!$M36&lt;&gt;"",ABS('Endrunde 4'!$K36-'Endrunde 4'!$M36)&gt;1),'Endrunde 4'!$K36,"")</f>
        <v/>
      </c>
      <c r="Y88" s="35" t="str">
        <f ca="1">IF(AND($AA88=1,'Endrunde 4'!$K36&lt;&gt;"",'Endrunde 4'!$M36&lt;&gt;"",ABS('Endrunde 4'!$K36-'Endrunde 4'!$M36)&gt;1),'Endrunde 4'!$M36,"")</f>
        <v/>
      </c>
      <c r="Z88" s="34" t="str">
        <f t="shared" ca="1" si="3"/>
        <v/>
      </c>
      <c r="AA88" s="809">
        <f ca="1">IF(AND(V88&lt;&gt;"",W88&lt;&gt;"",V88&lt;&gt;W88,'Endrunde 4'!$T36&lt;&gt;"",'Endrunde 4'!$V36&lt;&gt;""),1,0)</f>
        <v>0</v>
      </c>
      <c r="AB88" s="809" t="str">
        <f ca="1">IF(AA88&gt;0,AH88&amp;Sprache!$E$109&amp;AI88,"")</f>
        <v/>
      </c>
      <c r="AC88" s="141" t="str">
        <f ca="1">IF(AA88&gt;0,AJ88&amp;Sprache!$E$109&amp;AK88,"")</f>
        <v/>
      </c>
      <c r="AD88" s="145" t="str">
        <f ca="1">IF(AND($AA88=1,'Endrunde 4'!$N36&lt;&gt;"",'Endrunde 4'!$P36&lt;&gt;"",ABS('Endrunde 4'!$N36-'Endrunde 4'!$P36)&gt;1),'Endrunde 4'!$N36,"")</f>
        <v/>
      </c>
      <c r="AE88" s="141" t="str">
        <f ca="1">IF(AND($AA88=1,'Endrunde 4'!$N36&lt;&gt;"",'Endrunde 4'!$P36&lt;&gt;"",ABS('Endrunde 4'!$N36-'Endrunde 4'!$P36)&gt;1),'Endrunde 4'!$P36,"")</f>
        <v/>
      </c>
      <c r="AF88" s="145" t="str">
        <f ca="1">IF(AND($AA88=1,'Endrunde 4'!$Q36&lt;&gt;"",'Endrunde 4'!$S36&lt;&gt;"",ABS('Endrunde 4'!$Q36-'Endrunde 4'!$S36)&gt;1),'Endrunde 4'!$Q36,"")</f>
        <v/>
      </c>
      <c r="AG88" s="141" t="str">
        <f ca="1">IF(AND($AA88=1,'Endrunde 4'!$Q36&lt;&gt;"",'Endrunde 4'!$S36&lt;&gt;"",ABS('Endrunde 4'!$Q36-'Endrunde 4'!$S36)&gt;1),'Endrunde 4'!$S36,"")</f>
        <v/>
      </c>
      <c r="AH88" s="145" t="str">
        <f t="shared" ca="1" si="1"/>
        <v/>
      </c>
      <c r="AI88" s="141" t="str">
        <f t="shared" ca="1" si="2"/>
        <v/>
      </c>
      <c r="AJ88" s="145">
        <f ca="1">IF('Endrunde 4'!$T36="",0,'Endrunde 4'!$T36)</f>
        <v>0</v>
      </c>
      <c r="AK88" s="141">
        <f ca="1">IF('Endrunde 4'!$V36="",0,'Endrunde 4'!$V36)</f>
        <v>0</v>
      </c>
      <c r="AL88" s="145" t="str">
        <f ca="1">IF($AA88=0,"",IF($AJ88&gt;$AK88,Einstellungen!$C$4,IF($AJ88=$AK88,1,0)))</f>
        <v/>
      </c>
      <c r="AM88" s="141" t="str">
        <f ca="1">IF($AA88=0,"",IF($AJ88&lt;$AK88,Einstellungen!$C$4,IF($AJ88=$AK88,1,0)))</f>
        <v/>
      </c>
    </row>
    <row r="89" spans="2:39" s="2" customFormat="1" x14ac:dyDescent="0.2">
      <c r="B89" s="4"/>
      <c r="C89" s="4"/>
      <c r="D89" s="4"/>
      <c r="E89" s="4"/>
      <c r="F89" s="13"/>
      <c r="G89" s="13"/>
      <c r="H89" s="13"/>
      <c r="I89" s="13"/>
      <c r="J89" s="13"/>
      <c r="K89" s="13"/>
      <c r="L89" s="13"/>
      <c r="M89" s="13"/>
      <c r="U89" s="66" t="s">
        <v>40</v>
      </c>
      <c r="V89" s="40" t="str">
        <f ca="1">'Endrunde 4'!$H37</f>
        <v>SV Oberredenburg</v>
      </c>
      <c r="W89" s="13" t="str">
        <f ca="1">'Endrunde 4'!$J37</f>
        <v>Maibach 1822 eV</v>
      </c>
      <c r="X89" s="13">
        <f ca="1">IF(AND($AA89=1,'Endrunde 4'!$K37&lt;&gt;"",'Endrunde 4'!$M37&lt;&gt;"",ABS('Endrunde 4'!$K37-'Endrunde 4'!$M37)&gt;1),'Endrunde 4'!$K37,"")</f>
        <v>19</v>
      </c>
      <c r="Y89" s="35">
        <f ca="1">IF(AND($AA89=1,'Endrunde 4'!$K37&lt;&gt;"",'Endrunde 4'!$M37&lt;&gt;"",ABS('Endrunde 4'!$K37-'Endrunde 4'!$M37)&gt;1),'Endrunde 4'!$M37,"")</f>
        <v>25</v>
      </c>
      <c r="Z89" s="34" t="str">
        <f t="shared" ca="1" si="3"/>
        <v>SV OberredenburgMaibach 1822 eV</v>
      </c>
      <c r="AA89" s="809">
        <f ca="1">IF(AND(V89&lt;&gt;"",W89&lt;&gt;"",V89&lt;&gt;W89,'Endrunde 4'!$T37&lt;&gt;"",'Endrunde 4'!$V37&lt;&gt;""),1,0)</f>
        <v>1</v>
      </c>
      <c r="AB89" s="809" t="str">
        <f ca="1">IF(AA89&gt;0,AH89&amp;Sprache!$E$109&amp;AI89,"")</f>
        <v>44 : 43</v>
      </c>
      <c r="AC89" s="141" t="str">
        <f ca="1">IF(AA89&gt;0,AJ89&amp;Sprache!$E$109&amp;AK89,"")</f>
        <v>1 : 1</v>
      </c>
      <c r="AD89" s="145">
        <f ca="1">IF(AND($AA89=1,'Endrunde 4'!$N37&lt;&gt;"",'Endrunde 4'!$P37&lt;&gt;"",ABS('Endrunde 4'!$N37-'Endrunde 4'!$P37)&gt;1),'Endrunde 4'!$N37,"")</f>
        <v>25</v>
      </c>
      <c r="AE89" s="141">
        <f ca="1">IF(AND($AA89=1,'Endrunde 4'!$N37&lt;&gt;"",'Endrunde 4'!$P37&lt;&gt;"",ABS('Endrunde 4'!$N37-'Endrunde 4'!$P37)&gt;1),'Endrunde 4'!$P37,"")</f>
        <v>18</v>
      </c>
      <c r="AF89" s="145" t="str">
        <f ca="1">IF(AND($AA89=1,'Endrunde 4'!$Q37&lt;&gt;"",'Endrunde 4'!$S37&lt;&gt;"",ABS('Endrunde 4'!$Q37-'Endrunde 4'!$S37)&gt;1),'Endrunde 4'!$Q37,"")</f>
        <v/>
      </c>
      <c r="AG89" s="141" t="str">
        <f ca="1">IF(AND($AA89=1,'Endrunde 4'!$Q37&lt;&gt;"",'Endrunde 4'!$S37&lt;&gt;"",ABS('Endrunde 4'!$Q37-'Endrunde 4'!$S37)&gt;1),'Endrunde 4'!$S37,"")</f>
        <v/>
      </c>
      <c r="AH89" s="145">
        <f t="shared" ca="1" si="1"/>
        <v>44</v>
      </c>
      <c r="AI89" s="141">
        <f t="shared" ca="1" si="2"/>
        <v>43</v>
      </c>
      <c r="AJ89" s="145">
        <f ca="1">IF('Endrunde 4'!$T37="",0,'Endrunde 4'!$T37)</f>
        <v>1</v>
      </c>
      <c r="AK89" s="141">
        <f ca="1">IF('Endrunde 4'!$V37="",0,'Endrunde 4'!$V37)</f>
        <v>1</v>
      </c>
      <c r="AL89" s="145">
        <f ca="1">IF($AA89=0,"",IF($AJ89&gt;$AK89,Einstellungen!$C$4,IF($AJ89=$AK89,1,0)))</f>
        <v>1</v>
      </c>
      <c r="AM89" s="141">
        <f ca="1">IF($AA89=0,"",IF($AJ89&lt;$AK89,Einstellungen!$C$4,IF($AJ89=$AK89,1,0)))</f>
        <v>1</v>
      </c>
    </row>
    <row r="90" spans="2:39" s="2" customFormat="1" x14ac:dyDescent="0.2">
      <c r="B90" s="4"/>
      <c r="C90" s="4"/>
      <c r="D90" s="4"/>
      <c r="E90" s="4"/>
      <c r="F90" s="13"/>
      <c r="G90" s="13"/>
      <c r="H90" s="13"/>
      <c r="I90" s="13"/>
      <c r="J90" s="13"/>
      <c r="K90" s="13"/>
      <c r="L90" s="13"/>
      <c r="M90" s="13"/>
      <c r="U90" s="66" t="s">
        <v>41</v>
      </c>
      <c r="V90" s="40" t="str">
        <f ca="1">'Endrunde 4'!$H38</f>
        <v>HSV</v>
      </c>
      <c r="W90" s="13" t="str">
        <f ca="1">'Endrunde 4'!$J38</f>
        <v>VFB Essenheim</v>
      </c>
      <c r="X90" s="13">
        <f ca="1">IF(AND($AA90=1,'Endrunde 4'!$K38&lt;&gt;"",'Endrunde 4'!$M38&lt;&gt;"",ABS('Endrunde 4'!$K38-'Endrunde 4'!$M38)&gt;1),'Endrunde 4'!$K38,"")</f>
        <v>22</v>
      </c>
      <c r="Y90" s="35">
        <f ca="1">IF(AND($AA90=1,'Endrunde 4'!$K38&lt;&gt;"",'Endrunde 4'!$M38&lt;&gt;"",ABS('Endrunde 4'!$K38-'Endrunde 4'!$M38)&gt;1),'Endrunde 4'!$M38,"")</f>
        <v>25</v>
      </c>
      <c r="Z90" s="34" t="str">
        <f t="shared" ca="1" si="3"/>
        <v>HSVVFB Essenheim</v>
      </c>
      <c r="AA90" s="809">
        <f ca="1">IF(AND(V90&lt;&gt;"",W90&lt;&gt;"",V90&lt;&gt;W90,'Endrunde 4'!$T38&lt;&gt;"",'Endrunde 4'!$V38&lt;&gt;""),1,0)</f>
        <v>1</v>
      </c>
      <c r="AB90" s="809" t="str">
        <f ca="1">IF(AA90&gt;0,AH90&amp;Sprache!$E$109&amp;AI90,"")</f>
        <v>47 : 44</v>
      </c>
      <c r="AC90" s="141" t="str">
        <f ca="1">IF(AA90&gt;0,AJ90&amp;Sprache!$E$109&amp;AK90,"")</f>
        <v>1 : 1</v>
      </c>
      <c r="AD90" s="145">
        <f ca="1">IF(AND($AA90=1,'Endrunde 4'!$N38&lt;&gt;"",'Endrunde 4'!$P38&lt;&gt;"",ABS('Endrunde 4'!$N38-'Endrunde 4'!$P38)&gt;1),'Endrunde 4'!$N38,"")</f>
        <v>25</v>
      </c>
      <c r="AE90" s="141">
        <f ca="1">IF(AND($AA90=1,'Endrunde 4'!$N38&lt;&gt;"",'Endrunde 4'!$P38&lt;&gt;"",ABS('Endrunde 4'!$N38-'Endrunde 4'!$P38)&gt;1),'Endrunde 4'!$P38,"")</f>
        <v>19</v>
      </c>
      <c r="AF90" s="145" t="str">
        <f ca="1">IF(AND($AA90=1,'Endrunde 4'!$Q38&lt;&gt;"",'Endrunde 4'!$S38&lt;&gt;"",ABS('Endrunde 4'!$Q38-'Endrunde 4'!$S38)&gt;1),'Endrunde 4'!$Q38,"")</f>
        <v/>
      </c>
      <c r="AG90" s="141" t="str">
        <f ca="1">IF(AND($AA90=1,'Endrunde 4'!$Q38&lt;&gt;"",'Endrunde 4'!$S38&lt;&gt;"",ABS('Endrunde 4'!$Q38-'Endrunde 4'!$S38)&gt;1),'Endrunde 4'!$S38,"")</f>
        <v/>
      </c>
      <c r="AH90" s="145">
        <f t="shared" ca="1" si="1"/>
        <v>47</v>
      </c>
      <c r="AI90" s="141">
        <f t="shared" ca="1" si="2"/>
        <v>44</v>
      </c>
      <c r="AJ90" s="145">
        <f ca="1">IF('Endrunde 4'!$T38="",0,'Endrunde 4'!$T38)</f>
        <v>1</v>
      </c>
      <c r="AK90" s="141">
        <f ca="1">IF('Endrunde 4'!$V38="",0,'Endrunde 4'!$V38)</f>
        <v>1</v>
      </c>
      <c r="AL90" s="145">
        <f ca="1">IF($AA90=0,"",IF($AJ90&gt;$AK90,Einstellungen!$C$4,IF($AJ90=$AK90,1,0)))</f>
        <v>1</v>
      </c>
      <c r="AM90" s="141">
        <f ca="1">IF($AA90=0,"",IF($AJ90&lt;$AK90,Einstellungen!$C$4,IF($AJ90=$AK90,1,0)))</f>
        <v>1</v>
      </c>
    </row>
    <row r="91" spans="2:39" s="2" customFormat="1" x14ac:dyDescent="0.2">
      <c r="B91" s="4"/>
      <c r="C91" s="4"/>
      <c r="D91" s="4"/>
      <c r="E91" s="4"/>
      <c r="F91" s="13"/>
      <c r="G91" s="13"/>
      <c r="H91" s="13"/>
      <c r="I91" s="13"/>
      <c r="J91" s="13"/>
      <c r="K91" s="13"/>
      <c r="L91" s="13"/>
      <c r="M91" s="13"/>
      <c r="U91" s="66" t="s">
        <v>42</v>
      </c>
      <c r="V91" s="40" t="str">
        <f ca="1">'Endrunde 4'!$H39</f>
        <v>RB Leipzig</v>
      </c>
      <c r="W91" s="13" t="str">
        <f ca="1">'Endrunde 4'!$J39</f>
        <v>1. FC Riedwald</v>
      </c>
      <c r="X91" s="13">
        <f ca="1">IF(AND($AA91=1,'Endrunde 4'!$K39&lt;&gt;"",'Endrunde 4'!$M39&lt;&gt;"",ABS('Endrunde 4'!$K39-'Endrunde 4'!$M39)&gt;1),'Endrunde 4'!$K39,"")</f>
        <v>19</v>
      </c>
      <c r="Y91" s="35">
        <f ca="1">IF(AND($AA91=1,'Endrunde 4'!$K39&lt;&gt;"",'Endrunde 4'!$M39&lt;&gt;"",ABS('Endrunde 4'!$K39-'Endrunde 4'!$M39)&gt;1),'Endrunde 4'!$M39,"")</f>
        <v>25</v>
      </c>
      <c r="Z91" s="34" t="str">
        <f t="shared" ca="1" si="3"/>
        <v>RB Leipzig1. FC Riedwald</v>
      </c>
      <c r="AA91" s="809">
        <f ca="1">IF(AND(V91&lt;&gt;"",W91&lt;&gt;"",V91&lt;&gt;W91,'Endrunde 4'!$T39&lt;&gt;"",'Endrunde 4'!$V39&lt;&gt;""),1,0)</f>
        <v>1</v>
      </c>
      <c r="AB91" s="809" t="str">
        <f ca="1">IF(AA91&gt;0,AH91&amp;Sprache!$E$109&amp;AI91,"")</f>
        <v>44 : 45</v>
      </c>
      <c r="AC91" s="141" t="str">
        <f ca="1">IF(AA91&gt;0,AJ91&amp;Sprache!$E$109&amp;AK91,"")</f>
        <v>1 : 1</v>
      </c>
      <c r="AD91" s="145">
        <f ca="1">IF(AND($AA91=1,'Endrunde 4'!$N39&lt;&gt;"",'Endrunde 4'!$P39&lt;&gt;"",ABS('Endrunde 4'!$N39-'Endrunde 4'!$P39)&gt;1),'Endrunde 4'!$N39,"")</f>
        <v>25</v>
      </c>
      <c r="AE91" s="141">
        <f ca="1">IF(AND($AA91=1,'Endrunde 4'!$N39&lt;&gt;"",'Endrunde 4'!$P39&lt;&gt;"",ABS('Endrunde 4'!$N39-'Endrunde 4'!$P39)&gt;1),'Endrunde 4'!$P39,"")</f>
        <v>20</v>
      </c>
      <c r="AF91" s="145" t="str">
        <f ca="1">IF(AND($AA91=1,'Endrunde 4'!$Q39&lt;&gt;"",'Endrunde 4'!$S39&lt;&gt;"",ABS('Endrunde 4'!$Q39-'Endrunde 4'!$S39)&gt;1),'Endrunde 4'!$Q39,"")</f>
        <v/>
      </c>
      <c r="AG91" s="141" t="str">
        <f ca="1">IF(AND($AA91=1,'Endrunde 4'!$Q39&lt;&gt;"",'Endrunde 4'!$S39&lt;&gt;"",ABS('Endrunde 4'!$Q39-'Endrunde 4'!$S39)&gt;1),'Endrunde 4'!$S39,"")</f>
        <v/>
      </c>
      <c r="AH91" s="145">
        <f t="shared" ca="1" si="1"/>
        <v>44</v>
      </c>
      <c r="AI91" s="141">
        <f t="shared" ca="1" si="2"/>
        <v>45</v>
      </c>
      <c r="AJ91" s="145">
        <f ca="1">IF('Endrunde 4'!$T39="",0,'Endrunde 4'!$T39)</f>
        <v>1</v>
      </c>
      <c r="AK91" s="141">
        <f ca="1">IF('Endrunde 4'!$V39="",0,'Endrunde 4'!$V39)</f>
        <v>1</v>
      </c>
      <c r="AL91" s="145">
        <f ca="1">IF($AA91=0,"",IF($AJ91&gt;$AK91,Einstellungen!$C$4,IF($AJ91=$AK91,1,0)))</f>
        <v>1</v>
      </c>
      <c r="AM91" s="141">
        <f ca="1">IF($AA91=0,"",IF($AJ91&lt;$AK91,Einstellungen!$C$4,IF($AJ91=$AK91,1,0)))</f>
        <v>1</v>
      </c>
    </row>
    <row r="92" spans="2:39" s="2" customFormat="1" x14ac:dyDescent="0.2">
      <c r="B92" s="4"/>
      <c r="C92" s="4"/>
      <c r="D92" s="4"/>
      <c r="E92" s="4"/>
      <c r="F92" s="13"/>
      <c r="G92" s="13"/>
      <c r="H92" s="13"/>
      <c r="I92" s="13"/>
      <c r="J92" s="13"/>
      <c r="K92" s="13"/>
      <c r="L92" s="13"/>
      <c r="M92" s="13"/>
      <c r="U92" s="66" t="s">
        <v>43</v>
      </c>
      <c r="V92" s="40" t="str">
        <f ca="1">'Endrunde 4'!$H40</f>
        <v>Paris St. Germain</v>
      </c>
      <c r="W92" s="13" t="str">
        <f ca="1">'Endrunde 4'!$J40</f>
        <v>FC Barcelona</v>
      </c>
      <c r="X92" s="13">
        <f ca="1">IF(AND($AA92=1,'Endrunde 4'!$K40&lt;&gt;"",'Endrunde 4'!$M40&lt;&gt;"",ABS('Endrunde 4'!$K40-'Endrunde 4'!$M40)&gt;1),'Endrunde 4'!$K40,"")</f>
        <v>17</v>
      </c>
      <c r="Y92" s="35">
        <f ca="1">IF(AND($AA92=1,'Endrunde 4'!$K40&lt;&gt;"",'Endrunde 4'!$M40&lt;&gt;"",ABS('Endrunde 4'!$K40-'Endrunde 4'!$M40)&gt;1),'Endrunde 4'!$M40,"")</f>
        <v>25</v>
      </c>
      <c r="Z92" s="34" t="str">
        <f t="shared" ca="1" si="3"/>
        <v>Paris St. GermainFC Barcelona</v>
      </c>
      <c r="AA92" s="809">
        <f ca="1">IF(AND(V92&lt;&gt;"",W92&lt;&gt;"",V92&lt;&gt;W92,'Endrunde 4'!$T40&lt;&gt;"",'Endrunde 4'!$V40&lt;&gt;""),1,0)</f>
        <v>1</v>
      </c>
      <c r="AB92" s="809" t="str">
        <f ca="1">IF(AA92&gt;0,AH92&amp;Sprache!$E$109&amp;AI92,"")</f>
        <v>34 : 46</v>
      </c>
      <c r="AC92" s="141" t="str">
        <f ca="1">IF(AA92&gt;0,AJ92&amp;Sprache!$E$109&amp;AK92,"")</f>
        <v>0 : 2</v>
      </c>
      <c r="AD92" s="145">
        <f ca="1">IF(AND($AA92=1,'Endrunde 4'!$N40&lt;&gt;"",'Endrunde 4'!$P40&lt;&gt;"",ABS('Endrunde 4'!$N40-'Endrunde 4'!$P40)&gt;1),'Endrunde 4'!$N40,"")</f>
        <v>17</v>
      </c>
      <c r="AE92" s="141">
        <f ca="1">IF(AND($AA92=1,'Endrunde 4'!$N40&lt;&gt;"",'Endrunde 4'!$P40&lt;&gt;"",ABS('Endrunde 4'!$N40-'Endrunde 4'!$P40)&gt;1),'Endrunde 4'!$P40,"")</f>
        <v>21</v>
      </c>
      <c r="AF92" s="145" t="str">
        <f ca="1">IF(AND($AA92=1,'Endrunde 4'!$Q40&lt;&gt;"",'Endrunde 4'!$S40&lt;&gt;"",ABS('Endrunde 4'!$Q40-'Endrunde 4'!$S40)&gt;1),'Endrunde 4'!$Q40,"")</f>
        <v/>
      </c>
      <c r="AG92" s="141" t="str">
        <f ca="1">IF(AND($AA92=1,'Endrunde 4'!$Q40&lt;&gt;"",'Endrunde 4'!$S40&lt;&gt;"",ABS('Endrunde 4'!$Q40-'Endrunde 4'!$S40)&gt;1),'Endrunde 4'!$S40,"")</f>
        <v/>
      </c>
      <c r="AH92" s="145">
        <f t="shared" ca="1" si="1"/>
        <v>34</v>
      </c>
      <c r="AI92" s="141">
        <f t="shared" ca="1" si="2"/>
        <v>46</v>
      </c>
      <c r="AJ92" s="145">
        <f ca="1">IF('Endrunde 4'!$T40="",0,'Endrunde 4'!$T40)</f>
        <v>0</v>
      </c>
      <c r="AK92" s="141">
        <f ca="1">IF('Endrunde 4'!$V40="",0,'Endrunde 4'!$V40)</f>
        <v>2</v>
      </c>
      <c r="AL92" s="145">
        <f ca="1">IF($AA92=0,"",IF($AJ92&gt;$AK92,Einstellungen!$C$4,IF($AJ92=$AK92,1,0)))</f>
        <v>0</v>
      </c>
      <c r="AM92" s="141">
        <f ca="1">IF($AA92=0,"",IF($AJ92&lt;$AK92,Einstellungen!$C$4,IF($AJ92=$AK92,1,0)))</f>
        <v>2</v>
      </c>
    </row>
    <row r="93" spans="2:39" s="2" customFormat="1" x14ac:dyDescent="0.2">
      <c r="B93" s="4"/>
      <c r="C93" s="4"/>
      <c r="D93" s="4"/>
      <c r="E93" s="4"/>
      <c r="F93" s="13"/>
      <c r="G93" s="13"/>
      <c r="H93" s="13"/>
      <c r="I93" s="13"/>
      <c r="J93" s="13"/>
      <c r="K93" s="13"/>
      <c r="L93" s="13"/>
      <c r="M93" s="13"/>
      <c r="U93" s="66" t="s">
        <v>44</v>
      </c>
      <c r="V93" s="40" t="str">
        <f ca="1">'Endrunde 4'!$H41</f>
        <v>TSG Saalberg eV</v>
      </c>
      <c r="W93" s="13" t="str">
        <f ca="1">'Endrunde 4'!$J41</f>
        <v>Eintracht Frankfurt</v>
      </c>
      <c r="X93" s="13">
        <f ca="1">IF(AND($AA93=1,'Endrunde 4'!$K41&lt;&gt;"",'Endrunde 4'!$M41&lt;&gt;"",ABS('Endrunde 4'!$K41-'Endrunde 4'!$M41)&gt;1),'Endrunde 4'!$K41,"")</f>
        <v>14</v>
      </c>
      <c r="Y93" s="35">
        <f ca="1">IF(AND($AA93=1,'Endrunde 4'!$K41&lt;&gt;"",'Endrunde 4'!$M41&lt;&gt;"",ABS('Endrunde 4'!$K41-'Endrunde 4'!$M41)&gt;1),'Endrunde 4'!$M41,"")</f>
        <v>25</v>
      </c>
      <c r="Z93" s="34" t="str">
        <f t="shared" ca="1" si="3"/>
        <v>TSG Saalberg eVEintracht Frankfurt</v>
      </c>
      <c r="AA93" s="809">
        <f ca="1">IF(AND(V93&lt;&gt;"",W93&lt;&gt;"",V93&lt;&gt;W93,'Endrunde 4'!$T41&lt;&gt;"",'Endrunde 4'!$V41&lt;&gt;""),1,0)</f>
        <v>1</v>
      </c>
      <c r="AB93" s="809" t="str">
        <f ca="1">IF(AA93&gt;0,AH93&amp;Sprache!$E$109&amp;AI93,"")</f>
        <v>39 : 47</v>
      </c>
      <c r="AC93" s="141" t="str">
        <f ca="1">IF(AA93&gt;0,AJ93&amp;Sprache!$E$109&amp;AK93,"")</f>
        <v>1 : 1</v>
      </c>
      <c r="AD93" s="145">
        <f ca="1">IF(AND($AA93=1,'Endrunde 4'!$N41&lt;&gt;"",'Endrunde 4'!$P41&lt;&gt;"",ABS('Endrunde 4'!$N41-'Endrunde 4'!$P41)&gt;1),'Endrunde 4'!$N41,"")</f>
        <v>25</v>
      </c>
      <c r="AE93" s="141">
        <f ca="1">IF(AND($AA93=1,'Endrunde 4'!$N41&lt;&gt;"",'Endrunde 4'!$P41&lt;&gt;"",ABS('Endrunde 4'!$N41-'Endrunde 4'!$P41)&gt;1),'Endrunde 4'!$P41,"")</f>
        <v>22</v>
      </c>
      <c r="AF93" s="145" t="str">
        <f ca="1">IF(AND($AA93=1,'Endrunde 4'!$Q41&lt;&gt;"",'Endrunde 4'!$S41&lt;&gt;"",ABS('Endrunde 4'!$Q41-'Endrunde 4'!$S41)&gt;1),'Endrunde 4'!$Q41,"")</f>
        <v/>
      </c>
      <c r="AG93" s="141" t="str">
        <f ca="1">IF(AND($AA93=1,'Endrunde 4'!$Q41&lt;&gt;"",'Endrunde 4'!$S41&lt;&gt;"",ABS('Endrunde 4'!$Q41-'Endrunde 4'!$S41)&gt;1),'Endrunde 4'!$S41,"")</f>
        <v/>
      </c>
      <c r="AH93" s="145">
        <f t="shared" ca="1" si="1"/>
        <v>39</v>
      </c>
      <c r="AI93" s="141">
        <f t="shared" ca="1" si="2"/>
        <v>47</v>
      </c>
      <c r="AJ93" s="145">
        <f ca="1">IF('Endrunde 4'!$T41="",0,'Endrunde 4'!$T41)</f>
        <v>1</v>
      </c>
      <c r="AK93" s="141">
        <f ca="1">IF('Endrunde 4'!$V41="",0,'Endrunde 4'!$V41)</f>
        <v>1</v>
      </c>
      <c r="AL93" s="145">
        <f ca="1">IF($AA93=0,"",IF($AJ93&gt;$AK93,Einstellungen!$C$4,IF($AJ93=$AK93,1,0)))</f>
        <v>1</v>
      </c>
      <c r="AM93" s="141">
        <f ca="1">IF($AA93=0,"",IF($AJ93&lt;$AK93,Einstellungen!$C$4,IF($AJ93=$AK93,1,0)))</f>
        <v>1</v>
      </c>
    </row>
    <row r="94" spans="2:39" s="2" customFormat="1" x14ac:dyDescent="0.2">
      <c r="B94" s="4"/>
      <c r="C94" s="4"/>
      <c r="D94" s="4"/>
      <c r="E94" s="4"/>
      <c r="F94" s="13"/>
      <c r="G94" s="13"/>
      <c r="H94" s="13"/>
      <c r="I94" s="13"/>
      <c r="J94" s="13"/>
      <c r="K94" s="13"/>
      <c r="L94" s="13"/>
      <c r="M94" s="13"/>
      <c r="U94" s="66" t="s">
        <v>45</v>
      </c>
      <c r="V94" s="40" t="str">
        <f ca="1">'Endrunde 4'!$H42</f>
        <v/>
      </c>
      <c r="W94" s="13" t="str">
        <f ca="1">'Endrunde 4'!$J42</f>
        <v/>
      </c>
      <c r="X94" s="13" t="str">
        <f ca="1">IF(AND($AA94=1,'Endrunde 4'!$K42&lt;&gt;"",'Endrunde 4'!$M42&lt;&gt;"",ABS('Endrunde 4'!$K42-'Endrunde 4'!$M42)&gt;1),'Endrunde 4'!$K42,"")</f>
        <v/>
      </c>
      <c r="Y94" s="35" t="str">
        <f ca="1">IF(AND($AA94=1,'Endrunde 4'!$K42&lt;&gt;"",'Endrunde 4'!$M42&lt;&gt;"",ABS('Endrunde 4'!$K42-'Endrunde 4'!$M42)&gt;1),'Endrunde 4'!$M42,"")</f>
        <v/>
      </c>
      <c r="Z94" s="34" t="str">
        <f t="shared" ca="1" si="3"/>
        <v/>
      </c>
      <c r="AA94" s="809">
        <f ca="1">IF(AND(V94&lt;&gt;"",W94&lt;&gt;"",V94&lt;&gt;W94,'Endrunde 4'!$T42&lt;&gt;"",'Endrunde 4'!$V42&lt;&gt;""),1,0)</f>
        <v>0</v>
      </c>
      <c r="AB94" s="809" t="str">
        <f ca="1">IF(AA94&gt;0,AH94&amp;Sprache!$E$109&amp;AI94,"")</f>
        <v/>
      </c>
      <c r="AC94" s="141" t="str">
        <f ca="1">IF(AA94&gt;0,AJ94&amp;Sprache!$E$109&amp;AK94,"")</f>
        <v/>
      </c>
      <c r="AD94" s="145" t="str">
        <f ca="1">IF(AND($AA94=1,'Endrunde 4'!$N42&lt;&gt;"",'Endrunde 4'!$P42&lt;&gt;"",ABS('Endrunde 4'!$N42-'Endrunde 4'!$P42)&gt;1),'Endrunde 4'!$N42,"")</f>
        <v/>
      </c>
      <c r="AE94" s="141" t="str">
        <f ca="1">IF(AND($AA94=1,'Endrunde 4'!$N42&lt;&gt;"",'Endrunde 4'!$P42&lt;&gt;"",ABS('Endrunde 4'!$N42-'Endrunde 4'!$P42)&gt;1),'Endrunde 4'!$P42,"")</f>
        <v/>
      </c>
      <c r="AF94" s="145" t="str">
        <f ca="1">IF(AND($AA94=1,'Endrunde 4'!$Q42&lt;&gt;"",'Endrunde 4'!$S42&lt;&gt;"",ABS('Endrunde 4'!$Q42-'Endrunde 4'!$S42)&gt;1),'Endrunde 4'!$Q42,"")</f>
        <v/>
      </c>
      <c r="AG94" s="141" t="str">
        <f ca="1">IF(AND($AA94=1,'Endrunde 4'!$Q42&lt;&gt;"",'Endrunde 4'!$S42&lt;&gt;"",ABS('Endrunde 4'!$Q42-'Endrunde 4'!$S42)&gt;1),'Endrunde 4'!$S42,"")</f>
        <v/>
      </c>
      <c r="AH94" s="145" t="str">
        <f t="shared" ca="1" si="1"/>
        <v/>
      </c>
      <c r="AI94" s="141" t="str">
        <f t="shared" ca="1" si="2"/>
        <v/>
      </c>
      <c r="AJ94" s="145">
        <f ca="1">IF('Endrunde 4'!$T42="",0,'Endrunde 4'!$T42)</f>
        <v>0</v>
      </c>
      <c r="AK94" s="141">
        <f ca="1">IF('Endrunde 4'!$V42="",0,'Endrunde 4'!$V42)</f>
        <v>0</v>
      </c>
      <c r="AL94" s="145" t="str">
        <f ca="1">IF($AA94=0,"",IF($AJ94&gt;$AK94,Einstellungen!$C$4,IF($AJ94=$AK94,1,0)))</f>
        <v/>
      </c>
      <c r="AM94" s="141" t="str">
        <f ca="1">IF($AA94=0,"",IF($AJ94&lt;$AK94,Einstellungen!$C$4,IF($AJ94=$AK94,1,0)))</f>
        <v/>
      </c>
    </row>
    <row r="95" spans="2:39" s="2" customFormat="1" x14ac:dyDescent="0.2">
      <c r="B95" s="4"/>
      <c r="C95" s="4"/>
      <c r="D95" s="4"/>
      <c r="E95" s="4"/>
      <c r="F95" s="13"/>
      <c r="G95" s="13"/>
      <c r="H95" s="13"/>
      <c r="I95" s="13"/>
      <c r="J95" s="13"/>
      <c r="K95" s="13"/>
      <c r="L95" s="13"/>
      <c r="M95" s="13"/>
      <c r="U95" s="66" t="s">
        <v>46</v>
      </c>
      <c r="V95" s="40" t="str">
        <f ca="1">'Endrunde 4'!$H43</f>
        <v>FC Grönlingen</v>
      </c>
      <c r="W95" s="13" t="str">
        <f ca="1">'Endrunde 4'!$J43</f>
        <v>1. FC Nürnberg</v>
      </c>
      <c r="X95" s="13">
        <f ca="1">IF(AND($AA95=1,'Endrunde 4'!$K43&lt;&gt;"",'Endrunde 4'!$M43&lt;&gt;"",ABS('Endrunde 4'!$K43-'Endrunde 4'!$M43)&gt;1),'Endrunde 4'!$K43,"")</f>
        <v>19</v>
      </c>
      <c r="Y95" s="35">
        <f ca="1">IF(AND($AA95=1,'Endrunde 4'!$K43&lt;&gt;"",'Endrunde 4'!$M43&lt;&gt;"",ABS('Endrunde 4'!$K43-'Endrunde 4'!$M43)&gt;1),'Endrunde 4'!$M43,"")</f>
        <v>25</v>
      </c>
      <c r="Z95" s="34" t="str">
        <f t="shared" ca="1" si="3"/>
        <v>FC Grönlingen1. FC Nürnberg</v>
      </c>
      <c r="AA95" s="809">
        <f ca="1">IF(AND(V95&lt;&gt;"",W95&lt;&gt;"",V95&lt;&gt;W95,'Endrunde 4'!$T43&lt;&gt;"",'Endrunde 4'!$V43&lt;&gt;""),1,0)</f>
        <v>1</v>
      </c>
      <c r="AB95" s="809" t="str">
        <f ca="1">IF(AA95&gt;0,AH95&amp;Sprache!$E$109&amp;AI95,"")</f>
        <v>44 : 42</v>
      </c>
      <c r="AC95" s="141" t="str">
        <f ca="1">IF(AA95&gt;0,AJ95&amp;Sprache!$E$109&amp;AK95,"")</f>
        <v>1 : 1</v>
      </c>
      <c r="AD95" s="145">
        <f ca="1">IF(AND($AA95=1,'Endrunde 4'!$N43&lt;&gt;"",'Endrunde 4'!$P43&lt;&gt;"",ABS('Endrunde 4'!$N43-'Endrunde 4'!$P43)&gt;1),'Endrunde 4'!$N43,"")</f>
        <v>25</v>
      </c>
      <c r="AE95" s="141">
        <f ca="1">IF(AND($AA95=1,'Endrunde 4'!$N43&lt;&gt;"",'Endrunde 4'!$P43&lt;&gt;"",ABS('Endrunde 4'!$N43-'Endrunde 4'!$P43)&gt;1),'Endrunde 4'!$P43,"")</f>
        <v>17</v>
      </c>
      <c r="AF95" s="145" t="str">
        <f ca="1">IF(AND($AA95=1,'Endrunde 4'!$Q43&lt;&gt;"",'Endrunde 4'!$S43&lt;&gt;"",ABS('Endrunde 4'!$Q43-'Endrunde 4'!$S43)&gt;1),'Endrunde 4'!$Q43,"")</f>
        <v/>
      </c>
      <c r="AG95" s="141" t="str">
        <f ca="1">IF(AND($AA95=1,'Endrunde 4'!$Q43&lt;&gt;"",'Endrunde 4'!$S43&lt;&gt;"",ABS('Endrunde 4'!$Q43-'Endrunde 4'!$S43)&gt;1),'Endrunde 4'!$S43,"")</f>
        <v/>
      </c>
      <c r="AH95" s="145">
        <f t="shared" ca="1" si="1"/>
        <v>44</v>
      </c>
      <c r="AI95" s="141">
        <f t="shared" ca="1" si="2"/>
        <v>42</v>
      </c>
      <c r="AJ95" s="145">
        <f ca="1">IF('Endrunde 4'!$T43="",0,'Endrunde 4'!$T43)</f>
        <v>1</v>
      </c>
      <c r="AK95" s="141">
        <f ca="1">IF('Endrunde 4'!$V43="",0,'Endrunde 4'!$V43)</f>
        <v>1</v>
      </c>
      <c r="AL95" s="145">
        <f ca="1">IF($AA95=0,"",IF($AJ95&gt;$AK95,Einstellungen!$C$4,IF($AJ95=$AK95,1,0)))</f>
        <v>1</v>
      </c>
      <c r="AM95" s="141">
        <f ca="1">IF($AA95=0,"",IF($AJ95&lt;$AK95,Einstellungen!$C$4,IF($AJ95=$AK95,1,0)))</f>
        <v>1</v>
      </c>
    </row>
    <row r="96" spans="2:39" s="2" customFormat="1" x14ac:dyDescent="0.2">
      <c r="B96" s="4"/>
      <c r="C96" s="4"/>
      <c r="D96" s="4"/>
      <c r="E96" s="4"/>
      <c r="F96" s="13"/>
      <c r="G96" s="13"/>
      <c r="H96" s="13"/>
      <c r="I96" s="13"/>
      <c r="J96" s="13"/>
      <c r="K96" s="13"/>
      <c r="L96" s="13"/>
      <c r="M96" s="13"/>
      <c r="U96" s="66" t="s">
        <v>47</v>
      </c>
      <c r="V96" s="40" t="str">
        <f ca="1">'Endrunde 4'!$H44</f>
        <v>SSV Wildbach</v>
      </c>
      <c r="W96" s="13" t="str">
        <f ca="1">'Endrunde 4'!$J44</f>
        <v>FSV Rauen</v>
      </c>
      <c r="X96" s="13">
        <f ca="1">IF(AND($AA96=1,'Endrunde 4'!$K44&lt;&gt;"",'Endrunde 4'!$M44&lt;&gt;"",ABS('Endrunde 4'!$K44-'Endrunde 4'!$M44)&gt;1),'Endrunde 4'!$K44,"")</f>
        <v>17</v>
      </c>
      <c r="Y96" s="35">
        <f ca="1">IF(AND($AA96=1,'Endrunde 4'!$K44&lt;&gt;"",'Endrunde 4'!$M44&lt;&gt;"",ABS('Endrunde 4'!$K44-'Endrunde 4'!$M44)&gt;1),'Endrunde 4'!$M44,"")</f>
        <v>25</v>
      </c>
      <c r="Z96" s="34" t="str">
        <f t="shared" ca="1" si="3"/>
        <v>SSV WildbachFSV Rauen</v>
      </c>
      <c r="AA96" s="809">
        <f ca="1">IF(AND(V96&lt;&gt;"",W96&lt;&gt;"",V96&lt;&gt;W96,'Endrunde 4'!$T44&lt;&gt;"",'Endrunde 4'!$V44&lt;&gt;""),1,0)</f>
        <v>1</v>
      </c>
      <c r="AB96" s="809" t="str">
        <f ca="1">IF(AA96&gt;0,AH96&amp;Sprache!$E$109&amp;AI96,"")</f>
        <v>42 : 43</v>
      </c>
      <c r="AC96" s="141" t="str">
        <f ca="1">IF(AA96&gt;0,AJ96&amp;Sprache!$E$109&amp;AK96,"")</f>
        <v>1 : 1</v>
      </c>
      <c r="AD96" s="145">
        <f ca="1">IF(AND($AA96=1,'Endrunde 4'!$N44&lt;&gt;"",'Endrunde 4'!$P44&lt;&gt;"",ABS('Endrunde 4'!$N44-'Endrunde 4'!$P44)&gt;1),'Endrunde 4'!$N44,"")</f>
        <v>25</v>
      </c>
      <c r="AE96" s="141">
        <f ca="1">IF(AND($AA96=1,'Endrunde 4'!$N44&lt;&gt;"",'Endrunde 4'!$P44&lt;&gt;"",ABS('Endrunde 4'!$N44-'Endrunde 4'!$P44)&gt;1),'Endrunde 4'!$P44,"")</f>
        <v>18</v>
      </c>
      <c r="AF96" s="145" t="str">
        <f ca="1">IF(AND($AA96=1,'Endrunde 4'!$Q44&lt;&gt;"",'Endrunde 4'!$S44&lt;&gt;"",ABS('Endrunde 4'!$Q44-'Endrunde 4'!$S44)&gt;1),'Endrunde 4'!$Q44,"")</f>
        <v/>
      </c>
      <c r="AG96" s="141" t="str">
        <f ca="1">IF(AND($AA96=1,'Endrunde 4'!$Q44&lt;&gt;"",'Endrunde 4'!$S44&lt;&gt;"",ABS('Endrunde 4'!$Q44-'Endrunde 4'!$S44)&gt;1),'Endrunde 4'!$S44,"")</f>
        <v/>
      </c>
      <c r="AH96" s="145">
        <f t="shared" ca="1" si="1"/>
        <v>42</v>
      </c>
      <c r="AI96" s="141">
        <f t="shared" ca="1" si="2"/>
        <v>43</v>
      </c>
      <c r="AJ96" s="145">
        <f ca="1">IF('Endrunde 4'!$T44="",0,'Endrunde 4'!$T44)</f>
        <v>1</v>
      </c>
      <c r="AK96" s="141">
        <f ca="1">IF('Endrunde 4'!$V44="",0,'Endrunde 4'!$V44)</f>
        <v>1</v>
      </c>
      <c r="AL96" s="145">
        <f ca="1">IF($AA96=0,"",IF($AJ96&gt;$AK96,Einstellungen!$C$4,IF($AJ96=$AK96,1,0)))</f>
        <v>1</v>
      </c>
      <c r="AM96" s="141">
        <f ca="1">IF($AA96=0,"",IF($AJ96&lt;$AK96,Einstellungen!$C$4,IF($AJ96=$AK96,1,0)))</f>
        <v>1</v>
      </c>
    </row>
    <row r="97" spans="2:39" s="2" customFormat="1" x14ac:dyDescent="0.2">
      <c r="B97" s="4"/>
      <c r="C97" s="4"/>
      <c r="D97" s="4"/>
      <c r="E97" s="4"/>
      <c r="F97" s="13"/>
      <c r="G97" s="13"/>
      <c r="H97" s="13"/>
      <c r="I97" s="13"/>
      <c r="J97" s="13"/>
      <c r="K97" s="13"/>
      <c r="L97" s="13"/>
      <c r="M97" s="13"/>
      <c r="U97" s="66" t="s">
        <v>48</v>
      </c>
      <c r="V97" s="40" t="str">
        <f ca="1">'Endrunde 4'!$H45</f>
        <v>Mainz 05</v>
      </c>
      <c r="W97" s="13" t="str">
        <f ca="1">'Endrunde 4'!$J45</f>
        <v>Borussia Dortmund</v>
      </c>
      <c r="X97" s="13">
        <f ca="1">IF(AND($AA97=1,'Endrunde 4'!$K45&lt;&gt;"",'Endrunde 4'!$M45&lt;&gt;"",ABS('Endrunde 4'!$K45-'Endrunde 4'!$M45)&gt;1),'Endrunde 4'!$K45,"")</f>
        <v>14</v>
      </c>
      <c r="Y97" s="35">
        <f ca="1">IF(AND($AA97=1,'Endrunde 4'!$K45&lt;&gt;"",'Endrunde 4'!$M45&lt;&gt;"",ABS('Endrunde 4'!$K45-'Endrunde 4'!$M45)&gt;1),'Endrunde 4'!$M45,"")</f>
        <v>25</v>
      </c>
      <c r="Z97" s="34" t="str">
        <f t="shared" ca="1" si="3"/>
        <v>Mainz 05Borussia Dortmund</v>
      </c>
      <c r="AA97" s="809">
        <f ca="1">IF(AND(V97&lt;&gt;"",W97&lt;&gt;"",V97&lt;&gt;W97,'Endrunde 4'!$T45&lt;&gt;"",'Endrunde 4'!$V45&lt;&gt;""),1,0)</f>
        <v>1</v>
      </c>
      <c r="AB97" s="809" t="str">
        <f ca="1">IF(AA97&gt;0,AH97&amp;Sprache!$E$109&amp;AI97,"")</f>
        <v>39 : 44</v>
      </c>
      <c r="AC97" s="141" t="str">
        <f ca="1">IF(AA97&gt;0,AJ97&amp;Sprache!$E$109&amp;AK97,"")</f>
        <v>1 : 1</v>
      </c>
      <c r="AD97" s="145">
        <f ca="1">IF(AND($AA97=1,'Endrunde 4'!$N45&lt;&gt;"",'Endrunde 4'!$P45&lt;&gt;"",ABS('Endrunde 4'!$N45-'Endrunde 4'!$P45)&gt;1),'Endrunde 4'!$N45,"")</f>
        <v>25</v>
      </c>
      <c r="AE97" s="141">
        <f ca="1">IF(AND($AA97=1,'Endrunde 4'!$N45&lt;&gt;"",'Endrunde 4'!$P45&lt;&gt;"",ABS('Endrunde 4'!$N45-'Endrunde 4'!$P45)&gt;1),'Endrunde 4'!$P45,"")</f>
        <v>19</v>
      </c>
      <c r="AF97" s="145" t="str">
        <f ca="1">IF(AND($AA97=1,'Endrunde 4'!$Q45&lt;&gt;"",'Endrunde 4'!$S45&lt;&gt;"",ABS('Endrunde 4'!$Q45-'Endrunde 4'!$S45)&gt;1),'Endrunde 4'!$Q45,"")</f>
        <v/>
      </c>
      <c r="AG97" s="141" t="str">
        <f ca="1">IF(AND($AA97=1,'Endrunde 4'!$Q45&lt;&gt;"",'Endrunde 4'!$S45&lt;&gt;"",ABS('Endrunde 4'!$Q45-'Endrunde 4'!$S45)&gt;1),'Endrunde 4'!$S45,"")</f>
        <v/>
      </c>
      <c r="AH97" s="145">
        <f t="shared" ca="1" si="1"/>
        <v>39</v>
      </c>
      <c r="AI97" s="141">
        <f t="shared" ca="1" si="2"/>
        <v>44</v>
      </c>
      <c r="AJ97" s="145">
        <f ca="1">IF('Endrunde 4'!$T45="",0,'Endrunde 4'!$T45)</f>
        <v>1</v>
      </c>
      <c r="AK97" s="141">
        <f ca="1">IF('Endrunde 4'!$V45="",0,'Endrunde 4'!$V45)</f>
        <v>1</v>
      </c>
      <c r="AL97" s="145">
        <f ca="1">IF($AA97=0,"",IF($AJ97&gt;$AK97,Einstellungen!$C$4,IF($AJ97=$AK97,1,0)))</f>
        <v>1</v>
      </c>
      <c r="AM97" s="141">
        <f ca="1">IF($AA97=0,"",IF($AJ97&lt;$AK97,Einstellungen!$C$4,IF($AJ97=$AK97,1,0)))</f>
        <v>1</v>
      </c>
    </row>
    <row r="98" spans="2:39" s="2" customFormat="1" x14ac:dyDescent="0.2">
      <c r="B98" s="4"/>
      <c r="C98" s="4"/>
      <c r="D98" s="4"/>
      <c r="E98" s="4"/>
      <c r="F98" s="13"/>
      <c r="G98" s="13"/>
      <c r="H98" s="13"/>
      <c r="I98" s="13"/>
      <c r="J98" s="13"/>
      <c r="K98" s="13"/>
      <c r="L98" s="13"/>
      <c r="M98" s="13"/>
      <c r="U98" s="66" t="s">
        <v>49</v>
      </c>
      <c r="V98" s="40" t="str">
        <f ca="1">'Endrunde 4'!$H46</f>
        <v>Manchester City</v>
      </c>
      <c r="W98" s="13" t="str">
        <f ca="1">'Endrunde 4'!$J46</f>
        <v>Kickers Rodendorf</v>
      </c>
      <c r="X98" s="13">
        <f ca="1">IF(AND($AA98=1,'Endrunde 4'!$K46&lt;&gt;"",'Endrunde 4'!$M46&lt;&gt;"",ABS('Endrunde 4'!$K46-'Endrunde 4'!$M46)&gt;1),'Endrunde 4'!$K46,"")</f>
        <v>25</v>
      </c>
      <c r="Y98" s="35">
        <f ca="1">IF(AND($AA98=1,'Endrunde 4'!$K46&lt;&gt;"",'Endrunde 4'!$M46&lt;&gt;"",ABS('Endrunde 4'!$K46-'Endrunde 4'!$M46)&gt;1),'Endrunde 4'!$M46,"")</f>
        <v>21</v>
      </c>
      <c r="Z98" s="34" t="str">
        <f t="shared" ca="1" si="3"/>
        <v>Manchester CityKickers Rodendorf</v>
      </c>
      <c r="AA98" s="809">
        <f ca="1">IF(AND(V98&lt;&gt;"",W98&lt;&gt;"",V98&lt;&gt;W98,'Endrunde 4'!$T46&lt;&gt;"",'Endrunde 4'!$V46&lt;&gt;""),1,0)</f>
        <v>1</v>
      </c>
      <c r="AB98" s="809" t="str">
        <f ca="1">IF(AA98&gt;0,AH98&amp;Sprache!$E$109&amp;AI98,"")</f>
        <v>50 : 41</v>
      </c>
      <c r="AC98" s="141" t="str">
        <f ca="1">IF(AA98&gt;0,AJ98&amp;Sprache!$E$109&amp;AK98,"")</f>
        <v>2 : 0</v>
      </c>
      <c r="AD98" s="145">
        <f ca="1">IF(AND($AA98=1,'Endrunde 4'!$N46&lt;&gt;"",'Endrunde 4'!$P46&lt;&gt;"",ABS('Endrunde 4'!$N46-'Endrunde 4'!$P46)&gt;1),'Endrunde 4'!$N46,"")</f>
        <v>25</v>
      </c>
      <c r="AE98" s="141">
        <f ca="1">IF(AND($AA98=1,'Endrunde 4'!$N46&lt;&gt;"",'Endrunde 4'!$P46&lt;&gt;"",ABS('Endrunde 4'!$N46-'Endrunde 4'!$P46)&gt;1),'Endrunde 4'!$P46,"")</f>
        <v>20</v>
      </c>
      <c r="AF98" s="145" t="str">
        <f ca="1">IF(AND($AA98=1,'Endrunde 4'!$Q46&lt;&gt;"",'Endrunde 4'!$S46&lt;&gt;"",ABS('Endrunde 4'!$Q46-'Endrunde 4'!$S46)&gt;1),'Endrunde 4'!$Q46,"")</f>
        <v/>
      </c>
      <c r="AG98" s="141" t="str">
        <f ca="1">IF(AND($AA98=1,'Endrunde 4'!$Q46&lt;&gt;"",'Endrunde 4'!$S46&lt;&gt;"",ABS('Endrunde 4'!$Q46-'Endrunde 4'!$S46)&gt;1),'Endrunde 4'!$S46,"")</f>
        <v/>
      </c>
      <c r="AH98" s="145">
        <f t="shared" ca="1" si="1"/>
        <v>50</v>
      </c>
      <c r="AI98" s="141">
        <f t="shared" ca="1" si="2"/>
        <v>41</v>
      </c>
      <c r="AJ98" s="145">
        <f ca="1">IF('Endrunde 4'!$T46="",0,'Endrunde 4'!$T46)</f>
        <v>2</v>
      </c>
      <c r="AK98" s="141">
        <f ca="1">IF('Endrunde 4'!$V46="",0,'Endrunde 4'!$V46)</f>
        <v>0</v>
      </c>
      <c r="AL98" s="145">
        <f ca="1">IF($AA98=0,"",IF($AJ98&gt;$AK98,Einstellungen!$C$4,IF($AJ98=$AK98,1,0)))</f>
        <v>2</v>
      </c>
      <c r="AM98" s="141">
        <f ca="1">IF($AA98=0,"",IF($AJ98&lt;$AK98,Einstellungen!$C$4,IF($AJ98=$AK98,1,0)))</f>
        <v>0</v>
      </c>
    </row>
    <row r="99" spans="2:39" s="2" customFormat="1" ht="12.75" thickBot="1" x14ac:dyDescent="0.25">
      <c r="B99" s="4"/>
      <c r="C99" s="4"/>
      <c r="D99" s="4"/>
      <c r="E99" s="4"/>
      <c r="F99" s="13"/>
      <c r="G99" s="13"/>
      <c r="H99" s="13"/>
      <c r="I99" s="13"/>
      <c r="J99" s="13"/>
      <c r="K99" s="13"/>
      <c r="L99" s="13"/>
      <c r="M99" s="13"/>
      <c r="U99" s="66" t="s">
        <v>50</v>
      </c>
      <c r="V99" s="40" t="str">
        <f ca="1">'Endrunde 4'!$H47</f>
        <v>Inter Mailand</v>
      </c>
      <c r="W99" s="13" t="str">
        <f ca="1">'Endrunde 4'!$J47</f>
        <v>Real Madrid</v>
      </c>
      <c r="X99" s="13">
        <f ca="1">IF(AND($AA99=1,'Endrunde 4'!$K47&lt;&gt;"",'Endrunde 4'!$M47&lt;&gt;"",ABS('Endrunde 4'!$K47-'Endrunde 4'!$M47)&gt;1),'Endrunde 4'!$K47,"")</f>
        <v>25</v>
      </c>
      <c r="Y99" s="35">
        <f ca="1">IF(AND($AA99=1,'Endrunde 4'!$K47&lt;&gt;"",'Endrunde 4'!$M47&lt;&gt;"",ABS('Endrunde 4'!$K47-'Endrunde 4'!$M47)&gt;1),'Endrunde 4'!$M47,"")</f>
        <v>19</v>
      </c>
      <c r="Z99" s="34" t="str">
        <f t="shared" ca="1" si="3"/>
        <v>Inter MailandReal Madrid</v>
      </c>
      <c r="AA99" s="809">
        <f ca="1">IF(AND(V99&lt;&gt;"",W99&lt;&gt;"",V99&lt;&gt;W99,'Endrunde 4'!$T47&lt;&gt;"",'Endrunde 4'!$V47&lt;&gt;""),1,0)</f>
        <v>1</v>
      </c>
      <c r="AB99" s="809" t="str">
        <f ca="1">IF(AA99&gt;0,AH99&amp;Sprache!$E$109&amp;AI99,"")</f>
        <v>50 : 40</v>
      </c>
      <c r="AC99" s="141" t="str">
        <f ca="1">IF(AA99&gt;0,AJ99&amp;Sprache!$E$109&amp;AK99,"")</f>
        <v>2 : 0</v>
      </c>
      <c r="AD99" s="145">
        <f ca="1">IF(AND($AA99=1,'Endrunde 4'!$N47&lt;&gt;"",'Endrunde 4'!$P47&lt;&gt;"",ABS('Endrunde 4'!$N47-'Endrunde 4'!$P47)&gt;1),'Endrunde 4'!$N47,"")</f>
        <v>25</v>
      </c>
      <c r="AE99" s="141">
        <f ca="1">IF(AND($AA99=1,'Endrunde 4'!$N47&lt;&gt;"",'Endrunde 4'!$P47&lt;&gt;"",ABS('Endrunde 4'!$N47-'Endrunde 4'!$P47)&gt;1),'Endrunde 4'!$P47,"")</f>
        <v>21</v>
      </c>
      <c r="AF99" s="145" t="str">
        <f ca="1">IF(AND($AA99=1,'Endrunde 4'!$Q47&lt;&gt;"",'Endrunde 4'!$S47&lt;&gt;"",ABS('Endrunde 4'!$Q47-'Endrunde 4'!$S47)&gt;1),'Endrunde 4'!$Q47,"")</f>
        <v/>
      </c>
      <c r="AG99" s="141" t="str">
        <f ca="1">IF(AND($AA99=1,'Endrunde 4'!$Q47&lt;&gt;"",'Endrunde 4'!$S47&lt;&gt;"",ABS('Endrunde 4'!$Q47-'Endrunde 4'!$S47)&gt;1),'Endrunde 4'!$S47,"")</f>
        <v/>
      </c>
      <c r="AH99" s="145">
        <f t="shared" ca="1" si="1"/>
        <v>50</v>
      </c>
      <c r="AI99" s="141">
        <f t="shared" ca="1" si="2"/>
        <v>40</v>
      </c>
      <c r="AJ99" s="145">
        <f ca="1">IF('Endrunde 4'!$T47="",0,'Endrunde 4'!$T47)</f>
        <v>2</v>
      </c>
      <c r="AK99" s="141">
        <f ca="1">IF('Endrunde 4'!$V47="",0,'Endrunde 4'!$V47)</f>
        <v>0</v>
      </c>
      <c r="AL99" s="145">
        <f ca="1">IF($AA99=0,"",IF($AJ99&gt;$AK99,Einstellungen!$C$4,IF($AJ99=$AK99,1,0)))</f>
        <v>2</v>
      </c>
      <c r="AM99" s="141">
        <f ca="1">IF($AA99=0,"",IF($AJ99&lt;$AK99,Einstellungen!$C$4,IF($AJ99=$AK99,1,0)))</f>
        <v>0</v>
      </c>
    </row>
    <row r="100" spans="2:39" s="2" customFormat="1" ht="12.75" thickTop="1" x14ac:dyDescent="0.2">
      <c r="B100" s="4"/>
      <c r="C100" s="4"/>
      <c r="D100" s="4"/>
      <c r="E100" s="4"/>
      <c r="F100" s="13"/>
      <c r="G100" s="13"/>
      <c r="H100" s="13"/>
      <c r="I100" s="13"/>
      <c r="J100" s="13"/>
      <c r="K100" s="13"/>
      <c r="L100" s="13"/>
      <c r="M100" s="13"/>
      <c r="U100" s="281" t="s">
        <v>58</v>
      </c>
      <c r="V100" s="282" t="str">
        <f>""</f>
        <v/>
      </c>
      <c r="W100" s="283" t="str">
        <f>""</f>
        <v/>
      </c>
      <c r="X100" s="283" t="str">
        <f>""</f>
        <v/>
      </c>
      <c r="Y100" s="284" t="str">
        <f>""</f>
        <v/>
      </c>
      <c r="Z100" s="285" t="str">
        <f>""</f>
        <v/>
      </c>
      <c r="AA100" s="283">
        <v>0</v>
      </c>
      <c r="AB100" s="283"/>
      <c r="AC100" s="286"/>
      <c r="AD100" s="287" t="str">
        <f>""</f>
        <v/>
      </c>
      <c r="AE100" s="286" t="str">
        <f>""</f>
        <v/>
      </c>
      <c r="AF100" s="287" t="str">
        <f>""</f>
        <v/>
      </c>
      <c r="AG100" s="286" t="str">
        <f>""</f>
        <v/>
      </c>
      <c r="AH100" s="287" t="str">
        <f>""</f>
        <v/>
      </c>
      <c r="AI100" s="286" t="str">
        <f>""</f>
        <v/>
      </c>
      <c r="AJ100" s="287"/>
      <c r="AK100" s="286"/>
      <c r="AL100" s="287" t="str">
        <f>""</f>
        <v/>
      </c>
      <c r="AM100" s="286" t="str">
        <f>""</f>
        <v/>
      </c>
    </row>
    <row r="101" spans="2:39" s="2" customFormat="1" x14ac:dyDescent="0.2">
      <c r="B101" s="4"/>
      <c r="C101" s="4"/>
      <c r="D101" s="4"/>
      <c r="E101" s="4"/>
      <c r="F101" s="13"/>
      <c r="G101" s="13"/>
      <c r="H101" s="13"/>
      <c r="I101" s="13"/>
      <c r="J101" s="13"/>
      <c r="K101" s="13"/>
      <c r="L101" s="13"/>
      <c r="M101" s="13"/>
      <c r="U101" s="66" t="s">
        <v>59</v>
      </c>
      <c r="V101" s="40" t="str">
        <f>""</f>
        <v/>
      </c>
      <c r="W101" s="13" t="str">
        <f>""</f>
        <v/>
      </c>
      <c r="X101" s="13" t="str">
        <f>""</f>
        <v/>
      </c>
      <c r="Y101" s="35" t="str">
        <f>""</f>
        <v/>
      </c>
      <c r="Z101" s="34" t="str">
        <f>""</f>
        <v/>
      </c>
      <c r="AA101" s="809">
        <v>0</v>
      </c>
      <c r="AB101" s="809"/>
      <c r="AC101" s="141"/>
      <c r="AD101" s="145" t="str">
        <f>""</f>
        <v/>
      </c>
      <c r="AE101" s="141" t="str">
        <f>""</f>
        <v/>
      </c>
      <c r="AF101" s="145" t="str">
        <f>""</f>
        <v/>
      </c>
      <c r="AG101" s="141" t="str">
        <f>""</f>
        <v/>
      </c>
      <c r="AH101" s="145" t="str">
        <f>""</f>
        <v/>
      </c>
      <c r="AI101" s="141" t="str">
        <f>""</f>
        <v/>
      </c>
      <c r="AJ101" s="145"/>
      <c r="AK101" s="141"/>
      <c r="AL101" s="145" t="str">
        <f>""</f>
        <v/>
      </c>
      <c r="AM101" s="141" t="str">
        <f>""</f>
        <v/>
      </c>
    </row>
    <row r="102" spans="2:39" s="2" customFormat="1" x14ac:dyDescent="0.2">
      <c r="B102" s="4"/>
      <c r="C102" s="4"/>
      <c r="D102" s="4"/>
      <c r="E102" s="4"/>
      <c r="F102" s="13"/>
      <c r="G102" s="13"/>
      <c r="H102" s="13"/>
      <c r="I102" s="13"/>
      <c r="J102" s="13"/>
      <c r="K102" s="13"/>
      <c r="L102" s="13"/>
      <c r="M102" s="13"/>
      <c r="U102" s="66" t="s">
        <v>60</v>
      </c>
      <c r="V102" s="40" t="str">
        <f>""</f>
        <v/>
      </c>
      <c r="W102" s="13" t="str">
        <f>""</f>
        <v/>
      </c>
      <c r="X102" s="13" t="str">
        <f>""</f>
        <v/>
      </c>
      <c r="Y102" s="35" t="str">
        <f>""</f>
        <v/>
      </c>
      <c r="Z102" s="34" t="str">
        <f>""</f>
        <v/>
      </c>
      <c r="AA102" s="809">
        <v>0</v>
      </c>
      <c r="AB102" s="809"/>
      <c r="AC102" s="141"/>
      <c r="AD102" s="145" t="str">
        <f>""</f>
        <v/>
      </c>
      <c r="AE102" s="141" t="str">
        <f>""</f>
        <v/>
      </c>
      <c r="AF102" s="145" t="str">
        <f>""</f>
        <v/>
      </c>
      <c r="AG102" s="141" t="str">
        <f>""</f>
        <v/>
      </c>
      <c r="AH102" s="145" t="str">
        <f>""</f>
        <v/>
      </c>
      <c r="AI102" s="141" t="str">
        <f>""</f>
        <v/>
      </c>
      <c r="AJ102" s="145"/>
      <c r="AK102" s="141"/>
      <c r="AL102" s="145" t="str">
        <f>""</f>
        <v/>
      </c>
      <c r="AM102" s="141" t="str">
        <f>""</f>
        <v/>
      </c>
    </row>
    <row r="103" spans="2:39" s="2" customFormat="1" x14ac:dyDescent="0.2">
      <c r="B103" s="4"/>
      <c r="C103" s="4"/>
      <c r="D103" s="4"/>
      <c r="E103" s="4"/>
      <c r="F103" s="13"/>
      <c r="G103" s="13"/>
      <c r="H103" s="13"/>
      <c r="I103" s="13"/>
      <c r="J103" s="13"/>
      <c r="K103" s="13"/>
      <c r="L103" s="13"/>
      <c r="M103" s="13"/>
      <c r="U103" s="66" t="s">
        <v>61</v>
      </c>
      <c r="V103" s="40" t="str">
        <f>""</f>
        <v/>
      </c>
      <c r="W103" s="13" t="str">
        <f>""</f>
        <v/>
      </c>
      <c r="X103" s="13" t="str">
        <f>""</f>
        <v/>
      </c>
      <c r="Y103" s="35" t="str">
        <f>""</f>
        <v/>
      </c>
      <c r="Z103" s="34" t="str">
        <f>""</f>
        <v/>
      </c>
      <c r="AA103" s="809">
        <v>0</v>
      </c>
      <c r="AB103" s="809"/>
      <c r="AC103" s="141"/>
      <c r="AD103" s="145" t="str">
        <f>""</f>
        <v/>
      </c>
      <c r="AE103" s="141" t="str">
        <f>""</f>
        <v/>
      </c>
      <c r="AF103" s="145" t="str">
        <f>""</f>
        <v/>
      </c>
      <c r="AG103" s="141" t="str">
        <f>""</f>
        <v/>
      </c>
      <c r="AH103" s="145" t="str">
        <f>""</f>
        <v/>
      </c>
      <c r="AI103" s="141" t="str">
        <f>""</f>
        <v/>
      </c>
      <c r="AJ103" s="145"/>
      <c r="AK103" s="141"/>
      <c r="AL103" s="145" t="str">
        <f>""</f>
        <v/>
      </c>
      <c r="AM103" s="141" t="str">
        <f>""</f>
        <v/>
      </c>
    </row>
    <row r="104" spans="2:39" s="2" customFormat="1" x14ac:dyDescent="0.2">
      <c r="B104" s="4"/>
      <c r="C104" s="4"/>
      <c r="D104" s="4"/>
      <c r="E104" s="4"/>
      <c r="F104" s="13"/>
      <c r="G104" s="13"/>
      <c r="H104" s="13"/>
      <c r="I104" s="13"/>
      <c r="J104" s="13"/>
      <c r="K104" s="13"/>
      <c r="L104" s="13"/>
      <c r="M104" s="13"/>
      <c r="U104" s="66" t="s">
        <v>62</v>
      </c>
      <c r="V104" s="40" t="str">
        <f>""</f>
        <v/>
      </c>
      <c r="W104" s="13" t="str">
        <f>""</f>
        <v/>
      </c>
      <c r="X104" s="13" t="str">
        <f>""</f>
        <v/>
      </c>
      <c r="Y104" s="35" t="str">
        <f>""</f>
        <v/>
      </c>
      <c r="Z104" s="34" t="str">
        <f>""</f>
        <v/>
      </c>
      <c r="AA104" s="809">
        <v>0</v>
      </c>
      <c r="AB104" s="809"/>
      <c r="AC104" s="141"/>
      <c r="AD104" s="145" t="str">
        <f>""</f>
        <v/>
      </c>
      <c r="AE104" s="141" t="str">
        <f>""</f>
        <v/>
      </c>
      <c r="AF104" s="145" t="str">
        <f>""</f>
        <v/>
      </c>
      <c r="AG104" s="141" t="str">
        <f>""</f>
        <v/>
      </c>
      <c r="AH104" s="145" t="str">
        <f>""</f>
        <v/>
      </c>
      <c r="AI104" s="141" t="str">
        <f>""</f>
        <v/>
      </c>
      <c r="AJ104" s="145"/>
      <c r="AK104" s="141"/>
      <c r="AL104" s="145" t="str">
        <f>""</f>
        <v/>
      </c>
      <c r="AM104" s="141" t="str">
        <f>""</f>
        <v/>
      </c>
    </row>
    <row r="105" spans="2:39" s="2" customFormat="1" x14ac:dyDescent="0.2">
      <c r="B105" s="4"/>
      <c r="C105" s="4"/>
      <c r="D105" s="4"/>
      <c r="E105" s="4"/>
      <c r="F105" s="13"/>
      <c r="G105" s="13"/>
      <c r="H105" s="13"/>
      <c r="I105" s="13"/>
      <c r="J105" s="13"/>
      <c r="K105" s="13"/>
      <c r="L105" s="13"/>
      <c r="M105" s="13"/>
      <c r="U105" s="66" t="s">
        <v>63</v>
      </c>
      <c r="V105" s="40" t="str">
        <f>""</f>
        <v/>
      </c>
      <c r="W105" s="13" t="str">
        <f>""</f>
        <v/>
      </c>
      <c r="X105" s="13" t="str">
        <f>""</f>
        <v/>
      </c>
      <c r="Y105" s="35" t="str">
        <f>""</f>
        <v/>
      </c>
      <c r="Z105" s="34" t="str">
        <f>""</f>
        <v/>
      </c>
      <c r="AA105" s="809">
        <v>0</v>
      </c>
      <c r="AB105" s="809"/>
      <c r="AC105" s="141"/>
      <c r="AD105" s="145" t="str">
        <f>""</f>
        <v/>
      </c>
      <c r="AE105" s="141" t="str">
        <f>""</f>
        <v/>
      </c>
      <c r="AF105" s="145" t="str">
        <f>""</f>
        <v/>
      </c>
      <c r="AG105" s="141" t="str">
        <f>""</f>
        <v/>
      </c>
      <c r="AH105" s="145" t="str">
        <f>""</f>
        <v/>
      </c>
      <c r="AI105" s="141" t="str">
        <f>""</f>
        <v/>
      </c>
      <c r="AJ105" s="145"/>
      <c r="AK105" s="141"/>
      <c r="AL105" s="145" t="str">
        <f>""</f>
        <v/>
      </c>
      <c r="AM105" s="141" t="str">
        <f>""</f>
        <v/>
      </c>
    </row>
    <row r="106" spans="2:39" s="2" customFormat="1" x14ac:dyDescent="0.2">
      <c r="B106" s="4"/>
      <c r="C106" s="4"/>
      <c r="D106" s="4"/>
      <c r="E106" s="4"/>
      <c r="F106" s="13"/>
      <c r="G106" s="13"/>
      <c r="H106" s="13"/>
      <c r="I106" s="13"/>
      <c r="J106" s="13"/>
      <c r="K106" s="13"/>
      <c r="L106" s="13"/>
      <c r="M106" s="13"/>
      <c r="U106" s="66" t="s">
        <v>64</v>
      </c>
      <c r="V106" s="40" t="str">
        <f>""</f>
        <v/>
      </c>
      <c r="W106" s="13" t="str">
        <f>""</f>
        <v/>
      </c>
      <c r="X106" s="13" t="str">
        <f>""</f>
        <v/>
      </c>
      <c r="Y106" s="35" t="str">
        <f>""</f>
        <v/>
      </c>
      <c r="Z106" s="34" t="str">
        <f>""</f>
        <v/>
      </c>
      <c r="AA106" s="809">
        <v>0</v>
      </c>
      <c r="AB106" s="809"/>
      <c r="AC106" s="141"/>
      <c r="AD106" s="145" t="str">
        <f>""</f>
        <v/>
      </c>
      <c r="AE106" s="141" t="str">
        <f>""</f>
        <v/>
      </c>
      <c r="AF106" s="145" t="str">
        <f>""</f>
        <v/>
      </c>
      <c r="AG106" s="141" t="str">
        <f>""</f>
        <v/>
      </c>
      <c r="AH106" s="145" t="str">
        <f>""</f>
        <v/>
      </c>
      <c r="AI106" s="141" t="str">
        <f>""</f>
        <v/>
      </c>
      <c r="AJ106" s="145"/>
      <c r="AK106" s="141"/>
      <c r="AL106" s="145" t="str">
        <f>""</f>
        <v/>
      </c>
      <c r="AM106" s="141" t="str">
        <f>""</f>
        <v/>
      </c>
    </row>
    <row r="107" spans="2:39" s="2" customFormat="1" x14ac:dyDescent="0.2">
      <c r="B107" s="4"/>
      <c r="C107" s="4"/>
      <c r="D107" s="4"/>
      <c r="E107" s="4"/>
      <c r="F107" s="13"/>
      <c r="G107" s="13"/>
      <c r="H107" s="13"/>
      <c r="I107" s="13"/>
      <c r="J107" s="13"/>
      <c r="K107" s="13"/>
      <c r="L107" s="13"/>
      <c r="M107" s="13"/>
      <c r="U107" s="66" t="s">
        <v>65</v>
      </c>
      <c r="V107" s="40" t="str">
        <f>""</f>
        <v/>
      </c>
      <c r="W107" s="13" t="str">
        <f>""</f>
        <v/>
      </c>
      <c r="X107" s="13" t="str">
        <f>""</f>
        <v/>
      </c>
      <c r="Y107" s="35" t="str">
        <f>""</f>
        <v/>
      </c>
      <c r="Z107" s="34" t="str">
        <f>""</f>
        <v/>
      </c>
      <c r="AA107" s="809">
        <v>0</v>
      </c>
      <c r="AB107" s="809"/>
      <c r="AC107" s="141"/>
      <c r="AD107" s="145" t="str">
        <f>""</f>
        <v/>
      </c>
      <c r="AE107" s="141" t="str">
        <f>""</f>
        <v/>
      </c>
      <c r="AF107" s="145" t="str">
        <f>""</f>
        <v/>
      </c>
      <c r="AG107" s="141" t="str">
        <f>""</f>
        <v/>
      </c>
      <c r="AH107" s="145" t="str">
        <f>""</f>
        <v/>
      </c>
      <c r="AI107" s="141" t="str">
        <f>""</f>
        <v/>
      </c>
      <c r="AJ107" s="145"/>
      <c r="AK107" s="141"/>
      <c r="AL107" s="145" t="str">
        <f>""</f>
        <v/>
      </c>
      <c r="AM107" s="141" t="str">
        <f>""</f>
        <v/>
      </c>
    </row>
    <row r="108" spans="2:39" s="2" customFormat="1" x14ac:dyDescent="0.2">
      <c r="B108" s="4"/>
      <c r="C108" s="4"/>
      <c r="D108" s="4"/>
      <c r="E108" s="4"/>
      <c r="F108" s="13"/>
      <c r="G108" s="13"/>
      <c r="H108" s="13"/>
      <c r="I108" s="13"/>
      <c r="J108" s="13"/>
      <c r="K108" s="13"/>
      <c r="L108" s="13"/>
      <c r="M108" s="13"/>
      <c r="U108" s="66" t="s">
        <v>66</v>
      </c>
      <c r="V108" s="40" t="str">
        <f>""</f>
        <v/>
      </c>
      <c r="W108" s="13" t="str">
        <f>""</f>
        <v/>
      </c>
      <c r="X108" s="13" t="str">
        <f>""</f>
        <v/>
      </c>
      <c r="Y108" s="35" t="str">
        <f>""</f>
        <v/>
      </c>
      <c r="Z108" s="34" t="str">
        <f>""</f>
        <v/>
      </c>
      <c r="AA108" s="809">
        <v>0</v>
      </c>
      <c r="AB108" s="809"/>
      <c r="AC108" s="141"/>
      <c r="AD108" s="145" t="str">
        <f>""</f>
        <v/>
      </c>
      <c r="AE108" s="141" t="str">
        <f>""</f>
        <v/>
      </c>
      <c r="AF108" s="145" t="str">
        <f>""</f>
        <v/>
      </c>
      <c r="AG108" s="141" t="str">
        <f>""</f>
        <v/>
      </c>
      <c r="AH108" s="145" t="str">
        <f>""</f>
        <v/>
      </c>
      <c r="AI108" s="141" t="str">
        <f>""</f>
        <v/>
      </c>
      <c r="AJ108" s="145"/>
      <c r="AK108" s="141"/>
      <c r="AL108" s="145" t="str">
        <f>""</f>
        <v/>
      </c>
      <c r="AM108" s="141" t="str">
        <f>""</f>
        <v/>
      </c>
    </row>
    <row r="109" spans="2:39" s="2" customFormat="1" x14ac:dyDescent="0.2">
      <c r="B109" s="4"/>
      <c r="C109" s="4"/>
      <c r="D109" s="4"/>
      <c r="E109" s="4"/>
      <c r="F109" s="13"/>
      <c r="G109" s="13"/>
      <c r="H109" s="13"/>
      <c r="I109" s="13"/>
      <c r="J109" s="13"/>
      <c r="K109" s="13"/>
      <c r="L109" s="13"/>
      <c r="M109" s="13"/>
      <c r="U109" s="66" t="s">
        <v>67</v>
      </c>
      <c r="V109" s="40" t="str">
        <f>""</f>
        <v/>
      </c>
      <c r="W109" s="13" t="str">
        <f>""</f>
        <v/>
      </c>
      <c r="X109" s="13" t="str">
        <f>""</f>
        <v/>
      </c>
      <c r="Y109" s="35" t="str">
        <f>""</f>
        <v/>
      </c>
      <c r="Z109" s="34" t="str">
        <f>""</f>
        <v/>
      </c>
      <c r="AA109" s="809">
        <v>0</v>
      </c>
      <c r="AB109" s="809"/>
      <c r="AC109" s="141"/>
      <c r="AD109" s="145" t="str">
        <f>""</f>
        <v/>
      </c>
      <c r="AE109" s="141" t="str">
        <f>""</f>
        <v/>
      </c>
      <c r="AF109" s="145" t="str">
        <f>""</f>
        <v/>
      </c>
      <c r="AG109" s="141" t="str">
        <f>""</f>
        <v/>
      </c>
      <c r="AH109" s="145" t="str">
        <f>""</f>
        <v/>
      </c>
      <c r="AI109" s="141" t="str">
        <f>""</f>
        <v/>
      </c>
      <c r="AJ109" s="145"/>
      <c r="AK109" s="141"/>
      <c r="AL109" s="145" t="str">
        <f>""</f>
        <v/>
      </c>
      <c r="AM109" s="141" t="str">
        <f>""</f>
        <v/>
      </c>
    </row>
    <row r="110" spans="2:39" s="2" customFormat="1" x14ac:dyDescent="0.2">
      <c r="B110" s="4"/>
      <c r="C110" s="4"/>
      <c r="D110" s="4"/>
      <c r="E110" s="4"/>
      <c r="F110" s="13"/>
      <c r="G110" s="13"/>
      <c r="H110" s="13"/>
      <c r="I110" s="13"/>
      <c r="J110" s="13"/>
      <c r="K110" s="13"/>
      <c r="L110" s="13"/>
      <c r="M110" s="13"/>
      <c r="U110" s="66" t="s">
        <v>68</v>
      </c>
      <c r="V110" s="40" t="str">
        <f>""</f>
        <v/>
      </c>
      <c r="W110" s="13" t="str">
        <f>""</f>
        <v/>
      </c>
      <c r="X110" s="13" t="str">
        <f>""</f>
        <v/>
      </c>
      <c r="Y110" s="35" t="str">
        <f>""</f>
        <v/>
      </c>
      <c r="Z110" s="34" t="str">
        <f>""</f>
        <v/>
      </c>
      <c r="AA110" s="809">
        <v>0</v>
      </c>
      <c r="AB110" s="809"/>
      <c r="AC110" s="141"/>
      <c r="AD110" s="145" t="str">
        <f>""</f>
        <v/>
      </c>
      <c r="AE110" s="141" t="str">
        <f>""</f>
        <v/>
      </c>
      <c r="AF110" s="145" t="str">
        <f>""</f>
        <v/>
      </c>
      <c r="AG110" s="141" t="str">
        <f>""</f>
        <v/>
      </c>
      <c r="AH110" s="145" t="str">
        <f>""</f>
        <v/>
      </c>
      <c r="AI110" s="141" t="str">
        <f>""</f>
        <v/>
      </c>
      <c r="AJ110" s="145"/>
      <c r="AK110" s="141"/>
      <c r="AL110" s="145" t="str">
        <f>""</f>
        <v/>
      </c>
      <c r="AM110" s="141" t="str">
        <f>""</f>
        <v/>
      </c>
    </row>
    <row r="111" spans="2:39" s="2" customFormat="1" x14ac:dyDescent="0.2">
      <c r="B111" s="4"/>
      <c r="C111" s="4"/>
      <c r="D111" s="4"/>
      <c r="E111" s="4"/>
      <c r="F111" s="13"/>
      <c r="G111" s="13"/>
      <c r="H111" s="13"/>
      <c r="I111" s="13"/>
      <c r="J111" s="13"/>
      <c r="K111" s="13"/>
      <c r="L111" s="13"/>
      <c r="M111" s="13"/>
      <c r="U111" s="66" t="s">
        <v>69</v>
      </c>
      <c r="V111" s="40" t="str">
        <f>""</f>
        <v/>
      </c>
      <c r="W111" s="13" t="str">
        <f>""</f>
        <v/>
      </c>
      <c r="X111" s="13" t="str">
        <f>""</f>
        <v/>
      </c>
      <c r="Y111" s="35" t="str">
        <f>""</f>
        <v/>
      </c>
      <c r="Z111" s="34" t="str">
        <f>""</f>
        <v/>
      </c>
      <c r="AA111" s="809">
        <v>0</v>
      </c>
      <c r="AB111" s="809"/>
      <c r="AC111" s="141"/>
      <c r="AD111" s="145" t="str">
        <f>""</f>
        <v/>
      </c>
      <c r="AE111" s="141" t="str">
        <f>""</f>
        <v/>
      </c>
      <c r="AF111" s="145" t="str">
        <f>""</f>
        <v/>
      </c>
      <c r="AG111" s="141" t="str">
        <f>""</f>
        <v/>
      </c>
      <c r="AH111" s="145" t="str">
        <f>""</f>
        <v/>
      </c>
      <c r="AI111" s="141" t="str">
        <f>""</f>
        <v/>
      </c>
      <c r="AJ111" s="145"/>
      <c r="AK111" s="141"/>
      <c r="AL111" s="145" t="str">
        <f>""</f>
        <v/>
      </c>
      <c r="AM111" s="141" t="str">
        <f>""</f>
        <v/>
      </c>
    </row>
    <row r="112" spans="2:39" s="2" customFormat="1" x14ac:dyDescent="0.2">
      <c r="B112" s="4"/>
      <c r="C112" s="4"/>
      <c r="D112" s="4"/>
      <c r="E112" s="4"/>
      <c r="F112" s="13"/>
      <c r="G112" s="13"/>
      <c r="H112" s="13"/>
      <c r="I112" s="13"/>
      <c r="J112" s="13"/>
      <c r="K112" s="13"/>
      <c r="L112" s="13"/>
      <c r="M112" s="13"/>
      <c r="U112" s="66" t="s">
        <v>70</v>
      </c>
      <c r="V112" s="40" t="str">
        <f>""</f>
        <v/>
      </c>
      <c r="W112" s="13" t="str">
        <f>""</f>
        <v/>
      </c>
      <c r="X112" s="13" t="str">
        <f>""</f>
        <v/>
      </c>
      <c r="Y112" s="35" t="str">
        <f>""</f>
        <v/>
      </c>
      <c r="Z112" s="34" t="str">
        <f>""</f>
        <v/>
      </c>
      <c r="AA112" s="809">
        <v>0</v>
      </c>
      <c r="AB112" s="809"/>
      <c r="AC112" s="141"/>
      <c r="AD112" s="145" t="str">
        <f>""</f>
        <v/>
      </c>
      <c r="AE112" s="141" t="str">
        <f>""</f>
        <v/>
      </c>
      <c r="AF112" s="145" t="str">
        <f>""</f>
        <v/>
      </c>
      <c r="AG112" s="141" t="str">
        <f>""</f>
        <v/>
      </c>
      <c r="AH112" s="145" t="str">
        <f>""</f>
        <v/>
      </c>
      <c r="AI112" s="141" t="str">
        <f>""</f>
        <v/>
      </c>
      <c r="AJ112" s="145"/>
      <c r="AK112" s="141"/>
      <c r="AL112" s="145" t="str">
        <f>""</f>
        <v/>
      </c>
      <c r="AM112" s="141" t="str">
        <f>""</f>
        <v/>
      </c>
    </row>
    <row r="113" spans="2:39" s="2" customFormat="1" x14ac:dyDescent="0.2">
      <c r="B113" s="4"/>
      <c r="C113" s="4"/>
      <c r="D113" s="4"/>
      <c r="E113" s="4"/>
      <c r="F113" s="13"/>
      <c r="G113" s="13"/>
      <c r="H113" s="13"/>
      <c r="I113" s="13"/>
      <c r="J113" s="13"/>
      <c r="K113" s="13"/>
      <c r="L113" s="13"/>
      <c r="M113" s="13"/>
      <c r="U113" s="66" t="s">
        <v>71</v>
      </c>
      <c r="V113" s="40" t="str">
        <f>""</f>
        <v/>
      </c>
      <c r="W113" s="13" t="str">
        <f>""</f>
        <v/>
      </c>
      <c r="X113" s="13" t="str">
        <f>""</f>
        <v/>
      </c>
      <c r="Y113" s="35" t="str">
        <f>""</f>
        <v/>
      </c>
      <c r="Z113" s="34" t="str">
        <f>""</f>
        <v/>
      </c>
      <c r="AA113" s="809">
        <v>0</v>
      </c>
      <c r="AB113" s="809"/>
      <c r="AC113" s="141"/>
      <c r="AD113" s="145" t="str">
        <f>""</f>
        <v/>
      </c>
      <c r="AE113" s="141" t="str">
        <f>""</f>
        <v/>
      </c>
      <c r="AF113" s="145" t="str">
        <f>""</f>
        <v/>
      </c>
      <c r="AG113" s="141" t="str">
        <f>""</f>
        <v/>
      </c>
      <c r="AH113" s="145" t="str">
        <f>""</f>
        <v/>
      </c>
      <c r="AI113" s="141" t="str">
        <f>""</f>
        <v/>
      </c>
      <c r="AJ113" s="145"/>
      <c r="AK113" s="141"/>
      <c r="AL113" s="145" t="str">
        <f>""</f>
        <v/>
      </c>
      <c r="AM113" s="141" t="str">
        <f>""</f>
        <v/>
      </c>
    </row>
    <row r="114" spans="2:39" s="2" customFormat="1" x14ac:dyDescent="0.2">
      <c r="B114" s="4"/>
      <c r="C114" s="4"/>
      <c r="D114" s="4"/>
      <c r="E114" s="4"/>
      <c r="F114" s="13"/>
      <c r="G114" s="13"/>
      <c r="H114" s="13"/>
      <c r="I114" s="13"/>
      <c r="J114" s="13"/>
      <c r="K114" s="13"/>
      <c r="L114" s="13"/>
      <c r="M114" s="13"/>
      <c r="U114" s="66" t="s">
        <v>72</v>
      </c>
      <c r="V114" s="40" t="str">
        <f>""</f>
        <v/>
      </c>
      <c r="W114" s="13" t="str">
        <f>""</f>
        <v/>
      </c>
      <c r="X114" s="13" t="str">
        <f>""</f>
        <v/>
      </c>
      <c r="Y114" s="35" t="str">
        <f>""</f>
        <v/>
      </c>
      <c r="Z114" s="34" t="str">
        <f>""</f>
        <v/>
      </c>
      <c r="AA114" s="809">
        <v>0</v>
      </c>
      <c r="AB114" s="809"/>
      <c r="AC114" s="141"/>
      <c r="AD114" s="145" t="str">
        <f>""</f>
        <v/>
      </c>
      <c r="AE114" s="141" t="str">
        <f>""</f>
        <v/>
      </c>
      <c r="AF114" s="145" t="str">
        <f>""</f>
        <v/>
      </c>
      <c r="AG114" s="141" t="str">
        <f>""</f>
        <v/>
      </c>
      <c r="AH114" s="145" t="str">
        <f>""</f>
        <v/>
      </c>
      <c r="AI114" s="141" t="str">
        <f>""</f>
        <v/>
      </c>
      <c r="AJ114" s="145"/>
      <c r="AK114" s="141"/>
      <c r="AL114" s="145" t="str">
        <f>""</f>
        <v/>
      </c>
      <c r="AM114" s="141" t="str">
        <f>""</f>
        <v/>
      </c>
    </row>
    <row r="115" spans="2:39" s="2" customFormat="1" x14ac:dyDescent="0.2">
      <c r="B115" s="4"/>
      <c r="C115" s="4"/>
      <c r="D115" s="4"/>
      <c r="E115" s="4"/>
      <c r="F115" s="13"/>
      <c r="G115" s="13"/>
      <c r="H115" s="13"/>
      <c r="I115" s="13"/>
      <c r="J115" s="13"/>
      <c r="K115" s="13"/>
      <c r="L115" s="13"/>
      <c r="M115" s="13"/>
      <c r="U115" s="66" t="s">
        <v>73</v>
      </c>
      <c r="V115" s="40" t="str">
        <f>""</f>
        <v/>
      </c>
      <c r="W115" s="13" t="str">
        <f>""</f>
        <v/>
      </c>
      <c r="X115" s="13" t="str">
        <f>""</f>
        <v/>
      </c>
      <c r="Y115" s="35" t="str">
        <f>""</f>
        <v/>
      </c>
      <c r="Z115" s="34" t="str">
        <f>""</f>
        <v/>
      </c>
      <c r="AA115" s="809">
        <v>0</v>
      </c>
      <c r="AB115" s="809"/>
      <c r="AC115" s="141"/>
      <c r="AD115" s="145" t="str">
        <f>""</f>
        <v/>
      </c>
      <c r="AE115" s="141" t="str">
        <f>""</f>
        <v/>
      </c>
      <c r="AF115" s="145" t="str">
        <f>""</f>
        <v/>
      </c>
      <c r="AG115" s="141" t="str">
        <f>""</f>
        <v/>
      </c>
      <c r="AH115" s="145" t="str">
        <f>""</f>
        <v/>
      </c>
      <c r="AI115" s="141" t="str">
        <f>""</f>
        <v/>
      </c>
      <c r="AJ115" s="145"/>
      <c r="AK115" s="141"/>
      <c r="AL115" s="145" t="str">
        <f>""</f>
        <v/>
      </c>
      <c r="AM115" s="141" t="str">
        <f>""</f>
        <v/>
      </c>
    </row>
    <row r="116" spans="2:39" s="2" customFormat="1" x14ac:dyDescent="0.2">
      <c r="B116" s="4"/>
      <c r="C116" s="4"/>
      <c r="D116" s="4"/>
      <c r="E116" s="4"/>
      <c r="F116" s="13"/>
      <c r="G116" s="13"/>
      <c r="H116" s="13"/>
      <c r="I116" s="13"/>
      <c r="J116" s="13"/>
      <c r="K116" s="13"/>
      <c r="L116" s="13"/>
      <c r="M116" s="13"/>
      <c r="U116" s="66" t="s">
        <v>74</v>
      </c>
      <c r="V116" s="40" t="str">
        <f>""</f>
        <v/>
      </c>
      <c r="W116" s="13" t="str">
        <f>""</f>
        <v/>
      </c>
      <c r="X116" s="13" t="str">
        <f>""</f>
        <v/>
      </c>
      <c r="Y116" s="35" t="str">
        <f>""</f>
        <v/>
      </c>
      <c r="Z116" s="34" t="str">
        <f>""</f>
        <v/>
      </c>
      <c r="AA116" s="809">
        <v>0</v>
      </c>
      <c r="AB116" s="809"/>
      <c r="AC116" s="141"/>
      <c r="AD116" s="145" t="str">
        <f>""</f>
        <v/>
      </c>
      <c r="AE116" s="141" t="str">
        <f>""</f>
        <v/>
      </c>
      <c r="AF116" s="145" t="str">
        <f>""</f>
        <v/>
      </c>
      <c r="AG116" s="141" t="str">
        <f>""</f>
        <v/>
      </c>
      <c r="AH116" s="145" t="str">
        <f>""</f>
        <v/>
      </c>
      <c r="AI116" s="141" t="str">
        <f>""</f>
        <v/>
      </c>
      <c r="AJ116" s="145"/>
      <c r="AK116" s="141"/>
      <c r="AL116" s="145" t="str">
        <f>""</f>
        <v/>
      </c>
      <c r="AM116" s="141" t="str">
        <f>""</f>
        <v/>
      </c>
    </row>
    <row r="117" spans="2:39" s="2" customFormat="1" x14ac:dyDescent="0.2">
      <c r="B117" s="4"/>
      <c r="C117" s="4"/>
      <c r="D117" s="4"/>
      <c r="E117" s="4"/>
      <c r="F117" s="13"/>
      <c r="G117" s="13"/>
      <c r="H117" s="13"/>
      <c r="I117" s="13"/>
      <c r="J117" s="13"/>
      <c r="K117" s="13"/>
      <c r="L117" s="13"/>
      <c r="M117" s="13"/>
      <c r="U117" s="66" t="s">
        <v>75</v>
      </c>
      <c r="V117" s="40" t="str">
        <f>""</f>
        <v/>
      </c>
      <c r="W117" s="13" t="str">
        <f>""</f>
        <v/>
      </c>
      <c r="X117" s="13" t="str">
        <f>""</f>
        <v/>
      </c>
      <c r="Y117" s="35" t="str">
        <f>""</f>
        <v/>
      </c>
      <c r="Z117" s="34" t="str">
        <f>""</f>
        <v/>
      </c>
      <c r="AA117" s="809">
        <v>0</v>
      </c>
      <c r="AB117" s="809"/>
      <c r="AC117" s="141"/>
      <c r="AD117" s="145" t="str">
        <f>""</f>
        <v/>
      </c>
      <c r="AE117" s="141" t="str">
        <f>""</f>
        <v/>
      </c>
      <c r="AF117" s="145" t="str">
        <f>""</f>
        <v/>
      </c>
      <c r="AG117" s="141" t="str">
        <f>""</f>
        <v/>
      </c>
      <c r="AH117" s="145" t="str">
        <f>""</f>
        <v/>
      </c>
      <c r="AI117" s="141" t="str">
        <f>""</f>
        <v/>
      </c>
      <c r="AJ117" s="145"/>
      <c r="AK117" s="141"/>
      <c r="AL117" s="145" t="str">
        <f>""</f>
        <v/>
      </c>
      <c r="AM117" s="141" t="str">
        <f>""</f>
        <v/>
      </c>
    </row>
    <row r="118" spans="2:39" s="2" customFormat="1" x14ac:dyDescent="0.2">
      <c r="B118" s="4"/>
      <c r="C118" s="4"/>
      <c r="D118" s="4"/>
      <c r="E118" s="4"/>
      <c r="F118" s="13"/>
      <c r="G118" s="13"/>
      <c r="H118" s="13"/>
      <c r="I118" s="13"/>
      <c r="J118" s="13"/>
      <c r="K118" s="13"/>
      <c r="L118" s="13"/>
      <c r="M118" s="13"/>
      <c r="U118" s="66" t="s">
        <v>76</v>
      </c>
      <c r="V118" s="40" t="str">
        <f>""</f>
        <v/>
      </c>
      <c r="W118" s="13" t="str">
        <f>""</f>
        <v/>
      </c>
      <c r="X118" s="13" t="str">
        <f>""</f>
        <v/>
      </c>
      <c r="Y118" s="35" t="str">
        <f>""</f>
        <v/>
      </c>
      <c r="Z118" s="34" t="str">
        <f>""</f>
        <v/>
      </c>
      <c r="AA118" s="809">
        <v>0</v>
      </c>
      <c r="AB118" s="809"/>
      <c r="AC118" s="141"/>
      <c r="AD118" s="145" t="str">
        <f>""</f>
        <v/>
      </c>
      <c r="AE118" s="141" t="str">
        <f>""</f>
        <v/>
      </c>
      <c r="AF118" s="145" t="str">
        <f>""</f>
        <v/>
      </c>
      <c r="AG118" s="141" t="str">
        <f>""</f>
        <v/>
      </c>
      <c r="AH118" s="145" t="str">
        <f>""</f>
        <v/>
      </c>
      <c r="AI118" s="141" t="str">
        <f>""</f>
        <v/>
      </c>
      <c r="AJ118" s="145"/>
      <c r="AK118" s="141"/>
      <c r="AL118" s="145" t="str">
        <f>""</f>
        <v/>
      </c>
      <c r="AM118" s="141" t="str">
        <f>""</f>
        <v/>
      </c>
    </row>
    <row r="119" spans="2:39" s="2" customFormat="1" x14ac:dyDescent="0.2">
      <c r="B119" s="4"/>
      <c r="C119" s="4"/>
      <c r="D119" s="4"/>
      <c r="E119" s="4"/>
      <c r="F119" s="13"/>
      <c r="G119" s="13"/>
      <c r="H119" s="13"/>
      <c r="I119" s="13"/>
      <c r="J119" s="13"/>
      <c r="K119" s="13"/>
      <c r="L119" s="13"/>
      <c r="M119" s="13"/>
      <c r="U119" s="66" t="s">
        <v>77</v>
      </c>
      <c r="V119" s="40" t="str">
        <f>""</f>
        <v/>
      </c>
      <c r="W119" s="13" t="str">
        <f>""</f>
        <v/>
      </c>
      <c r="X119" s="13" t="str">
        <f>""</f>
        <v/>
      </c>
      <c r="Y119" s="35" t="str">
        <f>""</f>
        <v/>
      </c>
      <c r="Z119" s="34" t="str">
        <f>""</f>
        <v/>
      </c>
      <c r="AA119" s="809">
        <v>0</v>
      </c>
      <c r="AB119" s="809"/>
      <c r="AC119" s="141"/>
      <c r="AD119" s="145" t="str">
        <f>""</f>
        <v/>
      </c>
      <c r="AE119" s="141" t="str">
        <f>""</f>
        <v/>
      </c>
      <c r="AF119" s="145" t="str">
        <f>""</f>
        <v/>
      </c>
      <c r="AG119" s="141" t="str">
        <f>""</f>
        <v/>
      </c>
      <c r="AH119" s="145" t="str">
        <f>""</f>
        <v/>
      </c>
      <c r="AI119" s="141" t="str">
        <f>""</f>
        <v/>
      </c>
      <c r="AJ119" s="145"/>
      <c r="AK119" s="141"/>
      <c r="AL119" s="145" t="str">
        <f>""</f>
        <v/>
      </c>
      <c r="AM119" s="141" t="str">
        <f>""</f>
        <v/>
      </c>
    </row>
    <row r="120" spans="2:39" s="2" customFormat="1" x14ac:dyDescent="0.2">
      <c r="B120" s="4"/>
      <c r="C120" s="4"/>
      <c r="D120" s="4"/>
      <c r="E120" s="4"/>
      <c r="F120" s="13"/>
      <c r="G120" s="13"/>
      <c r="H120" s="13"/>
      <c r="I120" s="13"/>
      <c r="J120" s="13"/>
      <c r="K120" s="13"/>
      <c r="L120" s="13"/>
      <c r="M120" s="13"/>
      <c r="U120" s="66" t="s">
        <v>78</v>
      </c>
      <c r="V120" s="40" t="str">
        <f>""</f>
        <v/>
      </c>
      <c r="W120" s="13" t="str">
        <f>""</f>
        <v/>
      </c>
      <c r="X120" s="13" t="str">
        <f>""</f>
        <v/>
      </c>
      <c r="Y120" s="35" t="str">
        <f>""</f>
        <v/>
      </c>
      <c r="Z120" s="34" t="str">
        <f>""</f>
        <v/>
      </c>
      <c r="AA120" s="809">
        <v>0</v>
      </c>
      <c r="AB120" s="809"/>
      <c r="AC120" s="141"/>
      <c r="AD120" s="145" t="str">
        <f>""</f>
        <v/>
      </c>
      <c r="AE120" s="141" t="str">
        <f>""</f>
        <v/>
      </c>
      <c r="AF120" s="145" t="str">
        <f>""</f>
        <v/>
      </c>
      <c r="AG120" s="141" t="str">
        <f>""</f>
        <v/>
      </c>
      <c r="AH120" s="145" t="str">
        <f>""</f>
        <v/>
      </c>
      <c r="AI120" s="141" t="str">
        <f>""</f>
        <v/>
      </c>
      <c r="AJ120" s="145"/>
      <c r="AK120" s="141"/>
      <c r="AL120" s="145" t="str">
        <f>""</f>
        <v/>
      </c>
      <c r="AM120" s="141" t="str">
        <f>""</f>
        <v/>
      </c>
    </row>
    <row r="121" spans="2:39" s="2" customFormat="1" x14ac:dyDescent="0.2">
      <c r="B121" s="4"/>
      <c r="C121" s="4"/>
      <c r="D121" s="4"/>
      <c r="E121" s="4"/>
      <c r="F121" s="13"/>
      <c r="G121" s="13"/>
      <c r="H121" s="13"/>
      <c r="I121" s="13"/>
      <c r="J121" s="13"/>
      <c r="K121" s="13"/>
      <c r="L121" s="13"/>
      <c r="M121" s="13"/>
      <c r="U121" s="66" t="s">
        <v>79</v>
      </c>
      <c r="V121" s="40" t="str">
        <f>""</f>
        <v/>
      </c>
      <c r="W121" s="13" t="str">
        <f>""</f>
        <v/>
      </c>
      <c r="X121" s="13" t="str">
        <f>""</f>
        <v/>
      </c>
      <c r="Y121" s="35" t="str">
        <f>""</f>
        <v/>
      </c>
      <c r="Z121" s="34" t="str">
        <f>""</f>
        <v/>
      </c>
      <c r="AA121" s="809">
        <v>0</v>
      </c>
      <c r="AB121" s="809"/>
      <c r="AC121" s="141"/>
      <c r="AD121" s="145" t="str">
        <f>""</f>
        <v/>
      </c>
      <c r="AE121" s="141" t="str">
        <f>""</f>
        <v/>
      </c>
      <c r="AF121" s="145" t="str">
        <f>""</f>
        <v/>
      </c>
      <c r="AG121" s="141" t="str">
        <f>""</f>
        <v/>
      </c>
      <c r="AH121" s="145" t="str">
        <f>""</f>
        <v/>
      </c>
      <c r="AI121" s="141" t="str">
        <f>""</f>
        <v/>
      </c>
      <c r="AJ121" s="145"/>
      <c r="AK121" s="141"/>
      <c r="AL121" s="145" t="str">
        <f>""</f>
        <v/>
      </c>
      <c r="AM121" s="141" t="str">
        <f>""</f>
        <v/>
      </c>
    </row>
    <row r="122" spans="2:39" s="2" customFormat="1" x14ac:dyDescent="0.2">
      <c r="B122" s="4"/>
      <c r="C122" s="4"/>
      <c r="D122" s="4"/>
      <c r="E122" s="4"/>
      <c r="F122" s="13"/>
      <c r="G122" s="13"/>
      <c r="H122" s="13"/>
      <c r="I122" s="13"/>
      <c r="J122" s="13"/>
      <c r="K122" s="13"/>
      <c r="L122" s="13"/>
      <c r="M122" s="13"/>
      <c r="U122" s="66" t="s">
        <v>80</v>
      </c>
      <c r="V122" s="40" t="str">
        <f>""</f>
        <v/>
      </c>
      <c r="W122" s="13" t="str">
        <f>""</f>
        <v/>
      </c>
      <c r="X122" s="13" t="str">
        <f>""</f>
        <v/>
      </c>
      <c r="Y122" s="35" t="str">
        <f>""</f>
        <v/>
      </c>
      <c r="Z122" s="34" t="str">
        <f>""</f>
        <v/>
      </c>
      <c r="AA122" s="809">
        <v>0</v>
      </c>
      <c r="AB122" s="809"/>
      <c r="AC122" s="141"/>
      <c r="AD122" s="145" t="str">
        <f>""</f>
        <v/>
      </c>
      <c r="AE122" s="141" t="str">
        <f>""</f>
        <v/>
      </c>
      <c r="AF122" s="145" t="str">
        <f>""</f>
        <v/>
      </c>
      <c r="AG122" s="141" t="str">
        <f>""</f>
        <v/>
      </c>
      <c r="AH122" s="145" t="str">
        <f>""</f>
        <v/>
      </c>
      <c r="AI122" s="141" t="str">
        <f>""</f>
        <v/>
      </c>
      <c r="AJ122" s="145"/>
      <c r="AK122" s="141"/>
      <c r="AL122" s="145" t="str">
        <f>""</f>
        <v/>
      </c>
      <c r="AM122" s="141" t="str">
        <f>""</f>
        <v/>
      </c>
    </row>
    <row r="123" spans="2:39" s="2" customFormat="1" x14ac:dyDescent="0.2">
      <c r="B123" s="4"/>
      <c r="C123" s="4"/>
      <c r="D123" s="4"/>
      <c r="E123" s="4"/>
      <c r="F123" s="13"/>
      <c r="G123" s="13"/>
      <c r="H123" s="13"/>
      <c r="I123" s="13"/>
      <c r="J123" s="13"/>
      <c r="K123" s="13"/>
      <c r="L123" s="13"/>
      <c r="M123" s="13"/>
      <c r="U123" s="66" t="s">
        <v>81</v>
      </c>
      <c r="V123" s="40" t="str">
        <f>""</f>
        <v/>
      </c>
      <c r="W123" s="13" t="str">
        <f>""</f>
        <v/>
      </c>
      <c r="X123" s="13" t="str">
        <f>""</f>
        <v/>
      </c>
      <c r="Y123" s="35" t="str">
        <f>""</f>
        <v/>
      </c>
      <c r="Z123" s="34" t="str">
        <f>""</f>
        <v/>
      </c>
      <c r="AA123" s="809">
        <v>0</v>
      </c>
      <c r="AB123" s="809"/>
      <c r="AC123" s="141"/>
      <c r="AD123" s="145" t="str">
        <f>""</f>
        <v/>
      </c>
      <c r="AE123" s="141" t="str">
        <f>""</f>
        <v/>
      </c>
      <c r="AF123" s="145" t="str">
        <f>""</f>
        <v/>
      </c>
      <c r="AG123" s="141" t="str">
        <f>""</f>
        <v/>
      </c>
      <c r="AH123" s="145" t="str">
        <f>""</f>
        <v/>
      </c>
      <c r="AI123" s="141" t="str">
        <f>""</f>
        <v/>
      </c>
      <c r="AJ123" s="145"/>
      <c r="AK123" s="141"/>
      <c r="AL123" s="145" t="str">
        <f>""</f>
        <v/>
      </c>
      <c r="AM123" s="141" t="str">
        <f>""</f>
        <v/>
      </c>
    </row>
    <row r="124" spans="2:39" s="2" customFormat="1" x14ac:dyDescent="0.2">
      <c r="B124" s="4"/>
      <c r="C124" s="4"/>
      <c r="D124" s="4"/>
      <c r="E124" s="4"/>
      <c r="F124" s="13"/>
      <c r="G124" s="13"/>
      <c r="H124" s="13"/>
      <c r="I124" s="13"/>
      <c r="J124" s="13"/>
      <c r="K124" s="13"/>
      <c r="L124" s="13"/>
      <c r="M124" s="13"/>
      <c r="U124" s="66" t="s">
        <v>82</v>
      </c>
      <c r="V124" s="40" t="str">
        <f>""</f>
        <v/>
      </c>
      <c r="W124" s="13" t="str">
        <f>""</f>
        <v/>
      </c>
      <c r="X124" s="13" t="str">
        <f>""</f>
        <v/>
      </c>
      <c r="Y124" s="35" t="str">
        <f>""</f>
        <v/>
      </c>
      <c r="Z124" s="34" t="str">
        <f>""</f>
        <v/>
      </c>
      <c r="AA124" s="809">
        <v>0</v>
      </c>
      <c r="AB124" s="809"/>
      <c r="AC124" s="141"/>
      <c r="AD124" s="145" t="str">
        <f>""</f>
        <v/>
      </c>
      <c r="AE124" s="141" t="str">
        <f>""</f>
        <v/>
      </c>
      <c r="AF124" s="145" t="str">
        <f>""</f>
        <v/>
      </c>
      <c r="AG124" s="141" t="str">
        <f>""</f>
        <v/>
      </c>
      <c r="AH124" s="145" t="str">
        <f>""</f>
        <v/>
      </c>
      <c r="AI124" s="141" t="str">
        <f>""</f>
        <v/>
      </c>
      <c r="AJ124" s="145"/>
      <c r="AK124" s="141"/>
      <c r="AL124" s="145" t="str">
        <f>""</f>
        <v/>
      </c>
      <c r="AM124" s="141" t="str">
        <f>""</f>
        <v/>
      </c>
    </row>
    <row r="125" spans="2:39" s="2" customFormat="1" x14ac:dyDescent="0.2">
      <c r="B125" s="4"/>
      <c r="C125" s="4"/>
      <c r="D125" s="4"/>
      <c r="E125" s="4"/>
      <c r="F125" s="13"/>
      <c r="G125" s="13"/>
      <c r="H125" s="13"/>
      <c r="I125" s="13"/>
      <c r="J125" s="13"/>
      <c r="K125" s="13"/>
      <c r="L125" s="13"/>
      <c r="M125" s="13"/>
      <c r="U125" s="66" t="s">
        <v>83</v>
      </c>
      <c r="V125" s="40" t="str">
        <f>""</f>
        <v/>
      </c>
      <c r="W125" s="13" t="str">
        <f>""</f>
        <v/>
      </c>
      <c r="X125" s="13" t="str">
        <f>""</f>
        <v/>
      </c>
      <c r="Y125" s="35" t="str">
        <f>""</f>
        <v/>
      </c>
      <c r="Z125" s="34" t="str">
        <f>""</f>
        <v/>
      </c>
      <c r="AA125" s="809">
        <v>0</v>
      </c>
      <c r="AB125" s="809"/>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13"/>
      <c r="G126" s="13"/>
      <c r="H126" s="13"/>
      <c r="I126" s="13"/>
      <c r="J126" s="13"/>
      <c r="K126" s="13"/>
      <c r="L126" s="13"/>
      <c r="M126" s="13"/>
      <c r="U126" s="66" t="s">
        <v>84</v>
      </c>
      <c r="V126" s="40" t="str">
        <f>""</f>
        <v/>
      </c>
      <c r="W126" s="13" t="str">
        <f>""</f>
        <v/>
      </c>
      <c r="X126" s="13" t="str">
        <f>""</f>
        <v/>
      </c>
      <c r="Y126" s="35" t="str">
        <f>""</f>
        <v/>
      </c>
      <c r="Z126" s="34" t="str">
        <f>""</f>
        <v/>
      </c>
      <c r="AA126" s="809">
        <v>0</v>
      </c>
      <c r="AB126" s="809"/>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13"/>
      <c r="G127" s="13"/>
      <c r="H127" s="13"/>
      <c r="I127" s="13"/>
      <c r="J127" s="13"/>
      <c r="K127" s="13"/>
      <c r="L127" s="13"/>
      <c r="M127" s="13"/>
      <c r="U127" s="66" t="s">
        <v>85</v>
      </c>
      <c r="V127" s="40" t="str">
        <f>""</f>
        <v/>
      </c>
      <c r="W127" s="13" t="str">
        <f>""</f>
        <v/>
      </c>
      <c r="X127" s="13" t="str">
        <f>""</f>
        <v/>
      </c>
      <c r="Y127" s="35" t="str">
        <f>""</f>
        <v/>
      </c>
      <c r="Z127" s="34" t="str">
        <f>""</f>
        <v/>
      </c>
      <c r="AA127" s="809">
        <v>0</v>
      </c>
      <c r="AB127" s="809"/>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13"/>
      <c r="G128" s="13"/>
      <c r="H128" s="13"/>
      <c r="I128" s="13"/>
      <c r="J128" s="13"/>
      <c r="K128" s="13"/>
      <c r="L128" s="13"/>
      <c r="M128" s="13"/>
      <c r="U128" s="66" t="s">
        <v>86</v>
      </c>
      <c r="V128" s="40" t="str">
        <f>""</f>
        <v/>
      </c>
      <c r="W128" s="13" t="str">
        <f>""</f>
        <v/>
      </c>
      <c r="X128" s="13" t="str">
        <f>""</f>
        <v/>
      </c>
      <c r="Y128" s="35" t="str">
        <f>""</f>
        <v/>
      </c>
      <c r="Z128" s="34" t="str">
        <f>""</f>
        <v/>
      </c>
      <c r="AA128" s="809">
        <v>0</v>
      </c>
      <c r="AB128" s="809"/>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13"/>
      <c r="G129" s="13"/>
      <c r="H129" s="13"/>
      <c r="I129" s="13"/>
      <c r="J129" s="13"/>
      <c r="K129" s="13"/>
      <c r="L129" s="13"/>
      <c r="M129" s="13"/>
      <c r="U129" s="66" t="s">
        <v>87</v>
      </c>
      <c r="V129" s="40" t="str">
        <f>""</f>
        <v/>
      </c>
      <c r="W129" s="13" t="str">
        <f>""</f>
        <v/>
      </c>
      <c r="X129" s="13" t="str">
        <f>""</f>
        <v/>
      </c>
      <c r="Y129" s="35" t="str">
        <f>""</f>
        <v/>
      </c>
      <c r="Z129" s="34" t="str">
        <f>""</f>
        <v/>
      </c>
      <c r="AA129" s="809">
        <v>0</v>
      </c>
      <c r="AB129" s="809"/>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13"/>
      <c r="G130" s="13"/>
      <c r="H130" s="13"/>
      <c r="I130" s="13"/>
      <c r="J130" s="13"/>
      <c r="K130" s="13"/>
      <c r="L130" s="13"/>
      <c r="M130" s="13"/>
      <c r="U130" s="66" t="s">
        <v>88</v>
      </c>
      <c r="V130" s="40" t="str">
        <f>""</f>
        <v/>
      </c>
      <c r="W130" s="13" t="str">
        <f>""</f>
        <v/>
      </c>
      <c r="X130" s="13" t="str">
        <f>""</f>
        <v/>
      </c>
      <c r="Y130" s="35" t="str">
        <f>""</f>
        <v/>
      </c>
      <c r="Z130" s="34" t="str">
        <f>""</f>
        <v/>
      </c>
      <c r="AA130" s="809">
        <v>0</v>
      </c>
      <c r="AB130" s="809"/>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13"/>
      <c r="G131" s="13"/>
      <c r="H131" s="13"/>
      <c r="I131" s="13"/>
      <c r="J131" s="13"/>
      <c r="K131" s="13"/>
      <c r="L131" s="13"/>
      <c r="M131" s="13"/>
      <c r="U131" s="66" t="s">
        <v>89</v>
      </c>
      <c r="V131" s="40" t="str">
        <f>""</f>
        <v/>
      </c>
      <c r="W131" s="13" t="str">
        <f>""</f>
        <v/>
      </c>
      <c r="X131" s="13" t="str">
        <f>""</f>
        <v/>
      </c>
      <c r="Y131" s="35" t="str">
        <f>""</f>
        <v/>
      </c>
      <c r="Z131" s="34" t="str">
        <f>""</f>
        <v/>
      </c>
      <c r="AA131" s="809">
        <v>0</v>
      </c>
      <c r="AB131" s="809"/>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13"/>
      <c r="G132" s="13"/>
      <c r="H132" s="13"/>
      <c r="I132" s="13"/>
      <c r="J132" s="13"/>
      <c r="K132" s="13"/>
      <c r="L132" s="13"/>
      <c r="M132" s="13"/>
      <c r="U132" s="66" t="s">
        <v>90</v>
      </c>
      <c r="V132" s="40" t="str">
        <f>""</f>
        <v/>
      </c>
      <c r="W132" s="13" t="str">
        <f>""</f>
        <v/>
      </c>
      <c r="X132" s="13" t="str">
        <f>""</f>
        <v/>
      </c>
      <c r="Y132" s="35" t="str">
        <f>""</f>
        <v/>
      </c>
      <c r="Z132" s="34" t="str">
        <f>""</f>
        <v/>
      </c>
      <c r="AA132" s="809">
        <v>0</v>
      </c>
      <c r="AB132" s="809"/>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13"/>
      <c r="G133" s="13"/>
      <c r="H133" s="13"/>
      <c r="I133" s="13"/>
      <c r="J133" s="13"/>
      <c r="K133" s="13"/>
      <c r="L133" s="13"/>
      <c r="M133" s="13"/>
      <c r="U133" s="66" t="s">
        <v>91</v>
      </c>
      <c r="V133" s="40" t="str">
        <f>""</f>
        <v/>
      </c>
      <c r="W133" s="13" t="str">
        <f>""</f>
        <v/>
      </c>
      <c r="X133" s="13" t="str">
        <f>""</f>
        <v/>
      </c>
      <c r="Y133" s="35" t="str">
        <f>""</f>
        <v/>
      </c>
      <c r="Z133" s="34" t="str">
        <f>""</f>
        <v/>
      </c>
      <c r="AA133" s="809">
        <v>0</v>
      </c>
      <c r="AB133" s="809"/>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13"/>
      <c r="G134" s="13"/>
      <c r="H134" s="13"/>
      <c r="I134" s="13"/>
      <c r="J134" s="13"/>
      <c r="K134" s="13"/>
      <c r="L134" s="13"/>
      <c r="M134" s="13"/>
      <c r="U134" s="66" t="s">
        <v>92</v>
      </c>
      <c r="V134" s="40" t="str">
        <f>""</f>
        <v/>
      </c>
      <c r="W134" s="13" t="str">
        <f>""</f>
        <v/>
      </c>
      <c r="X134" s="13" t="str">
        <f>""</f>
        <v/>
      </c>
      <c r="Y134" s="35" t="str">
        <f>""</f>
        <v/>
      </c>
      <c r="Z134" s="34" t="str">
        <f>""</f>
        <v/>
      </c>
      <c r="AA134" s="809">
        <v>0</v>
      </c>
      <c r="AB134" s="809"/>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13"/>
      <c r="G135" s="13"/>
      <c r="H135" s="13"/>
      <c r="I135" s="13"/>
      <c r="J135" s="13"/>
      <c r="K135" s="13"/>
      <c r="L135" s="13"/>
      <c r="M135" s="13"/>
      <c r="U135" s="67" t="s">
        <v>93</v>
      </c>
      <c r="V135" s="41" t="str">
        <f>""</f>
        <v/>
      </c>
      <c r="W135" s="37" t="str">
        <f>""</f>
        <v/>
      </c>
      <c r="X135" s="37" t="str">
        <f>""</f>
        <v/>
      </c>
      <c r="Y135" s="38" t="str">
        <f>""</f>
        <v/>
      </c>
      <c r="Z135" s="36" t="str">
        <f>""</f>
        <v/>
      </c>
      <c r="AA135" s="37">
        <v>0</v>
      </c>
      <c r="AB135" s="37"/>
      <c r="AC135" s="813"/>
      <c r="AD135" s="812" t="str">
        <f>""</f>
        <v/>
      </c>
      <c r="AE135" s="813" t="str">
        <f>""</f>
        <v/>
      </c>
      <c r="AF135" s="812" t="str">
        <f>""</f>
        <v/>
      </c>
      <c r="AG135" s="813" t="str">
        <f>""</f>
        <v/>
      </c>
      <c r="AH135" s="812" t="str">
        <f>""</f>
        <v/>
      </c>
      <c r="AI135" s="813" t="str">
        <f>""</f>
        <v/>
      </c>
      <c r="AJ135" s="810"/>
      <c r="AK135" s="811"/>
      <c r="AL135" s="812" t="str">
        <f>""</f>
        <v/>
      </c>
      <c r="AM135" s="813" t="str">
        <f>""</f>
        <v/>
      </c>
    </row>
    <row r="136" spans="2:39" ht="12.75" thickTop="1" x14ac:dyDescent="0.2"/>
  </sheetData>
  <mergeCells count="19">
    <mergeCell ref="AS29:AZ29"/>
    <mergeCell ref="BA29:BH29"/>
    <mergeCell ref="BI29:BP29"/>
    <mergeCell ref="X63:Y63"/>
    <mergeCell ref="AD63:AE63"/>
    <mergeCell ref="AF63:AG63"/>
    <mergeCell ref="AL63:AM63"/>
    <mergeCell ref="AH63:AI63"/>
    <mergeCell ref="AJ63:AK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73"/>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9.71093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457</v>
      </c>
    </row>
    <row r="3" spans="1:42" s="2" customFormat="1" ht="13.5" customHeight="1" thickBot="1" x14ac:dyDescent="0.25">
      <c r="B3" s="1"/>
      <c r="C3" s="822"/>
      <c r="D3" s="822"/>
      <c r="E3" s="822"/>
      <c r="F3" s="822"/>
      <c r="G3" s="69" t="s">
        <v>106</v>
      </c>
      <c r="H3" s="69" t="s">
        <v>107</v>
      </c>
      <c r="I3" s="820" t="s">
        <v>446</v>
      </c>
      <c r="J3" s="27" t="s">
        <v>109</v>
      </c>
      <c r="K3" s="820" t="s">
        <v>102</v>
      </c>
      <c r="L3" s="27" t="s">
        <v>103</v>
      </c>
      <c r="M3" s="27" t="s">
        <v>104</v>
      </c>
      <c r="N3" s="27" t="s">
        <v>105</v>
      </c>
      <c r="O3" s="822"/>
      <c r="P3" s="27" t="s">
        <v>415</v>
      </c>
      <c r="Q3" s="27" t="s">
        <v>371</v>
      </c>
      <c r="R3" s="27" t="s">
        <v>448</v>
      </c>
      <c r="S3" s="27" t="s">
        <v>414</v>
      </c>
      <c r="T3" s="27"/>
      <c r="U3" s="27" t="s">
        <v>449</v>
      </c>
      <c r="V3" s="822"/>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1</v>
      </c>
      <c r="D4" s="822">
        <f ca="1">E4+ROW()/1000+(F4="")*10</f>
        <v>1.004</v>
      </c>
      <c r="E4" s="249">
        <f ca="1">IF($AI$15,RANK(AH17,AH$17:AH$25,1),RANK(X17,X$17:X$25,1))</f>
        <v>1</v>
      </c>
      <c r="F4" s="1" t="str">
        <f ca="1">$C62</f>
        <v>Eintracht Frankfurt</v>
      </c>
      <c r="G4" s="1">
        <f ca="1">SUMIFS(CalcE!$AH$64:$AH$135,CalcE!$V$64:$V$135,$F4)+SUMIFS(CalcE!$AI$64:$AI$135,CalcE!$W$64:$W$135,$F4)</f>
        <v>147</v>
      </c>
      <c r="H4" s="1">
        <f ca="1">SUMIFS(CalcE!$AI$64:$AI$135,CalcE!$V$64:$V$135,$F4)+SUMIFS(CalcE!$AH$64:$AH$135,CalcE!$W$64:$W$135,$F4)</f>
        <v>104</v>
      </c>
      <c r="I4" s="822">
        <f ca="1">IF(Einstellungen!$G$24,G4-H4,IF(H4=0,IF(G4=0,0,Einstellungen!$F$24),G4/H4))</f>
        <v>43</v>
      </c>
      <c r="J4" s="1">
        <f ca="1">$L4*Einstellungen!$C$4+$M4</f>
        <v>5</v>
      </c>
      <c r="K4" s="1">
        <f ca="1">SUMPRODUCT((CalcE!$V$64:$V$99=F4)*(CalcE!$AJ$64:$AJ$99&lt;&gt;"")*CalcE!$AA$64:$AA$99)+SUMPRODUCT((CalcE!$W$64:$W$99=F4)*(CalcE!$AK$64:$AK$99&lt;&gt;"")*CalcE!$AA$64:$AA$99)</f>
        <v>3</v>
      </c>
      <c r="L4" s="1">
        <f ca="1">SUMPRODUCT((CalcE!$V$64:$V$99=F4)*(CalcE!$AJ$64:$AJ$99&gt;CalcE!$AK$64:$AK$99)*CalcE!$AA$64:$AA$99)+SUMPRODUCT((CalcE!$W$64:$W$99=F4)*(CalcE!$AJ$64:$AJ$99&lt;CalcE!$AK$64:$AK$99)*CalcE!$AA$64:$AA$99)</f>
        <v>2</v>
      </c>
      <c r="M4" s="1">
        <f ca="1">SUMPRODUCT((CalcE!$V$64:$W$99=F4)*(CalcE!$AJ$64:$AJ$99=CalcE!$AK$64:$AK$99)*CalcE!$AA$64:$AA$99)</f>
        <v>1</v>
      </c>
      <c r="N4" s="1">
        <f ca="1">K4-L4-M4</f>
        <v>0</v>
      </c>
      <c r="O4" s="821"/>
      <c r="P4" s="1">
        <f ca="1">SUMPRODUCT((CalcE!$V$64:$V$135=F4)*CalcE!$AK$64:$AK$135)+SUMPRODUCT((CalcE!$W$64:$W$135=F4)*CalcE!$AJ$64:$AJ$135)</f>
        <v>1</v>
      </c>
      <c r="Q4" s="1">
        <f ca="1">SUMPRODUCT((CalcE!$V$64:$V$135=F4)*CalcE!$AJ$64:$AJ$135)+SUMPRODUCT((CalcE!$W$64:$W$135=F4)*CalcE!$AK$64:$AK$135)</f>
        <v>5</v>
      </c>
      <c r="R4" s="1">
        <f ca="1">Q4-P4</f>
        <v>4</v>
      </c>
      <c r="S4" s="1">
        <f ca="1">IF(Einstellungen!$G$24,$I4,ROUND($I4,Einstellungen!$H$24))</f>
        <v>43</v>
      </c>
      <c r="T4" s="1">
        <f t="shared" ref="T4:T12" ca="1" si="0">I4-(F4="")*10000</f>
        <v>43</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2.0049999999999999</v>
      </c>
      <c r="E5" s="249">
        <f t="shared" ref="E5:E12" ca="1" si="4">IF($AI$15,RANK(AH18,AH$17:AH$25,1),RANK(X18,X$17:X$25,1))</f>
        <v>2</v>
      </c>
      <c r="F5" s="1" t="str">
        <f ca="1">$C63</f>
        <v>Inter Mailand</v>
      </c>
      <c r="G5" s="1">
        <f ca="1">SUMIFS(CalcE!$AH$64:$AH$135,CalcE!$V$64:$V$135,$F5)+SUMIFS(CalcE!$AI$64:$AI$135,CalcE!$W$64:$W$135,$F5)</f>
        <v>134</v>
      </c>
      <c r="H5" s="1">
        <f ca="1">SUMIFS(CalcE!$AI$64:$AI$135,CalcE!$V$64:$V$135,$F5)+SUMIFS(CalcE!$AH$64:$AH$135,CalcE!$W$64:$W$135,$F5)</f>
        <v>129</v>
      </c>
      <c r="I5" s="822">
        <f ca="1">IF(Einstellungen!$G$24,G5-H5,IF(H5=0,IF(G5=0,0,Einstellungen!$F$24),G5/H5))</f>
        <v>5</v>
      </c>
      <c r="J5" s="1">
        <f ca="1">$L5*Einstellungen!$C$4+$M5</f>
        <v>3</v>
      </c>
      <c r="K5" s="1">
        <f ca="1">SUMPRODUCT((CalcE!$V$64:$V$99=F5)*(CalcE!$AJ$64:$AJ$99&lt;&gt;"")*CalcE!$AA$64:$AA$99)+SUMPRODUCT((CalcE!$W$64:$W$99=F5)*(CalcE!$AK$64:$AK$99&lt;&gt;"")*CalcE!$AA$64:$AA$99)</f>
        <v>3</v>
      </c>
      <c r="L5" s="1">
        <f ca="1">SUMPRODUCT((CalcE!$V$64:$V$99=F5)*(CalcE!$AJ$64:$AJ$99&gt;CalcE!$AK$64:$AK$99)*CalcE!$AA$64:$AA$99)+SUMPRODUCT((CalcE!$W$64:$W$99=F5)*(CalcE!$AJ$64:$AJ$99&lt;CalcE!$AK$64:$AK$99)*CalcE!$AA$64:$AA$99)</f>
        <v>1</v>
      </c>
      <c r="M5" s="1">
        <f ca="1">SUMPRODUCT((CalcE!$V$64:$W$99=F5)*(CalcE!$AJ$64:$AJ$99=CalcE!$AK$64:$AK$99)*CalcE!$AA$64:$AA$99)</f>
        <v>1</v>
      </c>
      <c r="N5" s="1">
        <f t="shared" ref="N5:N12" ca="1" si="5">K5-L5-M5</f>
        <v>1</v>
      </c>
      <c r="O5" s="665"/>
      <c r="P5" s="1">
        <f ca="1">SUMPRODUCT((CalcE!$V$64:$V$135=F5)*CalcE!$AK$64:$AK$135)+SUMPRODUCT((CalcE!$W$64:$W$135=F5)*CalcE!$AJ$64:$AJ$135)</f>
        <v>3</v>
      </c>
      <c r="Q5" s="1">
        <f ca="1">SUMPRODUCT((CalcE!$V$64:$V$135=F5)*CalcE!$AJ$64:$AJ$135)+SUMPRODUCT((CalcE!$W$64:$W$135=F5)*CalcE!$AK$64:$AK$135)</f>
        <v>3</v>
      </c>
      <c r="R5" s="1">
        <f t="shared" ref="R5:R12" ca="1" si="6">Q5-P5</f>
        <v>0</v>
      </c>
      <c r="S5" s="1">
        <f ca="1">IF(Einstellungen!$G$24,$I5,ROUND($I5,Einstellungen!$H$24))</f>
        <v>5</v>
      </c>
      <c r="T5" s="1">
        <f t="shared" ca="1" si="0"/>
        <v>5</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4</v>
      </c>
      <c r="D6" s="822">
        <f t="shared" ca="1" si="3"/>
        <v>4.0060000000000002</v>
      </c>
      <c r="E6" s="249">
        <f t="shared" ca="1" si="4"/>
        <v>4</v>
      </c>
      <c r="F6" s="1" t="str">
        <f ca="1">$C64</f>
        <v>Real Madrid</v>
      </c>
      <c r="G6" s="1">
        <f ca="1">SUMIFS(CalcE!$AH$64:$AH$135,CalcE!$V$64:$V$135,$F6)+SUMIFS(CalcE!$AI$64:$AI$135,CalcE!$W$64:$W$135,$F6)</f>
        <v>113</v>
      </c>
      <c r="H6" s="1">
        <f ca="1">SUMIFS(CalcE!$AI$64:$AI$135,CalcE!$V$64:$V$135,$F6)+SUMIFS(CalcE!$AH$64:$AH$135,CalcE!$W$64:$W$135,$F6)</f>
        <v>143</v>
      </c>
      <c r="I6" s="822">
        <f ca="1">IF(Einstellungen!$G$24,G6-H6,IF(H6=0,IF(G6=0,0,Einstellungen!$F$24),G6/H6))</f>
        <v>-30</v>
      </c>
      <c r="J6" s="1">
        <f ca="1">$L6*Einstellungen!$C$4+$M6</f>
        <v>1</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1</v>
      </c>
      <c r="N6" s="1">
        <f t="shared" ca="1" si="5"/>
        <v>2</v>
      </c>
      <c r="O6" s="665"/>
      <c r="P6" s="1">
        <f ca="1">SUMPRODUCT((CalcE!$V$64:$V$135=F6)*CalcE!$AK$64:$AK$135)+SUMPRODUCT((CalcE!$W$64:$W$135=F6)*CalcE!$AJ$64:$AJ$135)</f>
        <v>5</v>
      </c>
      <c r="Q6" s="1">
        <f ca="1">SUMPRODUCT((CalcE!$V$64:$V$135=F6)*CalcE!$AJ$64:$AJ$135)+SUMPRODUCT((CalcE!$W$64:$W$135=F6)*CalcE!$AK$64:$AK$135)</f>
        <v>1</v>
      </c>
      <c r="R6" s="1">
        <f t="shared" ca="1" si="6"/>
        <v>-4</v>
      </c>
      <c r="S6" s="1">
        <f ca="1">IF(Einstellungen!$G$24,$I6,ROUND($I6,Einstellungen!$H$24))</f>
        <v>-30</v>
      </c>
      <c r="T6" s="1">
        <f t="shared" ca="1" si="0"/>
        <v>-30</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822">
        <f t="shared" ca="1" si="3"/>
        <v>3.0070000000000001</v>
      </c>
      <c r="E7" s="249">
        <f t="shared" ca="1" si="4"/>
        <v>3</v>
      </c>
      <c r="F7" s="1" t="str">
        <f ca="1">$C65</f>
        <v>TSG Saalberg eV</v>
      </c>
      <c r="G7" s="1">
        <f ca="1">SUMIFS(CalcE!$AH$64:$AH$135,CalcE!$V$64:$V$135,$F7)+SUMIFS(CalcE!$AI$64:$AI$135,CalcE!$W$64:$W$135,$F7)</f>
        <v>121</v>
      </c>
      <c r="H7" s="1">
        <f ca="1">SUMIFS(CalcE!$AI$64:$AI$135,CalcE!$V$64:$V$135,$F7)+SUMIFS(CalcE!$AH$64:$AH$135,CalcE!$W$64:$W$135,$F7)</f>
        <v>139</v>
      </c>
      <c r="I7" s="822">
        <f ca="1">IF(Einstellungen!$G$24,G7-H7,IF(H7=0,IF(G7=0,0,Einstellungen!$F$24),G7/H7))</f>
        <v>-18</v>
      </c>
      <c r="J7" s="1">
        <f ca="1">$L7*Einstellungen!$C$4+$M7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IF(Einstellungen!$G$24,$I7,ROUND($I7,Einstellungen!$H$24))</f>
        <v>-18</v>
      </c>
      <c r="T7" s="1">
        <f t="shared" ca="1" si="0"/>
        <v>-18</v>
      </c>
      <c r="U7" s="1">
        <f t="shared" ca="1" si="1"/>
        <v>7</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Eintracht Frankfurt</v>
      </c>
      <c r="D17" s="1">
        <f t="shared" ref="D17:G20" ca="1" si="7">K4</f>
        <v>3</v>
      </c>
      <c r="E17" s="1">
        <f t="shared" ca="1" si="7"/>
        <v>2</v>
      </c>
      <c r="F17" s="1">
        <f t="shared" ca="1" si="7"/>
        <v>1</v>
      </c>
      <c r="G17" s="1">
        <f t="shared" ca="1" si="7"/>
        <v>0</v>
      </c>
      <c r="H17" s="1">
        <f t="shared" ref="H17:J20" ca="1" si="8">G4</f>
        <v>147</v>
      </c>
      <c r="I17" s="1">
        <f t="shared" ca="1" si="8"/>
        <v>104</v>
      </c>
      <c r="J17" s="822">
        <f t="shared" ca="1" si="8"/>
        <v>43</v>
      </c>
      <c r="K17" s="1">
        <f ca="1">IF(Einstellungen!$G$9,J4,$Q4)</f>
        <v>5</v>
      </c>
      <c r="L17" s="29">
        <f ca="1">K17*CalcE!$F$64+(R4+CalcE!$H$65)*CalcE!$F$65*Einstellungen!$G$14+Q4*CalcE!$F$66*Einstellungen!$G$19+U4*CalcE!$F$67</f>
        <v>5000000.0089999996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'Endrunde 4'!$AS47+$AD17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Inter Mailand</v>
      </c>
      <c r="D18" s="1">
        <f t="shared" ca="1" si="7"/>
        <v>3</v>
      </c>
      <c r="E18" s="1">
        <f t="shared" ca="1" si="7"/>
        <v>1</v>
      </c>
      <c r="F18" s="1">
        <f t="shared" ca="1" si="7"/>
        <v>1</v>
      </c>
      <c r="G18" s="1">
        <f t="shared" ca="1" si="7"/>
        <v>1</v>
      </c>
      <c r="H18" s="1">
        <f t="shared" ca="1" si="8"/>
        <v>134</v>
      </c>
      <c r="I18" s="1">
        <f t="shared" ca="1" si="8"/>
        <v>129</v>
      </c>
      <c r="J18" s="822">
        <f t="shared" ca="1" si="8"/>
        <v>5</v>
      </c>
      <c r="K18" s="1">
        <f ca="1">IF(Einstellungen!$G$9,J5,$Q5)</f>
        <v>3</v>
      </c>
      <c r="L18" s="29">
        <f ca="1">K18*CalcE!$F$64+(R5+CalcE!$H$65)*CalcE!$F$65*Einstellungen!$G$14+Q5*CalcE!$F$66*Einstellungen!$G$19+U5*CalcE!$F$67</f>
        <v>3000000.0079999999</v>
      </c>
      <c r="M18" s="14">
        <f t="shared" ref="M18:M25" ca="1" si="17">IF($AI$15,COUNTIF($K$17:$K$25,K18),COUNTIF($L$17:$L$25,L18))</f>
        <v>1</v>
      </c>
      <c r="N18" s="14">
        <f t="array" aca="1" ref="N18" ca="1">IF($AI$15,SUM(($K$17:$K$25&gt;=K18)/COUNTIF($K$17:$K$25,$K$17:$K$25)),SUM(($L$17:$L$25&gt;=L18)/COUNTIF($L$17:$L$25,$L$17:$L$25)))</f>
        <v>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2.0108999999999999</v>
      </c>
      <c r="Y18" s="827">
        <f ca="1">'Endrunde 4'!$AS48+$AD18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Real Madrid</v>
      </c>
      <c r="D19" s="1">
        <f t="shared" ca="1" si="7"/>
        <v>3</v>
      </c>
      <c r="E19" s="1">
        <f t="shared" ca="1" si="7"/>
        <v>0</v>
      </c>
      <c r="F19" s="1">
        <f t="shared" ca="1" si="7"/>
        <v>1</v>
      </c>
      <c r="G19" s="1">
        <f t="shared" ca="1" si="7"/>
        <v>2</v>
      </c>
      <c r="H19" s="1">
        <f t="shared" ca="1" si="8"/>
        <v>113</v>
      </c>
      <c r="I19" s="1">
        <f t="shared" ca="1" si="8"/>
        <v>143</v>
      </c>
      <c r="J19" s="822">
        <f t="shared" ca="1" si="8"/>
        <v>-30</v>
      </c>
      <c r="K19" s="1">
        <f ca="1">IF(Einstellungen!$G$9,J6,$Q6)</f>
        <v>1</v>
      </c>
      <c r="L19" s="29">
        <f ca="1">K19*CalcE!$F$64+(R6+CalcE!$H$65)*CalcE!$F$65*Einstellungen!$G$14+Q6*CalcE!$F$66*Einstellungen!$G$19+U6*CalcE!$F$67</f>
        <v>1000000.0060000001</v>
      </c>
      <c r="M19" s="14">
        <f t="shared" ca="1" si="17"/>
        <v>1</v>
      </c>
      <c r="N19" s="14">
        <f t="array" aca="1" ref="N19" ca="1">IF($AI$15,SUM(($K$17:$K$25&gt;=K19)/COUNTIF($K$17:$K$25,$K$17:$K$25)),SUM(($L$17:$L$25&gt;=L19)/COUNTIF($L$17:$L$25,$L$17:$L$25)))</f>
        <v>4</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4.0108999999999995</v>
      </c>
      <c r="Y19" s="827">
        <f ca="1">'Endrunde 4'!$AS49+$AD19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TSG Saalberg eV</v>
      </c>
      <c r="D20" s="1">
        <f t="shared" ca="1" si="7"/>
        <v>3</v>
      </c>
      <c r="E20" s="1">
        <f t="shared" ca="1" si="7"/>
        <v>0</v>
      </c>
      <c r="F20" s="1">
        <f t="shared" ca="1" si="7"/>
        <v>3</v>
      </c>
      <c r="G20" s="1">
        <f t="shared" ca="1" si="7"/>
        <v>0</v>
      </c>
      <c r="H20" s="1">
        <f t="shared" ca="1" si="8"/>
        <v>121</v>
      </c>
      <c r="I20" s="1">
        <f t="shared" ca="1" si="8"/>
        <v>139</v>
      </c>
      <c r="J20" s="822">
        <f t="shared" ca="1" si="8"/>
        <v>-18</v>
      </c>
      <c r="K20" s="1">
        <f ca="1">IF(Einstellungen!$G$9,J7,$Q7)</f>
        <v>3</v>
      </c>
      <c r="L20" s="29">
        <f ca="1">K20*CalcE!$F$64+(R7+CalcE!$H$65)*CalcE!$F$65*Einstellungen!$G$14+Q7*CalcE!$F$66*Einstellungen!$G$19+U7*CalcE!$F$67</f>
        <v>3000000.0070000002</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7">
        <f ca="1">'Endrunde 4'!$AS50+$AD20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IF(Einstellungen!$G$9,J8,$Q8)</f>
        <v>0</v>
      </c>
      <c r="L21" s="29">
        <f ca="1">K21*CalcE!$F$64+(R8+CalcE!$H$65)*CalcE!$F$65*Einstellungen!$G$14+Q8*CalcE!$F$66*Einstellungen!$G$19+U8*CalcE!$F$67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2">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IF(Einstellungen!$G$9,J9,$Q9)</f>
        <v>0</v>
      </c>
      <c r="L22" s="29">
        <f ca="1">K22*CalcE!$F$64+(R9+CalcE!$H$65)*CalcE!$F$65*Einstellungen!$G$14+Q9*CalcE!$F$66*Einstellungen!$G$19+U9*CalcE!$F$67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2">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IF(Einstellungen!$G$9,J10,$Q10)</f>
        <v>0</v>
      </c>
      <c r="L23" s="29">
        <f ca="1">K23*CalcE!$F$64+(R10+CalcE!$H$65)*CalcE!$F$65*Einstellungen!$G$14+Q10*CalcE!$F$66*Einstellungen!$G$19+U10*CalcE!$F$67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2">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IF(Einstellungen!$G$9,J11,$Q11)</f>
        <v>0</v>
      </c>
      <c r="L24" s="29">
        <f ca="1">K24*CalcE!$F$64+(R11+CalcE!$H$65)*CalcE!$F$65*Einstellungen!$G$14+Q11*CalcE!$F$66*Einstellungen!$G$19+U11*CalcE!$F$67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IF(Einstellungen!$G$9,J12,$Q12)</f>
        <v>0</v>
      </c>
      <c r="L25" s="29">
        <f ca="1">K25*CalcE!$F$64+(R12+CalcE!$H$65)*CalcE!$F$65*Einstellungen!$G$14+Q12*CalcE!$F$66*Einstellungen!$G$19+U12*CalcE!$F$67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822"/>
      <c r="BR29" s="5" t="s">
        <v>94</v>
      </c>
      <c r="BS29" s="2" t="str">
        <f ca="1">$F$4</f>
        <v>Eintracht Frankfurt</v>
      </c>
      <c r="BT29" s="2" t="str">
        <f ca="1">$F$5</f>
        <v>Inter Mailand</v>
      </c>
      <c r="BU29" s="2" t="str">
        <f ca="1">$F$6</f>
        <v>Real Madrid</v>
      </c>
      <c r="BV29" s="2" t="str">
        <f ca="1">$F$7</f>
        <v>TSG Saalberg eV</v>
      </c>
      <c r="BW29" s="2" t="str">
        <f>$F$8</f>
        <v/>
      </c>
      <c r="BX29" s="2" t="str">
        <f>$F$9</f>
        <v/>
      </c>
      <c r="BY29" s="2" t="str">
        <f>$F$10</f>
        <v/>
      </c>
      <c r="BZ29" s="2" t="str">
        <f>$F$11</f>
        <v/>
      </c>
      <c r="CA29" s="2" t="str">
        <f>$F$12</f>
        <v/>
      </c>
      <c r="CB29" s="51"/>
    </row>
    <row r="30" spans="2:80" s="2" customFormat="1" x14ac:dyDescent="0.2">
      <c r="C30" s="2" t="str">
        <f ca="1">$C62</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Eintracht Frankfurt</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47</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Inter Mailand</v>
      </c>
      <c r="BS31" s="9">
        <f ca="1">SUMIFS(CalcE!$AH$64:$AH$99,CalcE!$V$64:$V$99,$BR31,CalcE!$W$64:$W$99,BS$29)+SUMIFS(CalcE!$AI$64:$AI$99,CalcE!$W$64:$W$99,$BR31,CalcE!$V$64:$V$99,BS$29)</f>
        <v>36</v>
      </c>
      <c r="BT31" s="7"/>
      <c r="BU31" s="8">
        <f ca="1">SUMIFS(CalcE!$AH$64:$AH$99,CalcE!$V$64:$V$99,$BR31,CalcE!$W$64:$W$99,BU$29)+SUMIFS(CalcE!$AI$64:$AI$99,CalcE!$W$64:$W$99,$BR31,CalcE!$V$64:$V$99,BU$29)</f>
        <v>50</v>
      </c>
      <c r="BV31" s="8">
        <f ca="1">SUMIFS(CalcE!$AH$64:$AH$99,CalcE!$V$64:$V$99,$BR31,CalcE!$W$64:$W$99,BV$29)+SUMIFS(CalcE!$AI$64:$AI$99,CalcE!$W$64:$W$99,$BR31,CalcE!$V$64:$V$99,BV$29)</f>
        <v>48</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Real Madrid</v>
      </c>
      <c r="BS32" s="9">
        <f ca="1">SUMIFS(CalcE!$AH$64:$AH$99,CalcE!$V$64:$V$99,$BR32,CalcE!$W$64:$W$99,BS$29)+SUMIFS(CalcE!$AI$64:$AI$99,CalcE!$W$64:$W$99,$BR32,CalcE!$V$64:$V$99,BS$29)</f>
        <v>29</v>
      </c>
      <c r="BT32" s="9">
        <f ca="1">SUMIFS(CalcE!$AH$64:$AH$99,CalcE!$V$64:$V$99,$BR32,CalcE!$W$64:$W$99,BT$29)+SUMIFS(CalcE!$AI$64:$AI$99,CalcE!$W$64:$W$99,$BR32,CalcE!$V$64:$V$99,BT$29)</f>
        <v>40</v>
      </c>
      <c r="BU32" s="7"/>
      <c r="BV32" s="8">
        <f ca="1">SUMIFS(CalcE!$AH$64:$AH$99,CalcE!$V$64:$V$99,$BR32,CalcE!$W$64:$W$99,BV$29)+SUMIFS(CalcE!$AI$64:$AI$99,CalcE!$W$64:$W$99,$BR32,CalcE!$V$64:$V$99,BV$29)</f>
        <v>44</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TSG Saalberg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TSG Saalberg eV</v>
      </c>
      <c r="BS33" s="9">
        <f ca="1">SUMIFS(CalcE!$AH$64:$AH$99,CalcE!$V$64:$V$99,$BR33,CalcE!$W$64:$W$99,BS$29)+SUMIFS(CalcE!$AI$64:$AI$99,CalcE!$W$64:$W$99,$BR33,CalcE!$V$64:$V$99,BS$29)</f>
        <v>39</v>
      </c>
      <c r="BT33" s="9">
        <f ca="1">SUMIFS(CalcE!$AH$64:$AH$99,CalcE!$V$64:$V$99,$BR33,CalcE!$W$64:$W$99,BT$29)+SUMIFS(CalcE!$AI$64:$AI$99,CalcE!$W$64:$W$99,$BR33,CalcE!$V$64:$V$99,BT$29)</f>
        <v>39</v>
      </c>
      <c r="BU33" s="9">
        <f ca="1">SUMIFS(CalcE!$AH$64:$AH$99,CalcE!$V$64:$V$99,$BR33,CalcE!$W$64:$W$99,BU$29)+SUMIFS(CalcE!$AI$64:$AI$99,CalcE!$W$64:$W$99,$BR33,CalcE!$V$64:$V$99,BU$29)</f>
        <v>43</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Eintracht Frankfurt</v>
      </c>
      <c r="BT40" s="2" t="str">
        <f ca="1">$F$5</f>
        <v>Inter Mailand</v>
      </c>
      <c r="BU40" s="2" t="str">
        <f ca="1">$F$6</f>
        <v>Real Madrid</v>
      </c>
      <c r="BV40" s="2" t="str">
        <f ca="1">$F$7</f>
        <v>TSG Saalberg eV</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Eintracht Frankfurt</v>
      </c>
      <c r="BS41" s="7"/>
      <c r="BT41" s="8">
        <f ca="1">BT30-BS31</f>
        <v>14</v>
      </c>
      <c r="BU41" s="8">
        <f ca="1">BU30-BS32</f>
        <v>21</v>
      </c>
      <c r="BV41" s="8">
        <f ca="1">BV30-BS33</f>
        <v>8</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Inter Mailand</v>
      </c>
      <c r="BS42" s="9">
        <f ca="1">IF(BT41="","",-1*BT41)</f>
        <v>-14</v>
      </c>
      <c r="BT42" s="7"/>
      <c r="BU42" s="8">
        <f ca="1">BU31-BT32</f>
        <v>10</v>
      </c>
      <c r="BV42" s="8">
        <f ca="1">BV31-BT33</f>
        <v>9</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Real Madrid</v>
      </c>
      <c r="BS43" s="9">
        <f ca="1">IF(BU41="","",-1*BU41)</f>
        <v>-21</v>
      </c>
      <c r="BT43" s="9">
        <f ca="1">IF(BU42="","",-1*BU42)</f>
        <v>-10</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TSG Saalberg eV</v>
      </c>
      <c r="BS44" s="9">
        <f ca="1">IF(BV41="","",-1*BV41)</f>
        <v>-8</v>
      </c>
      <c r="BT44" s="9">
        <f ca="1">IF(BV42="","",-1*BV42)</f>
        <v>-9</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Eintracht Frankfurt</v>
      </c>
      <c r="BT51" s="2" t="str">
        <f ca="1">$F$5</f>
        <v>Inter Mailand</v>
      </c>
      <c r="BU51" s="2" t="str">
        <f ca="1">$F$6</f>
        <v>Real Madrid</v>
      </c>
      <c r="BV51" s="2" t="str">
        <f ca="1">$F$7</f>
        <v>TSG Saalberg eV</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Eintracht Frankfurt</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Inter Mailand</v>
      </c>
      <c r="BS53" s="9">
        <f ca="1">SUMIFS(CalcE!$AJ$64:$AJ$99,CalcE!$V$64:$V$99,$BR53,CalcE!$W$64:$W$99,BS$51)+SUMIFS(CalcE!$AK$64:$AK$99,CalcE!$W$64:$W$99,$BR53,CalcE!$V$64:$V$99,BS$51)</f>
        <v>0</v>
      </c>
      <c r="BT53" s="7"/>
      <c r="BU53" s="8">
        <f ca="1">SUMIFS(CalcE!$AJ$64:$AJ$99,CalcE!$V$64:$V$99,$BR53,CalcE!$W$64:$W$99,BU$51)+SUMIFS(CalcE!$AK$64:$AK$99,CalcE!$W$64:$W$99,$BR53,CalcE!$V$64:$V$99,BU$51)</f>
        <v>2</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Real Madrid</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TSG Saalberg eV</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4'!$AQ47="","",'Endrunde 4'!$AQ47)</f>
        <v>Eintracht Frankfurt</v>
      </c>
      <c r="D62" s="1039"/>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40" t="str">
        <f ca="1">IF('Endrunde 4'!$AQ48="","",'Endrunde 4'!$AQ48)</f>
        <v>Inter Mailand</v>
      </c>
      <c r="D63" s="1041"/>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40" t="str">
        <f ca="1">IF('Endrunde 4'!$AQ49="","",'Endrunde 4'!$AQ49)</f>
        <v>Real Madrid</v>
      </c>
      <c r="D64" s="1041"/>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2:80" s="2" customFormat="1" ht="12.75" thickBot="1" x14ac:dyDescent="0.25">
      <c r="B65" s="146" t="s">
        <v>9</v>
      </c>
      <c r="C65" s="1042" t="str">
        <f ca="1">IF('Endrunde 4'!$AQ50="","",'Endrunde 4'!$AQ50)</f>
        <v>TSG Saalberg eV</v>
      </c>
      <c r="D65" s="1043"/>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2:80"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2:80"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2:80"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2:80"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2:80"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2:80" x14ac:dyDescent="0.2">
      <c r="CB71" s="2"/>
    </row>
    <row r="72" spans="2:80" x14ac:dyDescent="0.2">
      <c r="CB72" s="2"/>
    </row>
    <row r="73" spans="2:80" x14ac:dyDescent="0.2">
      <c r="CB73" s="2"/>
    </row>
  </sheetData>
  <mergeCells count="17">
    <mergeCell ref="M29:T29"/>
    <mergeCell ref="BI29:BP29"/>
    <mergeCell ref="W3:AA3"/>
    <mergeCell ref="AB3:AF3"/>
    <mergeCell ref="AG3:AK3"/>
    <mergeCell ref="AL3:AP3"/>
    <mergeCell ref="AD15:AH15"/>
    <mergeCell ref="U29:AB29"/>
    <mergeCell ref="AC29:AJ29"/>
    <mergeCell ref="AK29:AR29"/>
    <mergeCell ref="BA29:BH29"/>
    <mergeCell ref="AS29:AZ29"/>
    <mergeCell ref="C62:D62"/>
    <mergeCell ref="C63:D63"/>
    <mergeCell ref="C64:D64"/>
    <mergeCell ref="C65:D65"/>
    <mergeCell ref="E29:L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9.570312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457</v>
      </c>
    </row>
    <row r="3" spans="1:42" s="2" customFormat="1" ht="13.5" customHeight="1" thickBot="1" x14ac:dyDescent="0.25">
      <c r="B3" s="1"/>
      <c r="C3" s="822"/>
      <c r="D3" s="822"/>
      <c r="E3" s="822"/>
      <c r="F3" s="822"/>
      <c r="G3" s="69" t="s">
        <v>106</v>
      </c>
      <c r="H3" s="69" t="s">
        <v>107</v>
      </c>
      <c r="I3" s="820" t="s">
        <v>446</v>
      </c>
      <c r="J3" s="27" t="s">
        <v>109</v>
      </c>
      <c r="K3" s="820" t="s">
        <v>102</v>
      </c>
      <c r="L3" s="27" t="s">
        <v>103</v>
      </c>
      <c r="M3" s="27" t="s">
        <v>104</v>
      </c>
      <c r="N3" s="27" t="s">
        <v>105</v>
      </c>
      <c r="O3" s="822"/>
      <c r="P3" s="27" t="s">
        <v>415</v>
      </c>
      <c r="Q3" s="27" t="s">
        <v>371</v>
      </c>
      <c r="R3" s="27" t="s">
        <v>448</v>
      </c>
      <c r="S3" s="27" t="s">
        <v>414</v>
      </c>
      <c r="T3" s="27"/>
      <c r="U3" s="27" t="s">
        <v>449</v>
      </c>
      <c r="V3" s="822"/>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1</v>
      </c>
      <c r="D4" s="822">
        <f ca="1">E4+ROW()/1000+(F4="")*10</f>
        <v>1.004</v>
      </c>
      <c r="E4" s="249">
        <f ca="1">IF($AI$15,RANK(AH17,AH$17:AH$25,1),RANK(X17,X$17:X$25,1))</f>
        <v>1</v>
      </c>
      <c r="F4" s="1" t="str">
        <f ca="1">$C62</f>
        <v>FC Barcelona</v>
      </c>
      <c r="G4" s="1">
        <f ca="1">SUMIFS(CalcE!$AH$64:$AH$135,CalcE!$V$64:$V$135,$F4)+SUMIFS(CalcE!$AI$64:$AI$135,CalcE!$W$64:$W$135,$F4)</f>
        <v>146</v>
      </c>
      <c r="H4" s="1">
        <f ca="1">SUMIFS(CalcE!$AI$64:$AI$135,CalcE!$V$64:$V$135,$F4)+SUMIFS(CalcE!$AH$64:$AH$135,CalcE!$W$64:$W$135,$F4)</f>
        <v>106</v>
      </c>
      <c r="I4" s="822">
        <f ca="1">IF(Einstellungen!$G$24,G4-H4,IF(H4=0,IF(G4=0,0,Einstellungen!$F$24),G4/H4))</f>
        <v>40</v>
      </c>
      <c r="J4" s="1">
        <f ca="1">$L4*Einstellungen!$C$4+$M4</f>
        <v>6</v>
      </c>
      <c r="K4" s="1">
        <f ca="1">SUMPRODUCT((CalcE!$V$64:$V$99=F4)*(CalcE!$AJ$64:$AJ$99&lt;&gt;"")*CalcE!$AA$64:$AA$99)+SUMPRODUCT((CalcE!$W$64:$W$99=F4)*(CalcE!$AK$64:$AK$99&lt;&gt;"")*CalcE!$AA$64:$AA$99)</f>
        <v>3</v>
      </c>
      <c r="L4" s="1">
        <f ca="1">SUMPRODUCT((CalcE!$V$64:$V$99=F4)*(CalcE!$AJ$64:$AJ$99&gt;CalcE!$AK$64:$AK$99)*CalcE!$AA$64:$AA$99)+SUMPRODUCT((CalcE!$W$64:$W$99=F4)*(CalcE!$AJ$64:$AJ$99&lt;CalcE!$AK$64:$AK$99)*CalcE!$AA$64:$AA$99)</f>
        <v>3</v>
      </c>
      <c r="M4" s="1">
        <f ca="1">SUMPRODUCT((CalcE!$V$64:$W$99=F4)*(CalcE!$AJ$64:$AJ$99=CalcE!$AK$64:$AK$99)*CalcE!$AA$64:$AA$99)</f>
        <v>0</v>
      </c>
      <c r="N4" s="1">
        <f ca="1">K4-L4-M4</f>
        <v>0</v>
      </c>
      <c r="O4" s="821"/>
      <c r="P4" s="1">
        <f ca="1">SUMPRODUCT((CalcE!$V$64:$V$135=F4)*CalcE!$AK$64:$AK$135)+SUMPRODUCT((CalcE!$W$64:$W$135=F4)*CalcE!$AJ$64:$AJ$135)</f>
        <v>0</v>
      </c>
      <c r="Q4" s="1">
        <f ca="1">SUMPRODUCT((CalcE!$V$64:$V$135=F4)*CalcE!$AJ$64:$AJ$135)+SUMPRODUCT((CalcE!$W$64:$W$135=F4)*CalcE!$AK$64:$AK$135)</f>
        <v>6</v>
      </c>
      <c r="R4" s="1">
        <f ca="1">Q4-P4</f>
        <v>6</v>
      </c>
      <c r="S4" s="1">
        <f ca="1">IF(Einstellungen!$G$24,$I4,ROUND($I4,Einstellungen!$H$24))</f>
        <v>40</v>
      </c>
      <c r="T4" s="1">
        <f t="shared" ref="T4:T12" ca="1" si="0">I4-(F4="")*10000</f>
        <v>40</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2.0049999999999999</v>
      </c>
      <c r="E5" s="249">
        <f t="shared" ref="E5:E12" ca="1" si="4">IF($AI$15,RANK(AH18,AH$17:AH$25,1),RANK(X18,X$17:X$25,1))</f>
        <v>2</v>
      </c>
      <c r="F5" s="1" t="str">
        <f ca="1">$C63</f>
        <v>Manchester City</v>
      </c>
      <c r="G5" s="1">
        <f ca="1">SUMIFS(CalcE!$AH$64:$AH$135,CalcE!$V$64:$V$135,$F5)+SUMIFS(CalcE!$AI$64:$AI$135,CalcE!$W$64:$W$135,$F5)</f>
        <v>138</v>
      </c>
      <c r="H5" s="1">
        <f ca="1">SUMIFS(CalcE!$AI$64:$AI$135,CalcE!$V$64:$V$135,$F5)+SUMIFS(CalcE!$AH$64:$AH$135,CalcE!$W$64:$W$135,$F5)</f>
        <v>133</v>
      </c>
      <c r="I5" s="822">
        <f ca="1">IF(Einstellungen!$G$24,G5-H5,IF(H5=0,IF(G5=0,0,Einstellungen!$F$24),G5/H5))</f>
        <v>5</v>
      </c>
      <c r="J5" s="1">
        <f ca="1">$L5*Einstellungen!$C$4+$M5</f>
        <v>3</v>
      </c>
      <c r="K5" s="1">
        <f ca="1">SUMPRODUCT((CalcE!$V$64:$V$99=F5)*(CalcE!$AJ$64:$AJ$99&lt;&gt;"")*CalcE!$AA$64:$AA$99)+SUMPRODUCT((CalcE!$W$64:$W$99=F5)*(CalcE!$AK$64:$AK$99&lt;&gt;"")*CalcE!$AA$64:$AA$99)</f>
        <v>3</v>
      </c>
      <c r="L5" s="1">
        <f ca="1">SUMPRODUCT((CalcE!$V$64:$V$99=F5)*(CalcE!$AJ$64:$AJ$99&gt;CalcE!$AK$64:$AK$99)*CalcE!$AA$64:$AA$99)+SUMPRODUCT((CalcE!$W$64:$W$99=F5)*(CalcE!$AJ$64:$AJ$99&lt;CalcE!$AK$64:$AK$99)*CalcE!$AA$64:$AA$99)</f>
        <v>1</v>
      </c>
      <c r="M5" s="1">
        <f ca="1">SUMPRODUCT((CalcE!$V$64:$W$99=F5)*(CalcE!$AJ$64:$AJ$99=CalcE!$AK$64:$AK$99)*CalcE!$AA$64:$AA$99)</f>
        <v>1</v>
      </c>
      <c r="N5" s="1">
        <f t="shared" ref="N5:N12" ca="1" si="5">K5-L5-M5</f>
        <v>1</v>
      </c>
      <c r="O5" s="665"/>
      <c r="P5" s="1">
        <f ca="1">SUMPRODUCT((CalcE!$V$64:$V$135=F5)*CalcE!$AK$64:$AK$135)+SUMPRODUCT((CalcE!$W$64:$W$135=F5)*CalcE!$AJ$64:$AJ$135)</f>
        <v>3</v>
      </c>
      <c r="Q5" s="1">
        <f ca="1">SUMPRODUCT((CalcE!$V$64:$V$135=F5)*CalcE!$AJ$64:$AJ$135)+SUMPRODUCT((CalcE!$W$64:$W$135=F5)*CalcE!$AK$64:$AK$135)</f>
        <v>3</v>
      </c>
      <c r="R5" s="1">
        <f t="shared" ref="R5:R12" ca="1" si="6">Q5-P5</f>
        <v>0</v>
      </c>
      <c r="S5" s="1">
        <f ca="1">IF(Einstellungen!$G$24,$I5,ROUND($I5,Einstellungen!$H$24))</f>
        <v>5</v>
      </c>
      <c r="T5" s="1">
        <f t="shared" ca="1" si="0"/>
        <v>5</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4</v>
      </c>
      <c r="D6" s="822">
        <f t="shared" ca="1" si="3"/>
        <v>4.0060000000000002</v>
      </c>
      <c r="E6" s="249">
        <f t="shared" ca="1" si="4"/>
        <v>4</v>
      </c>
      <c r="F6" s="1" t="str">
        <f ca="1">$C64</f>
        <v>Kickers Rodendorf</v>
      </c>
      <c r="G6" s="1">
        <f ca="1">SUMIFS(CalcE!$AH$64:$AH$135,CalcE!$V$64:$V$135,$F6)+SUMIFS(CalcE!$AI$64:$AI$135,CalcE!$W$64:$W$135,$F6)</f>
        <v>117</v>
      </c>
      <c r="H6" s="1">
        <f ca="1">SUMIFS(CalcE!$AI$64:$AI$135,CalcE!$V$64:$V$135,$F6)+SUMIFS(CalcE!$AH$64:$AH$135,CalcE!$W$64:$W$135,$F6)</f>
        <v>142</v>
      </c>
      <c r="I6" s="822">
        <f ca="1">IF(Einstellungen!$G$24,G6-H6,IF(H6=0,IF(G6=0,0,Einstellungen!$F$24),G6/H6))</f>
        <v>-25</v>
      </c>
      <c r="J6" s="1">
        <f ca="1">$L6*Einstellungen!$C$4+$M6</f>
        <v>1</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1</v>
      </c>
      <c r="N6" s="1">
        <f t="shared" ca="1" si="5"/>
        <v>2</v>
      </c>
      <c r="O6" s="665"/>
      <c r="P6" s="1">
        <f ca="1">SUMPRODUCT((CalcE!$V$64:$V$135=F6)*CalcE!$AK$64:$AK$135)+SUMPRODUCT((CalcE!$W$64:$W$135=F6)*CalcE!$AJ$64:$AJ$135)</f>
        <v>5</v>
      </c>
      <c r="Q6" s="1">
        <f ca="1">SUMPRODUCT((CalcE!$V$64:$V$135=F6)*CalcE!$AJ$64:$AJ$135)+SUMPRODUCT((CalcE!$W$64:$W$135=F6)*CalcE!$AK$64:$AK$135)</f>
        <v>1</v>
      </c>
      <c r="R6" s="1">
        <f t="shared" ca="1" si="6"/>
        <v>-4</v>
      </c>
      <c r="S6" s="1">
        <f ca="1">IF(Einstellungen!$G$24,$I6,ROUND($I6,Einstellungen!$H$24))</f>
        <v>-25</v>
      </c>
      <c r="T6" s="1">
        <f t="shared" ca="1" si="0"/>
        <v>-25</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822">
        <f t="shared" ca="1" si="3"/>
        <v>3.0070000000000001</v>
      </c>
      <c r="E7" s="249">
        <f t="shared" ca="1" si="4"/>
        <v>3</v>
      </c>
      <c r="F7" s="1" t="str">
        <f ca="1">$C65</f>
        <v>Paris St. Germain</v>
      </c>
      <c r="G7" s="1">
        <f ca="1">SUMIFS(CalcE!$AH$64:$AH$135,CalcE!$V$64:$V$135,$F7)+SUMIFS(CalcE!$AI$64:$AI$135,CalcE!$W$64:$W$135,$F7)</f>
        <v>118</v>
      </c>
      <c r="H7" s="1">
        <f ca="1">SUMIFS(CalcE!$AI$64:$AI$135,CalcE!$V$64:$V$135,$F7)+SUMIFS(CalcE!$AH$64:$AH$135,CalcE!$W$64:$W$135,$F7)</f>
        <v>138</v>
      </c>
      <c r="I7" s="822">
        <f ca="1">IF(Einstellungen!$G$24,G7-H7,IF(H7=0,IF(G7=0,0,Einstellungen!$F$24),G7/H7))</f>
        <v>-20</v>
      </c>
      <c r="J7" s="1">
        <f ca="1">$L7*Einstellungen!$C$4+$M7</f>
        <v>2</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2</v>
      </c>
      <c r="N7" s="1">
        <f t="shared" ca="1" si="5"/>
        <v>1</v>
      </c>
      <c r="O7" s="665"/>
      <c r="P7" s="1">
        <f ca="1">SUMPRODUCT((CalcE!$V$64:$V$135=F7)*CalcE!$AK$64:$AK$135)+SUMPRODUCT((CalcE!$W$64:$W$135=F7)*CalcE!$AJ$64:$AJ$135)</f>
        <v>4</v>
      </c>
      <c r="Q7" s="1">
        <f ca="1">SUMPRODUCT((CalcE!$V$64:$V$135=F7)*CalcE!$AJ$64:$AJ$135)+SUMPRODUCT((CalcE!$W$64:$W$135=F7)*CalcE!$AK$64:$AK$135)</f>
        <v>2</v>
      </c>
      <c r="R7" s="1">
        <f t="shared" ca="1" si="6"/>
        <v>-2</v>
      </c>
      <c r="S7" s="1">
        <f ca="1">IF(Einstellungen!$G$24,$I7,ROUND($I7,Einstellungen!$H$24))</f>
        <v>-20</v>
      </c>
      <c r="T7" s="1">
        <f t="shared" ca="1" si="0"/>
        <v>-20</v>
      </c>
      <c r="U7" s="1">
        <f t="shared" ca="1" si="1"/>
        <v>7</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FC Barcelona</v>
      </c>
      <c r="D17" s="1">
        <f t="shared" ref="D17:G20" ca="1" si="7">K4</f>
        <v>3</v>
      </c>
      <c r="E17" s="1">
        <f t="shared" ca="1" si="7"/>
        <v>3</v>
      </c>
      <c r="F17" s="1">
        <f t="shared" ca="1" si="7"/>
        <v>0</v>
      </c>
      <c r="G17" s="1">
        <f t="shared" ca="1" si="7"/>
        <v>0</v>
      </c>
      <c r="H17" s="1">
        <f t="shared" ref="H17:J20" ca="1" si="8">G4</f>
        <v>146</v>
      </c>
      <c r="I17" s="1">
        <f t="shared" ca="1" si="8"/>
        <v>106</v>
      </c>
      <c r="J17" s="822">
        <f t="shared" ca="1" si="8"/>
        <v>40</v>
      </c>
      <c r="K17" s="1">
        <f ca="1">IF(Einstellungen!$G$9,J4,$Q4)</f>
        <v>6</v>
      </c>
      <c r="L17" s="29">
        <f ca="1">K17*CalcE!$F$64+(R4+CalcE!$H$65)*CalcE!$F$65*Einstellungen!$G$14+Q4*CalcE!$F$66*Einstellungen!$G$19+U4*CalcE!$F$67</f>
        <v>6000000.0089999996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'Endrunde 4'!$AS40+$AD17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Manchester City</v>
      </c>
      <c r="D18" s="1">
        <f t="shared" ca="1" si="7"/>
        <v>3</v>
      </c>
      <c r="E18" s="1">
        <f t="shared" ca="1" si="7"/>
        <v>1</v>
      </c>
      <c r="F18" s="1">
        <f t="shared" ca="1" si="7"/>
        <v>1</v>
      </c>
      <c r="G18" s="1">
        <f t="shared" ca="1" si="7"/>
        <v>1</v>
      </c>
      <c r="H18" s="1">
        <f t="shared" ca="1" si="8"/>
        <v>138</v>
      </c>
      <c r="I18" s="1">
        <f t="shared" ca="1" si="8"/>
        <v>133</v>
      </c>
      <c r="J18" s="822">
        <f t="shared" ca="1" si="8"/>
        <v>5</v>
      </c>
      <c r="K18" s="1">
        <f ca="1">IF(Einstellungen!$G$9,J5,$Q5)</f>
        <v>3</v>
      </c>
      <c r="L18" s="29">
        <f ca="1">K18*CalcE!$F$64+(R5+CalcE!$H$65)*CalcE!$F$65*Einstellungen!$G$14+Q5*CalcE!$F$66*Einstellungen!$G$19+U5*CalcE!$F$67</f>
        <v>3000000.0079999999</v>
      </c>
      <c r="M18" s="14">
        <f t="shared" ref="M18:M25" ca="1" si="17">IF($AI$15,COUNTIF($K$17:$K$25,K18),COUNTIF($L$17:$L$25,L18))</f>
        <v>1</v>
      </c>
      <c r="N18" s="14">
        <f t="array" aca="1" ref="N18" ca="1">IF($AI$15,SUM(($K$17:$K$25&gt;=K18)/COUNTIF($K$17:$K$25,$K$17:$K$25)),SUM(($L$17:$L$25&gt;=L18)/COUNTIF($L$17:$L$25,$L$17:$L$25)))</f>
        <v>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2.0108999999999999</v>
      </c>
      <c r="Y18" s="827">
        <f ca="1">'Endrunde 4'!$AS41+$AD18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Kickers Rodendorf</v>
      </c>
      <c r="D19" s="1">
        <f t="shared" ca="1" si="7"/>
        <v>3</v>
      </c>
      <c r="E19" s="1">
        <f t="shared" ca="1" si="7"/>
        <v>0</v>
      </c>
      <c r="F19" s="1">
        <f t="shared" ca="1" si="7"/>
        <v>1</v>
      </c>
      <c r="G19" s="1">
        <f t="shared" ca="1" si="7"/>
        <v>2</v>
      </c>
      <c r="H19" s="1">
        <f t="shared" ca="1" si="8"/>
        <v>117</v>
      </c>
      <c r="I19" s="1">
        <f t="shared" ca="1" si="8"/>
        <v>142</v>
      </c>
      <c r="J19" s="822">
        <f t="shared" ca="1" si="8"/>
        <v>-25</v>
      </c>
      <c r="K19" s="1">
        <f ca="1">IF(Einstellungen!$G$9,J6,$Q6)</f>
        <v>1</v>
      </c>
      <c r="L19" s="29">
        <f ca="1">K19*CalcE!$F$64+(R6+CalcE!$H$65)*CalcE!$F$65*Einstellungen!$G$14+Q6*CalcE!$F$66*Einstellungen!$G$19+U6*CalcE!$F$67</f>
        <v>1000000.0060000001</v>
      </c>
      <c r="M19" s="14">
        <f t="shared" ca="1" si="17"/>
        <v>1</v>
      </c>
      <c r="N19" s="14">
        <f t="array" aca="1" ref="N19" ca="1">IF($AI$15,SUM(($K$17:$K$25&gt;=K19)/COUNTIF($K$17:$K$25,$K$17:$K$25)),SUM(($L$17:$L$25&gt;=L19)/COUNTIF($L$17:$L$25,$L$17:$L$25)))</f>
        <v>4</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4.0108999999999995</v>
      </c>
      <c r="Y19" s="827">
        <f ca="1">'Endrunde 4'!$AS42+$AD19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Paris St. Germain</v>
      </c>
      <c r="D20" s="1">
        <f t="shared" ca="1" si="7"/>
        <v>3</v>
      </c>
      <c r="E20" s="1">
        <f t="shared" ca="1" si="7"/>
        <v>0</v>
      </c>
      <c r="F20" s="1">
        <f t="shared" ca="1" si="7"/>
        <v>2</v>
      </c>
      <c r="G20" s="1">
        <f t="shared" ca="1" si="7"/>
        <v>1</v>
      </c>
      <c r="H20" s="1">
        <f t="shared" ca="1" si="8"/>
        <v>118</v>
      </c>
      <c r="I20" s="1">
        <f t="shared" ca="1" si="8"/>
        <v>138</v>
      </c>
      <c r="J20" s="822">
        <f t="shared" ca="1" si="8"/>
        <v>-20</v>
      </c>
      <c r="K20" s="1">
        <f ca="1">IF(Einstellungen!$G$9,J7,$Q7)</f>
        <v>2</v>
      </c>
      <c r="L20" s="29">
        <f ca="1">K20*CalcE!$F$64+(R7+CalcE!$H$65)*CalcE!$F$65*Einstellungen!$G$14+Q7*CalcE!$F$66*Einstellungen!$G$19+U7*CalcE!$F$67</f>
        <v>2000000.007</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7">
        <f ca="1">'Endrunde 4'!$AS43+$AD20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IF(Einstellungen!$G$9,J8,$Q8)</f>
        <v>0</v>
      </c>
      <c r="L21" s="29">
        <f ca="1">K21*CalcE!$F$64+(R8+CalcE!$H$65)*CalcE!$F$65*Einstellungen!$G$14+Q8*CalcE!$F$66*Einstellungen!$G$19+U8*CalcE!$F$67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IF(Einstellungen!$G$9,J9,$Q9)</f>
        <v>0</v>
      </c>
      <c r="L22" s="29">
        <f ca="1">K22*CalcE!$F$64+(R9+CalcE!$H$65)*CalcE!$F$65*Einstellungen!$G$14+Q9*CalcE!$F$66*Einstellungen!$G$19+U9*CalcE!$F$67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IF(Einstellungen!$G$9,J10,$Q10)</f>
        <v>0</v>
      </c>
      <c r="L23" s="29">
        <f ca="1">K23*CalcE!$F$64+(R10+CalcE!$H$65)*CalcE!$F$65*Einstellungen!$G$14+Q10*CalcE!$F$66*Einstellungen!$G$19+U10*CalcE!$F$67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7">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IF(Einstellungen!$G$9,J11,$Q11)</f>
        <v>0</v>
      </c>
      <c r="L24" s="29">
        <f ca="1">K24*CalcE!$F$64+(R11+CalcE!$H$65)*CalcE!$F$65*Einstellungen!$G$14+Q11*CalcE!$F$66*Einstellungen!$G$19+U11*CalcE!$F$67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7">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IF(Einstellungen!$G$9,J12,$Q12)</f>
        <v>0</v>
      </c>
      <c r="L25" s="29">
        <f ca="1">K25*CalcE!$F$64+(R12+CalcE!$H$65)*CalcE!$F$65*Einstellungen!$G$14+Q12*CalcE!$F$66*Einstellungen!$G$19+U12*CalcE!$F$67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822"/>
      <c r="BR29" s="5" t="s">
        <v>94</v>
      </c>
      <c r="BS29" s="2" t="str">
        <f ca="1">$F$4</f>
        <v>FC Barcelona</v>
      </c>
      <c r="BT29" s="2" t="str">
        <f ca="1">$F$5</f>
        <v>Manchester City</v>
      </c>
      <c r="BU29" s="2" t="str">
        <f ca="1">$F$6</f>
        <v>Kickers Rodendorf</v>
      </c>
      <c r="BV29" s="2" t="str">
        <f ca="1">$F$7</f>
        <v>Paris St. Germain</v>
      </c>
      <c r="BW29" s="2" t="str">
        <f>$F$8</f>
        <v/>
      </c>
      <c r="BX29" s="2" t="str">
        <f>$F$9</f>
        <v/>
      </c>
      <c r="BY29" s="2" t="str">
        <f>$F$10</f>
        <v/>
      </c>
      <c r="BZ29" s="2" t="str">
        <f>$F$11</f>
        <v/>
      </c>
      <c r="CA29" s="2" t="str">
        <f>$F$12</f>
        <v/>
      </c>
      <c r="CB29" s="51"/>
    </row>
    <row r="30" spans="2:80" s="2" customFormat="1" x14ac:dyDescent="0.2">
      <c r="C30" s="2" t="str">
        <f ca="1">$C62</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FC Barcelona</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46</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Manchester City</v>
      </c>
      <c r="BS31" s="9">
        <f ca="1">SUMIFS(CalcE!$AH$64:$AH$99,CalcE!$V$64:$V$99,$BR31,CalcE!$W$64:$W$99,BS$29)+SUMIFS(CalcE!$AI$64:$AI$99,CalcE!$W$64:$W$99,$BR31,CalcE!$V$64:$V$99,BS$29)</f>
        <v>41</v>
      </c>
      <c r="BT31" s="7"/>
      <c r="BU31" s="8">
        <f ca="1">SUMIFS(CalcE!$AH$64:$AH$99,CalcE!$V$64:$V$99,$BR31,CalcE!$W$64:$W$99,BU$29)+SUMIFS(CalcE!$AI$64:$AI$99,CalcE!$W$64:$W$99,$BR31,CalcE!$V$64:$V$99,BU$29)</f>
        <v>50</v>
      </c>
      <c r="BV31" s="8">
        <f ca="1">SUMIFS(CalcE!$AH$64:$AH$99,CalcE!$V$64:$V$99,$BR31,CalcE!$W$64:$W$99,BV$29)+SUMIFS(CalcE!$AI$64:$AI$99,CalcE!$W$64:$W$99,$BR31,CalcE!$V$64:$V$99,BV$29)</f>
        <v>47</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Kickers Rodendorf</v>
      </c>
      <c r="BS32" s="9">
        <f ca="1">SUMIFS(CalcE!$AH$64:$AH$99,CalcE!$V$64:$V$99,$BR32,CalcE!$W$64:$W$99,BS$29)+SUMIFS(CalcE!$AI$64:$AI$99,CalcE!$W$64:$W$99,$BR32,CalcE!$V$64:$V$99,BS$29)</f>
        <v>31</v>
      </c>
      <c r="BT32" s="9">
        <f ca="1">SUMIFS(CalcE!$AH$64:$AH$99,CalcE!$V$64:$V$99,$BR32,CalcE!$W$64:$W$99,BT$29)+SUMIFS(CalcE!$AI$64:$AI$99,CalcE!$W$64:$W$99,$BR32,CalcE!$V$64:$V$99,BT$29)</f>
        <v>41</v>
      </c>
      <c r="BU32" s="7"/>
      <c r="BV32" s="8">
        <f ca="1">SUMIFS(CalcE!$AH$64:$AH$99,CalcE!$V$64:$V$99,$BR32,CalcE!$W$64:$W$99,BV$29)+SUMIFS(CalcE!$AI$64:$AI$99,CalcE!$W$64:$W$99,$BR32,CalcE!$V$64:$V$99,BV$29)</f>
        <v>45</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Paris St. Germain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Paris St. Germain</v>
      </c>
      <c r="BS33" s="9">
        <f ca="1">SUMIFS(CalcE!$AH$64:$AH$99,CalcE!$V$64:$V$99,$BR33,CalcE!$W$64:$W$99,BS$29)+SUMIFS(CalcE!$AI$64:$AI$99,CalcE!$W$64:$W$99,$BR33,CalcE!$V$64:$V$99,BS$29)</f>
        <v>34</v>
      </c>
      <c r="BT33" s="9">
        <f ca="1">SUMIFS(CalcE!$AH$64:$AH$99,CalcE!$V$64:$V$99,$BR33,CalcE!$W$64:$W$99,BT$29)+SUMIFS(CalcE!$AI$64:$AI$99,CalcE!$W$64:$W$99,$BR33,CalcE!$V$64:$V$99,BT$29)</f>
        <v>42</v>
      </c>
      <c r="BU33" s="9">
        <f ca="1">SUMIFS(CalcE!$AH$64:$AH$99,CalcE!$V$64:$V$99,$BR33,CalcE!$W$64:$W$99,BU$29)+SUMIFS(CalcE!$AI$64:$AI$99,CalcE!$W$64:$W$99,$BR33,CalcE!$V$64:$V$99,BU$29)</f>
        <v>42</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FC Barcelona</v>
      </c>
      <c r="BT40" s="2" t="str">
        <f ca="1">$F$5</f>
        <v>Manchester City</v>
      </c>
      <c r="BU40" s="2" t="str">
        <f ca="1">$F$6</f>
        <v>Kickers Rodendorf</v>
      </c>
      <c r="BV40" s="2" t="str">
        <f ca="1">$F$7</f>
        <v>Paris St. Germain</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FC Barcelona</v>
      </c>
      <c r="BS41" s="7"/>
      <c r="BT41" s="8">
        <f ca="1">BT30-BS31</f>
        <v>9</v>
      </c>
      <c r="BU41" s="8">
        <f ca="1">BU30-BS32</f>
        <v>19</v>
      </c>
      <c r="BV41" s="8">
        <f ca="1">BV30-BS33</f>
        <v>12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Manchester City</v>
      </c>
      <c r="BS42" s="9">
        <f ca="1">IF(BT41="","",-1*BT41)</f>
        <v>-9</v>
      </c>
      <c r="BT42" s="7"/>
      <c r="BU42" s="8">
        <f ca="1">BU31-BT32</f>
        <v>9</v>
      </c>
      <c r="BV42" s="8">
        <f ca="1">BV31-BT33</f>
        <v>5</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Kickers Rodendorf</v>
      </c>
      <c r="BS43" s="9">
        <f ca="1">IF(BU41="","",-1*BU41)</f>
        <v>-19</v>
      </c>
      <c r="BT43" s="9">
        <f ca="1">IF(BU42="","",-1*BU42)</f>
        <v>-9</v>
      </c>
      <c r="BU43" s="7"/>
      <c r="BV43" s="8">
        <f ca="1">BV32-BU33</f>
        <v>3</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Paris St. Germain</v>
      </c>
      <c r="BS44" s="9">
        <f ca="1">IF(BV41="","",-1*BV41)</f>
        <v>-12</v>
      </c>
      <c r="BT44" s="9">
        <f ca="1">IF(BV42="","",-1*BV42)</f>
        <v>-5</v>
      </c>
      <c r="BU44" s="9">
        <f ca="1">IF(BV43="","",-1*BV43)</f>
        <v>-3</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FC Barcelona</v>
      </c>
      <c r="BT51" s="2" t="str">
        <f ca="1">$F$5</f>
        <v>Manchester City</v>
      </c>
      <c r="BU51" s="2" t="str">
        <f ca="1">$F$6</f>
        <v>Kickers Rodendorf</v>
      </c>
      <c r="BV51" s="2" t="str">
        <f ca="1">$F$7</f>
        <v>Paris St. Germain</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FC Barcelona</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2</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Manchester City</v>
      </c>
      <c r="BS53" s="9">
        <f ca="1">SUMIFS(CalcE!$AJ$64:$AJ$99,CalcE!$V$64:$V$99,$BR53,CalcE!$W$64:$W$99,BS$51)+SUMIFS(CalcE!$AK$64:$AK$99,CalcE!$W$64:$W$99,$BR53,CalcE!$V$64:$V$99,BS$51)</f>
        <v>0</v>
      </c>
      <c r="BT53" s="7"/>
      <c r="BU53" s="8">
        <f ca="1">SUMIFS(CalcE!$AJ$64:$AJ$99,CalcE!$V$64:$V$99,$BR53,CalcE!$W$64:$W$99,BU$51)+SUMIFS(CalcE!$AK$64:$AK$99,CalcE!$W$64:$W$99,$BR53,CalcE!$V$64:$V$99,BU$51)</f>
        <v>2</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Kickers Rodendorf</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Paris St. Germain</v>
      </c>
      <c r="BS55" s="9">
        <f ca="1">SUMIFS(CalcE!$AJ$64:$AJ$99,CalcE!$V$64:$V$99,$BR55,CalcE!$W$64:$W$99,BS$51)+SUMIFS(CalcE!$AK$64:$AK$99,CalcE!$W$64:$W$99,$BR55,CalcE!$V$64:$V$99,BS$51)</f>
        <v>0</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4'!$AQ40="","",'Endrunde 4'!$AQ40)</f>
        <v>FC Barcelona</v>
      </c>
      <c r="D62" s="1039"/>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40" t="str">
        <f ca="1">IF('Endrunde 4'!$AQ41="","",'Endrunde 4'!$AQ41)</f>
        <v>Manchester City</v>
      </c>
      <c r="D63" s="1041"/>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40" t="str">
        <f ca="1">IF('Endrunde 4'!$AQ42="","",'Endrunde 4'!$AQ42)</f>
        <v>Kickers Rodendorf</v>
      </c>
      <c r="D64" s="1041"/>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42" t="str">
        <f ca="1">IF('Endrunde 4'!$AQ43="","",'Endrunde 4'!$AQ43)</f>
        <v>Paris St. Germain</v>
      </c>
      <c r="D65" s="1043"/>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C62:D62"/>
    <mergeCell ref="C63:D63"/>
    <mergeCell ref="C64:D64"/>
    <mergeCell ref="C65:D65"/>
    <mergeCell ref="AS29:AZ29"/>
    <mergeCell ref="E29:L29"/>
    <mergeCell ref="M29:T29"/>
    <mergeCell ref="BA29:BH29"/>
    <mergeCell ref="BI29:BP29"/>
    <mergeCell ref="W3:AA3"/>
    <mergeCell ref="AB3:AF3"/>
    <mergeCell ref="AG3:AK3"/>
    <mergeCell ref="AL3:AP3"/>
    <mergeCell ref="AD15:AH15"/>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10"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457</v>
      </c>
    </row>
    <row r="3" spans="1:42" s="2" customFormat="1" ht="13.5" customHeight="1" thickBot="1" x14ac:dyDescent="0.25">
      <c r="B3" s="1"/>
      <c r="C3" s="822"/>
      <c r="D3" s="822"/>
      <c r="E3" s="822"/>
      <c r="F3" s="822"/>
      <c r="G3" s="69" t="s">
        <v>106</v>
      </c>
      <c r="H3" s="69" t="s">
        <v>107</v>
      </c>
      <c r="I3" s="820" t="s">
        <v>446</v>
      </c>
      <c r="J3" s="27" t="s">
        <v>109</v>
      </c>
      <c r="K3" s="820" t="s">
        <v>102</v>
      </c>
      <c r="L3" s="27" t="s">
        <v>103</v>
      </c>
      <c r="M3" s="27" t="s">
        <v>104</v>
      </c>
      <c r="N3" s="27" t="s">
        <v>105</v>
      </c>
      <c r="O3" s="822"/>
      <c r="P3" s="27" t="s">
        <v>415</v>
      </c>
      <c r="Q3" s="27" t="s">
        <v>371</v>
      </c>
      <c r="R3" s="27" t="s">
        <v>448</v>
      </c>
      <c r="S3" s="27" t="s">
        <v>414</v>
      </c>
      <c r="T3" s="27"/>
      <c r="U3" s="27" t="s">
        <v>449</v>
      </c>
      <c r="V3" s="822"/>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1</v>
      </c>
      <c r="D4" s="822">
        <f ca="1">E4+ROW()/1000+(F4="")*10</f>
        <v>1.004</v>
      </c>
      <c r="E4" s="249">
        <f ca="1">IF($AI$15,RANK(AH17,AH$17:AH$25,1),RANK(X17,X$17:X$25,1))</f>
        <v>1</v>
      </c>
      <c r="F4" s="1" t="str">
        <f ca="1">$C62</f>
        <v>1. FC Riedwald</v>
      </c>
      <c r="G4" s="1">
        <f ca="1">SUMIFS(CalcE!$AH$64:$AH$135,CalcE!$V$64:$V$135,$F4)+SUMIFS(CalcE!$AI$64:$AI$135,CalcE!$W$64:$W$135,$F4)</f>
        <v>145</v>
      </c>
      <c r="H4" s="1">
        <f ca="1">SUMIFS(CalcE!$AI$64:$AI$135,CalcE!$V$64:$V$135,$F4)+SUMIFS(CalcE!$AH$64:$AH$135,CalcE!$W$64:$W$135,$F4)</f>
        <v>128</v>
      </c>
      <c r="I4" s="822">
        <f ca="1">IF(Einstellungen!$G$24,G4-H4,IF(H4=0,IF(G4=0,0,Einstellungen!$F$24),G4/H4))</f>
        <v>17</v>
      </c>
      <c r="J4" s="1">
        <f ca="1">$L4*Einstellungen!$C$4+$M4</f>
        <v>5</v>
      </c>
      <c r="K4" s="1">
        <f ca="1">SUMPRODUCT((CalcE!$V$64:$V$99=F4)*(CalcE!$AJ$64:$AJ$99&lt;&gt;"")*CalcE!$AA$64:$AA$99)+SUMPRODUCT((CalcE!$W$64:$W$99=F4)*(CalcE!$AK$64:$AK$99&lt;&gt;"")*CalcE!$AA$64:$AA$99)</f>
        <v>3</v>
      </c>
      <c r="L4" s="1">
        <f ca="1">SUMPRODUCT((CalcE!$V$64:$V$99=F4)*(CalcE!$AJ$64:$AJ$99&gt;CalcE!$AK$64:$AK$99)*CalcE!$AA$64:$AA$99)+SUMPRODUCT((CalcE!$W$64:$W$99=F4)*(CalcE!$AJ$64:$AJ$99&lt;CalcE!$AK$64:$AK$99)*CalcE!$AA$64:$AA$99)</f>
        <v>2</v>
      </c>
      <c r="M4" s="1">
        <f ca="1">SUMPRODUCT((CalcE!$V$64:$W$99=F4)*(CalcE!$AJ$64:$AJ$99=CalcE!$AK$64:$AK$99)*CalcE!$AA$64:$AA$99)</f>
        <v>1</v>
      </c>
      <c r="N4" s="1">
        <f ca="1">K4-L4-M4</f>
        <v>0</v>
      </c>
      <c r="O4" s="821"/>
      <c r="P4" s="1">
        <f ca="1">SUMPRODUCT((CalcE!$V$64:$V$135=F4)*CalcE!$AK$64:$AK$135)+SUMPRODUCT((CalcE!$W$64:$W$135=F4)*CalcE!$AJ$64:$AJ$135)</f>
        <v>1</v>
      </c>
      <c r="Q4" s="1">
        <f ca="1">SUMPRODUCT((CalcE!$V$64:$V$135=F4)*CalcE!$AJ$64:$AJ$135)+SUMPRODUCT((CalcE!$W$64:$W$135=F4)*CalcE!$AK$64:$AK$135)</f>
        <v>5</v>
      </c>
      <c r="R4" s="1">
        <f ca="1">Q4-P4</f>
        <v>4</v>
      </c>
      <c r="S4" s="1">
        <f ca="1">IF(Einstellungen!$G$24,$I4,ROUND($I4,Einstellungen!$H$24))</f>
        <v>17</v>
      </c>
      <c r="T4" s="1">
        <f t="shared" ref="T4:T12" ca="1" si="0">I4-(F4="")*10000</f>
        <v>17</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822">
        <f t="shared" ref="D5:D12" ca="1" si="3">E5+ROW()/1000+(F5="")*10</f>
        <v>4.0049999999999999</v>
      </c>
      <c r="E5" s="249">
        <f t="shared" ref="E5:E12" ca="1" si="4">IF($AI$15,RANK(AH18,AH$17:AH$25,1),RANK(X18,X$17:X$25,1))</f>
        <v>4</v>
      </c>
      <c r="F5" s="1" t="str">
        <f ca="1">$C63</f>
        <v>Mainz 05</v>
      </c>
      <c r="G5" s="1">
        <f ca="1">SUMIFS(CalcE!$AH$64:$AH$135,CalcE!$V$64:$V$135,$F5)+SUMIFS(CalcE!$AI$64:$AI$135,CalcE!$W$64:$W$135,$F5)</f>
        <v>124</v>
      </c>
      <c r="H5" s="1">
        <f ca="1">SUMIFS(CalcE!$AI$64:$AI$135,CalcE!$V$64:$V$135,$F5)+SUMIFS(CalcE!$AH$64:$AH$135,CalcE!$W$64:$W$135,$F5)</f>
        <v>138</v>
      </c>
      <c r="I5" s="822">
        <f ca="1">IF(Einstellungen!$G$24,G5-H5,IF(H5=0,IF(G5=0,0,Einstellungen!$F$24),G5/H5))</f>
        <v>-14</v>
      </c>
      <c r="J5" s="1">
        <f ca="1">$L5*Einstellungen!$C$4+$M5</f>
        <v>2</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2</v>
      </c>
      <c r="N5" s="1">
        <f t="shared" ref="N5:N12" ca="1" si="5">K5-L5-M5</f>
        <v>1</v>
      </c>
      <c r="O5" s="665"/>
      <c r="P5" s="1">
        <f ca="1">SUMPRODUCT((CalcE!$V$64:$V$135=F5)*CalcE!$AK$64:$AK$135)+SUMPRODUCT((CalcE!$W$64:$W$135=F5)*CalcE!$AJ$64:$AJ$135)</f>
        <v>4</v>
      </c>
      <c r="Q5" s="1">
        <f ca="1">SUMPRODUCT((CalcE!$V$64:$V$135=F5)*CalcE!$AJ$64:$AJ$135)+SUMPRODUCT((CalcE!$W$64:$W$135=F5)*CalcE!$AK$64:$AK$135)</f>
        <v>2</v>
      </c>
      <c r="R5" s="1">
        <f t="shared" ref="R5:R12" ca="1" si="6">Q5-P5</f>
        <v>-2</v>
      </c>
      <c r="S5" s="1">
        <f ca="1">IF(Einstellungen!$G$24,$I5,ROUND($I5,Einstellungen!$H$24))</f>
        <v>-14</v>
      </c>
      <c r="T5" s="1">
        <f t="shared" ca="1" si="0"/>
        <v>-14</v>
      </c>
      <c r="U5" s="1">
        <f t="shared" ca="1" si="1"/>
        <v>6</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3.0059999999999998</v>
      </c>
      <c r="E6" s="249">
        <f t="shared" ca="1" si="4"/>
        <v>3</v>
      </c>
      <c r="F6" s="1" t="str">
        <f ca="1">$C64</f>
        <v>Borussia Dortmund</v>
      </c>
      <c r="G6" s="1">
        <f ca="1">SUMIFS(CalcE!$AH$64:$AH$135,CalcE!$V$64:$V$135,$F6)+SUMIFS(CalcE!$AI$64:$AI$135,CalcE!$W$64:$W$135,$F6)</f>
        <v>128</v>
      </c>
      <c r="H6" s="1">
        <f ca="1">SUMIFS(CalcE!$AI$64:$AI$135,CalcE!$V$64:$V$135,$F6)+SUMIFS(CalcE!$AH$64:$AH$135,CalcE!$W$64:$W$135,$F6)</f>
        <v>137</v>
      </c>
      <c r="I6" s="822">
        <f ca="1">IF(Einstellungen!$G$24,G6-H6,IF(H6=0,IF(G6=0,0,Einstellungen!$F$24),G6/H6))</f>
        <v>-9</v>
      </c>
      <c r="J6" s="1">
        <f ca="1">$L6*Einstellungen!$C$4+$M6</f>
        <v>2</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2</v>
      </c>
      <c r="N6" s="1">
        <f t="shared" ca="1" si="5"/>
        <v>1</v>
      </c>
      <c r="O6" s="665"/>
      <c r="P6" s="1">
        <f ca="1">SUMPRODUCT((CalcE!$V$64:$V$135=F6)*CalcE!$AK$64:$AK$135)+SUMPRODUCT((CalcE!$W$64:$W$135=F6)*CalcE!$AJ$64:$AJ$135)</f>
        <v>4</v>
      </c>
      <c r="Q6" s="1">
        <f ca="1">SUMPRODUCT((CalcE!$V$64:$V$135=F6)*CalcE!$AJ$64:$AJ$135)+SUMPRODUCT((CalcE!$W$64:$W$135=F6)*CalcE!$AK$64:$AK$135)</f>
        <v>2</v>
      </c>
      <c r="R6" s="1">
        <f t="shared" ca="1" si="6"/>
        <v>-2</v>
      </c>
      <c r="S6" s="1">
        <f ca="1">IF(Einstellungen!$G$24,$I6,ROUND($I6,Einstellungen!$H$24))</f>
        <v>-9</v>
      </c>
      <c r="T6" s="1">
        <f t="shared" ca="1" si="0"/>
        <v>-9</v>
      </c>
      <c r="U6" s="1">
        <f t="shared" ca="1" si="1"/>
        <v>7</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2</v>
      </c>
      <c r="D7" s="822">
        <f t="shared" ca="1" si="3"/>
        <v>2.0070000000000001</v>
      </c>
      <c r="E7" s="249">
        <f t="shared" ca="1" si="4"/>
        <v>2</v>
      </c>
      <c r="F7" s="1" t="str">
        <f ca="1">$C65</f>
        <v>RB Leipzig</v>
      </c>
      <c r="G7" s="1">
        <f ca="1">SUMIFS(CalcE!$AH$64:$AH$135,CalcE!$V$64:$V$135,$F7)+SUMIFS(CalcE!$AI$64:$AI$135,CalcE!$W$64:$W$135,$F7)</f>
        <v>136</v>
      </c>
      <c r="H7" s="1">
        <f ca="1">SUMIFS(CalcE!$AI$64:$AI$135,CalcE!$V$64:$V$135,$F7)+SUMIFS(CalcE!$AH$64:$AH$135,CalcE!$W$64:$W$135,$F7)</f>
        <v>130</v>
      </c>
      <c r="I7" s="822">
        <f ca="1">IF(Einstellungen!$G$24,G7-H7,IF(H7=0,IF(G7=0,0,Einstellungen!$F$24),G7/H7))</f>
        <v>6</v>
      </c>
      <c r="J7" s="1">
        <f ca="1">$L7*Einstellungen!$C$4+$M7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IF(Einstellungen!$G$24,$I7,ROUND($I7,Einstellungen!$H$24))</f>
        <v>6</v>
      </c>
      <c r="T7" s="1">
        <f t="shared" ca="1" si="0"/>
        <v>6</v>
      </c>
      <c r="U7" s="1">
        <f t="shared" ca="1" si="1"/>
        <v>8</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1. FC Riedwald</v>
      </c>
      <c r="D17" s="1">
        <f t="shared" ref="D17:G20" ca="1" si="7">K4</f>
        <v>3</v>
      </c>
      <c r="E17" s="1">
        <f t="shared" ca="1" si="7"/>
        <v>2</v>
      </c>
      <c r="F17" s="1">
        <f t="shared" ca="1" si="7"/>
        <v>1</v>
      </c>
      <c r="G17" s="1">
        <f t="shared" ca="1" si="7"/>
        <v>0</v>
      </c>
      <c r="H17" s="1">
        <f t="shared" ref="H17:J20" ca="1" si="8">G4</f>
        <v>145</v>
      </c>
      <c r="I17" s="1">
        <f t="shared" ca="1" si="8"/>
        <v>128</v>
      </c>
      <c r="J17" s="822">
        <f t="shared" ca="1" si="8"/>
        <v>17</v>
      </c>
      <c r="K17" s="1">
        <f ca="1">IF(Einstellungen!$G$9,J4,$Q4)</f>
        <v>5</v>
      </c>
      <c r="L17" s="29">
        <f ca="1">K17*CalcE!$F$64+(R4+CalcE!$H$65)*CalcE!$F$65*Einstellungen!$G$14+Q4*CalcE!$F$66*Einstellungen!$G$19+U4*CalcE!$F$67</f>
        <v>5000000.0089999996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'Endrunde 4'!$AS33+$AD17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Mainz 05</v>
      </c>
      <c r="D18" s="1">
        <f t="shared" ca="1" si="7"/>
        <v>3</v>
      </c>
      <c r="E18" s="1">
        <f t="shared" ca="1" si="7"/>
        <v>0</v>
      </c>
      <c r="F18" s="1">
        <f t="shared" ca="1" si="7"/>
        <v>2</v>
      </c>
      <c r="G18" s="1">
        <f t="shared" ca="1" si="7"/>
        <v>1</v>
      </c>
      <c r="H18" s="1">
        <f t="shared" ca="1" si="8"/>
        <v>124</v>
      </c>
      <c r="I18" s="1">
        <f t="shared" ca="1" si="8"/>
        <v>138</v>
      </c>
      <c r="J18" s="822">
        <f t="shared" ca="1" si="8"/>
        <v>-14</v>
      </c>
      <c r="K18" s="1">
        <f ca="1">IF(Einstellungen!$G$9,J5,$Q5)</f>
        <v>2</v>
      </c>
      <c r="L18" s="29">
        <f ca="1">K18*CalcE!$F$64+(R5+CalcE!$H$65)*CalcE!$F$65*Einstellungen!$G$14+Q5*CalcE!$F$66*Einstellungen!$G$19+U5*CalcE!$F$67</f>
        <v>2000000.0060000001</v>
      </c>
      <c r="M18" s="14">
        <f t="shared" ref="M18:M25" ca="1" si="17">IF($AI$15,COUNTIF($K$17:$K$25,K18),COUNTIF($L$17:$L$25,L18))</f>
        <v>1</v>
      </c>
      <c r="N18" s="14">
        <f t="array" aca="1" ref="N18" ca="1">IF($AI$15,SUM(($K$17:$K$25&gt;=K18)/COUNTIF($K$17:$K$25,$K$17:$K$25)),SUM(($L$17:$L$25&gt;=L18)/COUNTIF($L$17:$L$25,$L$17:$L$25)))</f>
        <v>4</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4.0108999999999995</v>
      </c>
      <c r="Y18" s="827">
        <f ca="1">'Endrunde 4'!$AS34+$AD18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Borussia Dortmund</v>
      </c>
      <c r="D19" s="1">
        <f t="shared" ca="1" si="7"/>
        <v>3</v>
      </c>
      <c r="E19" s="1">
        <f t="shared" ca="1" si="7"/>
        <v>0</v>
      </c>
      <c r="F19" s="1">
        <f t="shared" ca="1" si="7"/>
        <v>2</v>
      </c>
      <c r="G19" s="1">
        <f t="shared" ca="1" si="7"/>
        <v>1</v>
      </c>
      <c r="H19" s="1">
        <f t="shared" ca="1" si="8"/>
        <v>128</v>
      </c>
      <c r="I19" s="1">
        <f t="shared" ca="1" si="8"/>
        <v>137</v>
      </c>
      <c r="J19" s="822">
        <f t="shared" ca="1" si="8"/>
        <v>-9</v>
      </c>
      <c r="K19" s="1">
        <f ca="1">IF(Einstellungen!$G$9,J6,$Q6)</f>
        <v>2</v>
      </c>
      <c r="L19" s="29">
        <f ca="1">K19*CalcE!$F$64+(R6+CalcE!$H$65)*CalcE!$F$65*Einstellungen!$G$14+Q6*CalcE!$F$66*Einstellungen!$G$19+U6*CalcE!$F$67</f>
        <v>2000000.007</v>
      </c>
      <c r="M19" s="14">
        <f t="shared" ca="1" si="17"/>
        <v>1</v>
      </c>
      <c r="N19" s="14">
        <f t="array" aca="1" ref="N19" ca="1">IF($AI$15,SUM(($K$17:$K$25&gt;=K19)/COUNTIF($K$17:$K$25,$K$17:$K$25)),SUM(($L$17:$L$25&gt;=L19)/COUNTIF($L$17:$L$25,$L$17:$L$25)))</f>
        <v>3</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3.0108999999999999</v>
      </c>
      <c r="Y19" s="827">
        <f ca="1">'Endrunde 4'!$AS35+$AD19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RB Leipzig</v>
      </c>
      <c r="D20" s="1">
        <f t="shared" ca="1" si="7"/>
        <v>3</v>
      </c>
      <c r="E20" s="1">
        <f t="shared" ca="1" si="7"/>
        <v>0</v>
      </c>
      <c r="F20" s="1">
        <f t="shared" ca="1" si="7"/>
        <v>3</v>
      </c>
      <c r="G20" s="1">
        <f t="shared" ca="1" si="7"/>
        <v>0</v>
      </c>
      <c r="H20" s="1">
        <f t="shared" ca="1" si="8"/>
        <v>136</v>
      </c>
      <c r="I20" s="1">
        <f t="shared" ca="1" si="8"/>
        <v>130</v>
      </c>
      <c r="J20" s="822">
        <f t="shared" ca="1" si="8"/>
        <v>6</v>
      </c>
      <c r="K20" s="1">
        <f ca="1">IF(Einstellungen!$G$9,J7,$Q7)</f>
        <v>3</v>
      </c>
      <c r="L20" s="29">
        <f ca="1">K20*CalcE!$F$64+(R7+CalcE!$H$65)*CalcE!$F$65*Einstellungen!$G$14+Q7*CalcE!$F$66*Einstellungen!$G$19+U7*CalcE!$F$67</f>
        <v>3000000.0079999999</v>
      </c>
      <c r="M20" s="14">
        <f t="shared" ca="1" si="17"/>
        <v>1</v>
      </c>
      <c r="N20" s="14">
        <f t="array" aca="1" ref="N20" ca="1">IF($AI$15,SUM(($K$17:$K$25&gt;=K20)/COUNTIF($K$17:$K$25,$K$17:$K$25)),SUM(($L$17:$L$25&gt;=L20)/COUNTIF($L$17:$L$25,$L$17:$L$25)))</f>
        <v>2</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2.0108999999999999</v>
      </c>
      <c r="Y20" s="827">
        <f ca="1">'Endrunde 4'!$AS36+$AD20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IF(Einstellungen!$G$9,J8,$Q8)</f>
        <v>0</v>
      </c>
      <c r="L21" s="29">
        <f ca="1">K21*CalcE!$F$64+(R8+CalcE!$H$65)*CalcE!$F$65*Einstellungen!$G$14+Q8*CalcE!$F$66*Einstellungen!$G$19+U8*CalcE!$F$67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IF(Einstellungen!$G$9,J9,$Q9)</f>
        <v>0</v>
      </c>
      <c r="L22" s="29">
        <f ca="1">K22*CalcE!$F$64+(R9+CalcE!$H$65)*CalcE!$F$65*Einstellungen!$G$14+Q9*CalcE!$F$66*Einstellungen!$G$19+U9*CalcE!$F$67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IF(Einstellungen!$G$9,J10,$Q10)</f>
        <v>0</v>
      </c>
      <c r="L23" s="29">
        <f ca="1">K23*CalcE!$F$64+(R10+CalcE!$H$65)*CalcE!$F$65*Einstellungen!$G$14+Q10*CalcE!$F$66*Einstellungen!$G$19+U10*CalcE!$F$67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IF(Einstellungen!$G$9,J11,$Q11)</f>
        <v>0</v>
      </c>
      <c r="L24" s="29">
        <f ca="1">K24*CalcE!$F$64+(R11+CalcE!$H$65)*CalcE!$F$65*Einstellungen!$G$14+Q11*CalcE!$F$66*Einstellungen!$G$19+U11*CalcE!$F$67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IF(Einstellungen!$G$9,J12,$Q12)</f>
        <v>0</v>
      </c>
      <c r="L25" s="29">
        <f ca="1">K25*CalcE!$F$64+(R12+CalcE!$H$65)*CalcE!$F$65*Einstellungen!$G$14+Q12*CalcE!$F$66*Einstellungen!$G$19+U12*CalcE!$F$67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822"/>
      <c r="BR29" s="5" t="s">
        <v>94</v>
      </c>
      <c r="BS29" s="2" t="str">
        <f ca="1">$F$4</f>
        <v>1. FC Riedwald</v>
      </c>
      <c r="BT29" s="2" t="str">
        <f ca="1">$F$5</f>
        <v>Mainz 05</v>
      </c>
      <c r="BU29" s="2" t="str">
        <f ca="1">$F$6</f>
        <v>Borussia Dortmund</v>
      </c>
      <c r="BV29" s="2" t="str">
        <f ca="1">$F$7</f>
        <v>RB Leipzig</v>
      </c>
      <c r="BW29" s="2" t="str">
        <f>$F$8</f>
        <v/>
      </c>
      <c r="BX29" s="2" t="str">
        <f>$F$9</f>
        <v/>
      </c>
      <c r="BY29" s="2" t="str">
        <f>$F$10</f>
        <v/>
      </c>
      <c r="BZ29" s="2" t="str">
        <f>$F$11</f>
        <v/>
      </c>
      <c r="CA29" s="2" t="str">
        <f>$F$12</f>
        <v/>
      </c>
      <c r="CB29" s="51"/>
    </row>
    <row r="30" spans="2:80" s="2" customFormat="1" x14ac:dyDescent="0.2">
      <c r="C30" s="2" t="str">
        <f ca="1">$C62</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1. FC Riedwald</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45</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Mainz 05</v>
      </c>
      <c r="BS31" s="9">
        <f ca="1">SUMIFS(CalcE!$AH$64:$AH$99,CalcE!$V$64:$V$99,$BR31,CalcE!$W$64:$W$99,BS$29)+SUMIFS(CalcE!$AI$64:$AI$99,CalcE!$W$64:$W$99,$BR31,CalcE!$V$64:$V$99,BS$29)</f>
        <v>39</v>
      </c>
      <c r="BT31" s="7"/>
      <c r="BU31" s="8">
        <f ca="1">SUMIFS(CalcE!$AH$64:$AH$99,CalcE!$V$64:$V$99,$BR31,CalcE!$W$64:$W$99,BU$29)+SUMIFS(CalcE!$AI$64:$AI$99,CalcE!$W$64:$W$99,$BR31,CalcE!$V$64:$V$99,BU$29)</f>
        <v>39</v>
      </c>
      <c r="BV31" s="8">
        <f ca="1">SUMIFS(CalcE!$AH$64:$AH$99,CalcE!$V$64:$V$99,$BR31,CalcE!$W$64:$W$99,BV$29)+SUMIFS(CalcE!$AI$64:$AI$99,CalcE!$W$64:$W$99,$BR31,CalcE!$V$64:$V$99,BV$29)</f>
        <v>46</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Borussia Dortmund</v>
      </c>
      <c r="BS32" s="9">
        <f ca="1">SUMIFS(CalcE!$AH$64:$AH$99,CalcE!$V$64:$V$99,$BR32,CalcE!$W$64:$W$99,BS$29)+SUMIFS(CalcE!$AI$64:$AI$99,CalcE!$W$64:$W$99,$BR32,CalcE!$V$64:$V$99,BS$29)</f>
        <v>45</v>
      </c>
      <c r="BT32" s="9">
        <f ca="1">SUMIFS(CalcE!$AH$64:$AH$99,CalcE!$V$64:$V$99,$BR32,CalcE!$W$64:$W$99,BT$29)+SUMIFS(CalcE!$AI$64:$AI$99,CalcE!$W$64:$W$99,$BR32,CalcE!$V$64:$V$99,BT$29)</f>
        <v>44</v>
      </c>
      <c r="BU32" s="7"/>
      <c r="BV32" s="8">
        <f ca="1">SUMIFS(CalcE!$AH$64:$AH$99,CalcE!$V$64:$V$99,$BR32,CalcE!$W$64:$W$99,BV$29)+SUMIFS(CalcE!$AI$64:$AI$99,CalcE!$W$64:$W$99,$BR32,CalcE!$V$64:$V$99,BV$29)</f>
        <v>39</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RB Leipzig</v>
      </c>
      <c r="BS33" s="9">
        <f ca="1">SUMIFS(CalcE!$AH$64:$AH$99,CalcE!$V$64:$V$99,$BR33,CalcE!$W$64:$W$99,BS$29)+SUMIFS(CalcE!$AI$64:$AI$99,CalcE!$W$64:$W$99,$BR33,CalcE!$V$64:$V$99,BS$29)</f>
        <v>44</v>
      </c>
      <c r="BT33" s="9">
        <f ca="1">SUMIFS(CalcE!$AH$64:$AH$99,CalcE!$V$64:$V$99,$BR33,CalcE!$W$64:$W$99,BT$29)+SUMIFS(CalcE!$AI$64:$AI$99,CalcE!$W$64:$W$99,$BR33,CalcE!$V$64:$V$99,BT$29)</f>
        <v>44</v>
      </c>
      <c r="BU33" s="9">
        <f ca="1">SUMIFS(CalcE!$AH$64:$AH$99,CalcE!$V$64:$V$99,$BR33,CalcE!$W$64:$W$99,BU$29)+SUMIFS(CalcE!$AI$64:$AI$99,CalcE!$W$64:$W$99,$BR33,CalcE!$V$64:$V$99,BU$29)</f>
        <v>48</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1. FC Riedwald</v>
      </c>
      <c r="BT40" s="2" t="str">
        <f ca="1">$F$5</f>
        <v>Mainz 05</v>
      </c>
      <c r="BU40" s="2" t="str">
        <f ca="1">$F$6</f>
        <v>Borussia Dortmund</v>
      </c>
      <c r="BV40" s="2" t="str">
        <f ca="1">$F$7</f>
        <v>RB Leipzig</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1. FC Riedwald</v>
      </c>
      <c r="BS41" s="7"/>
      <c r="BT41" s="8">
        <f ca="1">BT30-BS31</f>
        <v>11</v>
      </c>
      <c r="BU41" s="8">
        <f ca="1">BU30-BS32</f>
        <v>5</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Mainz 05</v>
      </c>
      <c r="BS42" s="9">
        <f ca="1">IF(BT41="","",-1*BT41)</f>
        <v>-11</v>
      </c>
      <c r="BT42" s="7"/>
      <c r="BU42" s="8">
        <f ca="1">BU31-BT32</f>
        <v>-5</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Borussia Dortmund</v>
      </c>
      <c r="BS43" s="9">
        <f ca="1">IF(BU41="","",-1*BU41)</f>
        <v>-5</v>
      </c>
      <c r="BT43" s="9">
        <f ca="1">IF(BU42="","",-1*BU42)</f>
        <v>5</v>
      </c>
      <c r="BU43" s="7"/>
      <c r="BV43" s="8">
        <f ca="1">BV32-BU33</f>
        <v>-9</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RB Leipzig</v>
      </c>
      <c r="BS44" s="9">
        <f ca="1">IF(BV41="","",-1*BV41)</f>
        <v>-1</v>
      </c>
      <c r="BT44" s="9">
        <f ca="1">IF(BV42="","",-1*BV42)</f>
        <v>-2</v>
      </c>
      <c r="BU44" s="9">
        <f ca="1">IF(BV43="","",-1*BV43)</f>
        <v>9</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1. FC Riedwald</v>
      </c>
      <c r="BT51" s="2" t="str">
        <f ca="1">$F$5</f>
        <v>Mainz 05</v>
      </c>
      <c r="BU51" s="2" t="str">
        <f ca="1">$F$6</f>
        <v>Borussia Dortmund</v>
      </c>
      <c r="BV51" s="2" t="str">
        <f ca="1">$F$7</f>
        <v>RB Leipzig</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1. FC Riedwald</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Mainz 05</v>
      </c>
      <c r="BS53" s="9">
        <f ca="1">SUMIFS(CalcE!$AJ$64:$AJ$99,CalcE!$V$64:$V$99,$BR53,CalcE!$W$64:$W$99,BS$51)+SUMIFS(CalcE!$AK$64:$AK$99,CalcE!$W$64:$W$99,$BR53,CalcE!$V$64:$V$99,BS$51)</f>
        <v>0</v>
      </c>
      <c r="BT53" s="7"/>
      <c r="BU53" s="8">
        <f ca="1">SUMIFS(CalcE!$AJ$64:$AJ$99,CalcE!$V$64:$V$99,$BR53,CalcE!$W$64:$W$99,BU$51)+SUMIFS(CalcE!$AK$64:$AK$99,CalcE!$W$64:$W$99,$BR53,CalcE!$V$64:$V$99,BU$51)</f>
        <v>1</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Borussia Dortmund</v>
      </c>
      <c r="BS54" s="9">
        <f ca="1">SUMIFS(CalcE!$AJ$64:$AJ$99,CalcE!$V$64:$V$99,$BR54,CalcE!$W$64:$W$99,BS$51)+SUMIFS(CalcE!$AK$64:$AK$99,CalcE!$W$64:$W$99,$BR54,CalcE!$V$64:$V$99,BS$51)</f>
        <v>0</v>
      </c>
      <c r="BT54" s="9">
        <f ca="1">SUMIFS(CalcE!$AJ$64:$AJ$99,CalcE!$V$64:$V$99,$BR54,CalcE!$W$64:$W$99,BT$51)+SUMIFS(CalcE!$AK$64:$AK$99,CalcE!$W$64:$W$99,$BR54,CalcE!$V$64:$V$99,BT$51)</f>
        <v>1</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RB Leipzig</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4'!$AQ33="","",'Endrunde 4'!$AQ33)</f>
        <v>1. FC Riedwald</v>
      </c>
      <c r="D62" s="1039"/>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40" t="str">
        <f ca="1">IF('Endrunde 4'!$AQ34="","",'Endrunde 4'!$AQ34)</f>
        <v>Mainz 05</v>
      </c>
      <c r="D63" s="1041"/>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40" t="str">
        <f ca="1">IF('Endrunde 4'!$AQ35="","",'Endrunde 4'!$AQ35)</f>
        <v>Borussia Dortmund</v>
      </c>
      <c r="D64" s="1041"/>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42" t="str">
        <f ca="1">IF('Endrunde 4'!$AQ36="","",'Endrunde 4'!$AQ36)</f>
        <v>RB Leipzig</v>
      </c>
      <c r="D65" s="1043"/>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C62:D62"/>
    <mergeCell ref="C63:D63"/>
    <mergeCell ref="C64:D64"/>
    <mergeCell ref="C65:D65"/>
    <mergeCell ref="AS29:AZ29"/>
    <mergeCell ref="E29:L29"/>
    <mergeCell ref="M29:T29"/>
    <mergeCell ref="BA29:BH29"/>
    <mergeCell ref="BI29:BP29"/>
    <mergeCell ref="W3:AA3"/>
    <mergeCell ref="AB3:AF3"/>
    <mergeCell ref="AG3:AK3"/>
    <mergeCell ref="AL3:AP3"/>
    <mergeCell ref="AD15:AH15"/>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8.855468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457</v>
      </c>
    </row>
    <row r="3" spans="1:42" s="2" customFormat="1" ht="13.5" customHeight="1" thickBot="1" x14ac:dyDescent="0.25">
      <c r="B3" s="1"/>
      <c r="C3" s="822"/>
      <c r="D3" s="822"/>
      <c r="E3" s="822"/>
      <c r="F3" s="822"/>
      <c r="G3" s="69" t="s">
        <v>106</v>
      </c>
      <c r="H3" s="69" t="s">
        <v>107</v>
      </c>
      <c r="I3" s="820" t="s">
        <v>446</v>
      </c>
      <c r="J3" s="27" t="s">
        <v>109</v>
      </c>
      <c r="K3" s="820" t="s">
        <v>102</v>
      </c>
      <c r="L3" s="27" t="s">
        <v>103</v>
      </c>
      <c r="M3" s="27" t="s">
        <v>104</v>
      </c>
      <c r="N3" s="27" t="s">
        <v>105</v>
      </c>
      <c r="O3" s="822"/>
      <c r="P3" s="27" t="s">
        <v>415</v>
      </c>
      <c r="Q3" s="27" t="s">
        <v>371</v>
      </c>
      <c r="R3" s="27" t="s">
        <v>448</v>
      </c>
      <c r="S3" s="27" t="s">
        <v>414</v>
      </c>
      <c r="T3" s="27"/>
      <c r="U3" s="27" t="s">
        <v>449</v>
      </c>
      <c r="V3" s="822"/>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1</v>
      </c>
      <c r="D4" s="822">
        <f ca="1">E4+ROW()/1000+(F4="")*10</f>
        <v>1.004</v>
      </c>
      <c r="E4" s="249">
        <f ca="1">IF($AI$15,RANK(AH17,AH$17:AH$25,1),RANK(X17,X$17:X$25,1))</f>
        <v>1</v>
      </c>
      <c r="F4" s="1" t="str">
        <f ca="1">$C62</f>
        <v>VFB Essenheim</v>
      </c>
      <c r="G4" s="1">
        <f ca="1">SUMIFS(CalcE!$AH$64:$AH$135,CalcE!$V$64:$V$135,$F4)+SUMIFS(CalcE!$AI$64:$AI$135,CalcE!$W$64:$W$135,$F4)</f>
        <v>140</v>
      </c>
      <c r="H4" s="1">
        <f ca="1">SUMIFS(CalcE!$AI$64:$AI$135,CalcE!$V$64:$V$135,$F4)+SUMIFS(CalcE!$AH$64:$AH$135,CalcE!$W$64:$W$135,$F4)</f>
        <v>134</v>
      </c>
      <c r="I4" s="822">
        <f ca="1">IF(Einstellungen!$G$24,G4-H4,IF(H4=0,IF(G4=0,0,Einstellungen!$F$24),G4/H4))</f>
        <v>6</v>
      </c>
      <c r="J4" s="1">
        <f ca="1">$L4*Einstellungen!$C$4+$M4</f>
        <v>4</v>
      </c>
      <c r="K4" s="1">
        <f ca="1">SUMPRODUCT((CalcE!$V$64:$V$99=F4)*(CalcE!$AJ$64:$AJ$99&lt;&gt;"")*CalcE!$AA$64:$AA$99)+SUMPRODUCT((CalcE!$W$64:$W$99=F4)*(CalcE!$AK$64:$AK$99&lt;&gt;"")*CalcE!$AA$64:$AA$99)</f>
        <v>3</v>
      </c>
      <c r="L4" s="1">
        <f ca="1">SUMPRODUCT((CalcE!$V$64:$V$99=F4)*(CalcE!$AJ$64:$AJ$99&gt;CalcE!$AK$64:$AK$99)*CalcE!$AA$64:$AA$99)+SUMPRODUCT((CalcE!$W$64:$W$99=F4)*(CalcE!$AJ$64:$AJ$99&lt;CalcE!$AK$64:$AK$99)*CalcE!$AA$64:$AA$99)</f>
        <v>1</v>
      </c>
      <c r="M4" s="1">
        <f ca="1">SUMPRODUCT((CalcE!$V$64:$W$99=F4)*(CalcE!$AJ$64:$AJ$99=CalcE!$AK$64:$AK$99)*CalcE!$AA$64:$AA$99)</f>
        <v>2</v>
      </c>
      <c r="N4" s="1">
        <f ca="1">K4-L4-M4</f>
        <v>0</v>
      </c>
      <c r="O4" s="821"/>
      <c r="P4" s="1">
        <f ca="1">SUMPRODUCT((CalcE!$V$64:$V$135=F4)*CalcE!$AK$64:$AK$135)+SUMPRODUCT((CalcE!$W$64:$W$135=F4)*CalcE!$AJ$64:$AJ$135)</f>
        <v>2</v>
      </c>
      <c r="Q4" s="1">
        <f ca="1">SUMPRODUCT((CalcE!$V$64:$V$135=F4)*CalcE!$AJ$64:$AJ$135)+SUMPRODUCT((CalcE!$W$64:$W$135=F4)*CalcE!$AK$64:$AK$135)</f>
        <v>4</v>
      </c>
      <c r="R4" s="1">
        <f ca="1">Q4-P4</f>
        <v>2</v>
      </c>
      <c r="S4" s="1">
        <f ca="1">IF(Einstellungen!$G$24,$I4,ROUND($I4,Einstellungen!$H$24))</f>
        <v>6</v>
      </c>
      <c r="T4" s="1">
        <f t="shared" ref="T4:T12" ca="1" si="0">I4-(F4="")*10000</f>
        <v>6</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822">
        <f t="shared" ref="D5:D12" ca="1" si="3">E5+ROW()/1000+(F5="")*10</f>
        <v>4.0049999999999999</v>
      </c>
      <c r="E5" s="249">
        <f t="shared" ref="E5:E12" ca="1" si="4">IF($AI$15,RANK(AH18,AH$17:AH$25,1),RANK(X18,X$17:X$25,1))</f>
        <v>4</v>
      </c>
      <c r="F5" s="1" t="str">
        <f ca="1">$C63</f>
        <v>SSV Wildbach</v>
      </c>
      <c r="G5" s="1">
        <f ca="1">SUMIFS(CalcE!$AH$64:$AH$135,CalcE!$V$64:$V$135,$F5)+SUMIFS(CalcE!$AI$64:$AI$135,CalcE!$W$64:$W$135,$F5)</f>
        <v>131</v>
      </c>
      <c r="H5" s="1">
        <f ca="1">SUMIFS(CalcE!$AI$64:$AI$135,CalcE!$V$64:$V$135,$F5)+SUMIFS(CalcE!$AH$64:$AH$135,CalcE!$W$64:$W$135,$F5)</f>
        <v>131</v>
      </c>
      <c r="I5" s="822">
        <f ca="1">IF(Einstellungen!$G$24,G5-H5,IF(H5=0,IF(G5=0,0,Einstellungen!$F$24),G5/H5))</f>
        <v>0</v>
      </c>
      <c r="J5" s="1">
        <f ca="1">$L5*Einstellungen!$C$4+$M5</f>
        <v>2</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2</v>
      </c>
      <c r="N5" s="1">
        <f t="shared" ref="N5:N12" ca="1" si="5">K5-L5-M5</f>
        <v>1</v>
      </c>
      <c r="O5" s="665"/>
      <c r="P5" s="1">
        <f ca="1">SUMPRODUCT((CalcE!$V$64:$V$135=F5)*CalcE!$AK$64:$AK$135)+SUMPRODUCT((CalcE!$W$64:$W$135=F5)*CalcE!$AJ$64:$AJ$135)</f>
        <v>4</v>
      </c>
      <c r="Q5" s="1">
        <f ca="1">SUMPRODUCT((CalcE!$V$64:$V$135=F5)*CalcE!$AJ$64:$AJ$135)+SUMPRODUCT((CalcE!$W$64:$W$135=F5)*CalcE!$AK$64:$AK$135)</f>
        <v>2</v>
      </c>
      <c r="R5" s="1">
        <f t="shared" ref="R5:R12" ca="1" si="6">Q5-P5</f>
        <v>-2</v>
      </c>
      <c r="S5" s="1">
        <f ca="1">IF(Einstellungen!$G$24,$I5,ROUND($I5,Einstellungen!$H$24))</f>
        <v>0</v>
      </c>
      <c r="T5" s="1">
        <f t="shared" ca="1" si="0"/>
        <v>0</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3.0059999999999998</v>
      </c>
      <c r="E6" s="249">
        <f t="shared" ca="1" si="4"/>
        <v>3</v>
      </c>
      <c r="F6" s="1" t="str">
        <f ca="1">$C64</f>
        <v>FSV Rauen</v>
      </c>
      <c r="G6" s="1">
        <f ca="1">SUMIFS(CalcE!$AH$64:$AH$135,CalcE!$V$64:$V$135,$F6)+SUMIFS(CalcE!$AI$64:$AI$135,CalcE!$W$64:$W$135,$F6)</f>
        <v>131</v>
      </c>
      <c r="H6" s="1">
        <f ca="1">SUMIFS(CalcE!$AI$64:$AI$135,CalcE!$V$64:$V$135,$F6)+SUMIFS(CalcE!$AH$64:$AH$135,CalcE!$W$64:$W$135,$F6)</f>
        <v>134</v>
      </c>
      <c r="I6" s="822">
        <f ca="1">IF(Einstellungen!$G$24,G6-H6,IF(H6=0,IF(G6=0,0,Einstellungen!$F$24),G6/H6))</f>
        <v>-3</v>
      </c>
      <c r="J6" s="1">
        <f ca="1">$L6*Einstellungen!$C$4+$M6</f>
        <v>3</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3</v>
      </c>
      <c r="N6" s="1">
        <f t="shared" ca="1" si="5"/>
        <v>0</v>
      </c>
      <c r="O6" s="665"/>
      <c r="P6" s="1">
        <f ca="1">SUMPRODUCT((CalcE!$V$64:$V$135=F6)*CalcE!$AK$64:$AK$135)+SUMPRODUCT((CalcE!$W$64:$W$135=F6)*CalcE!$AJ$64:$AJ$135)</f>
        <v>3</v>
      </c>
      <c r="Q6" s="1">
        <f ca="1">SUMPRODUCT((CalcE!$V$64:$V$135=F6)*CalcE!$AJ$64:$AJ$135)+SUMPRODUCT((CalcE!$W$64:$W$135=F6)*CalcE!$AK$64:$AK$135)</f>
        <v>3</v>
      </c>
      <c r="R6" s="1">
        <f t="shared" ca="1" si="6"/>
        <v>0</v>
      </c>
      <c r="S6" s="1">
        <f ca="1">IF(Einstellungen!$G$24,$I6,ROUND($I6,Einstellungen!$H$24))</f>
        <v>-3</v>
      </c>
      <c r="T6" s="1">
        <f t="shared" ca="1" si="0"/>
        <v>-3</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2</v>
      </c>
      <c r="D7" s="822">
        <f t="shared" ca="1" si="3"/>
        <v>2.0070000000000001</v>
      </c>
      <c r="E7" s="249">
        <f t="shared" ca="1" si="4"/>
        <v>2</v>
      </c>
      <c r="F7" s="1" t="str">
        <f ca="1">$C65</f>
        <v>HSV</v>
      </c>
      <c r="G7" s="1">
        <f ca="1">SUMIFS(CalcE!$AH$64:$AH$135,CalcE!$V$64:$V$135,$F7)+SUMIFS(CalcE!$AI$64:$AI$135,CalcE!$W$64:$W$135,$F7)</f>
        <v>131</v>
      </c>
      <c r="H7" s="1">
        <f ca="1">SUMIFS(CalcE!$AI$64:$AI$135,CalcE!$V$64:$V$135,$F7)+SUMIFS(CalcE!$AH$64:$AH$135,CalcE!$W$64:$W$135,$F7)</f>
        <v>134</v>
      </c>
      <c r="I7" s="822">
        <f ca="1">IF(Einstellungen!$G$24,G7-H7,IF(H7=0,IF(G7=0,0,Einstellungen!$F$24),G7/H7))</f>
        <v>-3</v>
      </c>
      <c r="J7" s="1">
        <f ca="1">$L7*Einstellungen!$C$4+$M7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IF(Einstellungen!$G$24,$I7,ROUND($I7,Einstellungen!$H$24))</f>
        <v>-3</v>
      </c>
      <c r="T7" s="1">
        <f t="shared" ca="1" si="0"/>
        <v>-3</v>
      </c>
      <c r="U7" s="1">
        <f t="shared" ca="1" si="1"/>
        <v>6</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VFB Essenheim</v>
      </c>
      <c r="D17" s="1">
        <f t="shared" ref="D17:G20" ca="1" si="7">K4</f>
        <v>3</v>
      </c>
      <c r="E17" s="1">
        <f t="shared" ca="1" si="7"/>
        <v>1</v>
      </c>
      <c r="F17" s="1">
        <f t="shared" ca="1" si="7"/>
        <v>2</v>
      </c>
      <c r="G17" s="1">
        <f t="shared" ca="1" si="7"/>
        <v>0</v>
      </c>
      <c r="H17" s="1">
        <f t="shared" ref="H17:J20" ca="1" si="8">G4</f>
        <v>140</v>
      </c>
      <c r="I17" s="1">
        <f t="shared" ca="1" si="8"/>
        <v>134</v>
      </c>
      <c r="J17" s="822">
        <f t="shared" ca="1" si="8"/>
        <v>6</v>
      </c>
      <c r="K17" s="1">
        <f ca="1">IF(Einstellungen!$G$9,J4,$Q4)</f>
        <v>4</v>
      </c>
      <c r="L17" s="29">
        <f ca="1">K17*CalcE!$F$64+(R4+CalcE!$H$65)*CalcE!$F$65*Einstellungen!$G$14+Q4*CalcE!$F$66*Einstellungen!$G$19+U4*CalcE!$F$67</f>
        <v>4000000.0090000001</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1.0308999999999999</v>
      </c>
      <c r="Y17" s="822">
        <f ca="1">'Endrunde 4'!$AS26+$AD17</f>
        <v>0</v>
      </c>
      <c r="Z17" s="1">
        <f ca="1">RANK($W17,$W$17:$W$25)+(9-$Y17)/10</f>
        <v>3.9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SSV Wildbach</v>
      </c>
      <c r="D18" s="1">
        <f t="shared" ca="1" si="7"/>
        <v>3</v>
      </c>
      <c r="E18" s="1">
        <f t="shared" ca="1" si="7"/>
        <v>0</v>
      </c>
      <c r="F18" s="1">
        <f t="shared" ca="1" si="7"/>
        <v>2</v>
      </c>
      <c r="G18" s="1">
        <f t="shared" ca="1" si="7"/>
        <v>1</v>
      </c>
      <c r="H18" s="1">
        <f t="shared" ca="1" si="8"/>
        <v>131</v>
      </c>
      <c r="I18" s="1">
        <f t="shared" ca="1" si="8"/>
        <v>131</v>
      </c>
      <c r="J18" s="822">
        <f t="shared" ca="1" si="8"/>
        <v>0</v>
      </c>
      <c r="K18" s="1">
        <f ca="1">IF(Einstellungen!$G$9,J5,$Q5)</f>
        <v>2</v>
      </c>
      <c r="L18" s="29">
        <f ca="1">K18*CalcE!$F$64+(R5+CalcE!$H$65)*CalcE!$F$65*Einstellungen!$G$14+Q5*CalcE!$F$66*Einstellungen!$G$19+U5*CalcE!$F$67</f>
        <v>2000000.0079999999</v>
      </c>
      <c r="M18" s="14">
        <f t="shared" ref="M18:M25" ca="1" si="17">IF($AI$15,COUNTIF($K$17:$K$25,K18),COUNTIF($L$17:$L$25,L18))</f>
        <v>1</v>
      </c>
      <c r="N18" s="14">
        <f t="array" aca="1" ref="N18" ca="1">IF($AI$15,SUM(($K$17:$K$25&gt;=K18)/COUNTIF($K$17:$K$25,$K$17:$K$25)),SUM(($L$17:$L$25&gt;=L18)/COUNTIF($L$17:$L$25,$L$17:$L$25)))</f>
        <v>3</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4.0308999999999999</v>
      </c>
      <c r="Y18" s="827">
        <f ca="1">'Endrunde 4'!$AS27+$AD18</f>
        <v>0</v>
      </c>
      <c r="Z18" s="1">
        <f t="shared" ref="Z18:Z25" ca="1" si="19">RANK($W18,$W$17:$W$25)+(9-$Y18)/10</f>
        <v>3.9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FSV Rauen</v>
      </c>
      <c r="D19" s="1">
        <f t="shared" ca="1" si="7"/>
        <v>3</v>
      </c>
      <c r="E19" s="1">
        <f t="shared" ca="1" si="7"/>
        <v>0</v>
      </c>
      <c r="F19" s="1">
        <f t="shared" ca="1" si="7"/>
        <v>3</v>
      </c>
      <c r="G19" s="1">
        <f t="shared" ca="1" si="7"/>
        <v>0</v>
      </c>
      <c r="H19" s="1">
        <f t="shared" ca="1" si="8"/>
        <v>131</v>
      </c>
      <c r="I19" s="1">
        <f t="shared" ca="1" si="8"/>
        <v>134</v>
      </c>
      <c r="J19" s="822">
        <f t="shared" ca="1" si="8"/>
        <v>-3</v>
      </c>
      <c r="K19" s="1">
        <f ca="1">IF(Einstellungen!$G$9,J6,$Q6)</f>
        <v>3</v>
      </c>
      <c r="L19" s="29">
        <f ca="1">K19*CalcE!$F$64+(R6+CalcE!$H$65)*CalcE!$F$65*Einstellungen!$G$14+Q6*CalcE!$F$66*Einstellungen!$G$19+U6*CalcE!$F$67</f>
        <v>3000000.0060000001</v>
      </c>
      <c r="M19" s="14">
        <f t="shared" ca="1" si="17"/>
        <v>2</v>
      </c>
      <c r="N19" s="14">
        <f t="array" aca="1" ref="N19" ca="1">IF($AI$15,SUM(($K$17:$K$25&gt;=K19)/COUNTIF($K$17:$K$25,$K$17:$K$25)),SUM(($L$17:$L$25&gt;=L19)/COUNTIF($L$17:$L$25,$L$17:$L$25)))</f>
        <v>2</v>
      </c>
      <c r="O19" s="6" t="str">
        <f t="shared" ca="1" si="9"/>
        <v/>
      </c>
      <c r="P19" s="4" t="str">
        <f t="shared" ca="1" si="10"/>
        <v>FSV Rauen</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1499000</v>
      </c>
      <c r="X19" s="22">
        <f t="shared" ca="1" si="18"/>
        <v>2.0209000000000001</v>
      </c>
      <c r="Y19" s="827">
        <f ca="1">'Endrunde 4'!$AS28+$AD19</f>
        <v>0</v>
      </c>
      <c r="Z19" s="1">
        <f t="shared" ca="1" si="19"/>
        <v>2.9</v>
      </c>
      <c r="AA19" s="1">
        <f t="shared" ca="1" si="20"/>
        <v>1</v>
      </c>
      <c r="AB19" s="1">
        <f t="shared" ca="1" si="21"/>
        <v>-1</v>
      </c>
      <c r="AC19" s="1"/>
      <c r="AD19" s="822">
        <f ca="1">IF($C19="",0,COUNTIF(Playoffs!$U$25:$U$30,$C19))</f>
        <v>0</v>
      </c>
      <c r="AE19" s="29"/>
      <c r="AF19" s="822"/>
      <c r="AG19" s="822"/>
      <c r="AH19" s="781"/>
      <c r="AI19" s="822"/>
    </row>
    <row r="20" spans="2:80" s="2" customFormat="1" x14ac:dyDescent="0.2">
      <c r="C20" s="2" t="str">
        <f ca="1">$C65</f>
        <v>HSV</v>
      </c>
      <c r="D20" s="1">
        <f t="shared" ca="1" si="7"/>
        <v>3</v>
      </c>
      <c r="E20" s="1">
        <f t="shared" ca="1" si="7"/>
        <v>0</v>
      </c>
      <c r="F20" s="1">
        <f t="shared" ca="1" si="7"/>
        <v>3</v>
      </c>
      <c r="G20" s="1">
        <f t="shared" ca="1" si="7"/>
        <v>0</v>
      </c>
      <c r="H20" s="1">
        <f t="shared" ca="1" si="8"/>
        <v>131</v>
      </c>
      <c r="I20" s="1">
        <f t="shared" ca="1" si="8"/>
        <v>134</v>
      </c>
      <c r="J20" s="822">
        <f t="shared" ca="1" si="8"/>
        <v>-3</v>
      </c>
      <c r="K20" s="1">
        <f ca="1">IF(Einstellungen!$G$9,J7,$Q7)</f>
        <v>3</v>
      </c>
      <c r="L20" s="29">
        <f ca="1">K20*CalcE!$F$64+(R7+CalcE!$H$65)*CalcE!$F$65*Einstellungen!$G$14+Q7*CalcE!$F$66*Einstellungen!$G$19+U7*CalcE!$F$67</f>
        <v>3000000.0060000001</v>
      </c>
      <c r="M20" s="14">
        <f t="shared" ca="1" si="17"/>
        <v>2</v>
      </c>
      <c r="N20" s="14">
        <f t="array" aca="1" ref="N20" ca="1">IF($AI$15,SUM(($K$17:$K$25&gt;=K20)/COUNTIF($K$17:$K$25,$K$17:$K$25)),SUM(($L$17:$L$25&gt;=L20)/COUNTIF($L$17:$L$25,$L$17:$L$25)))</f>
        <v>2</v>
      </c>
      <c r="O20" s="6" t="str">
        <f t="shared" ca="1" si="9"/>
        <v/>
      </c>
      <c r="P20" s="4" t="str">
        <f t="shared" ca="1" si="10"/>
        <v>HSV</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1501000</v>
      </c>
      <c r="X20" s="22">
        <f t="shared" ca="1" si="18"/>
        <v>2.0108999999999999</v>
      </c>
      <c r="Y20" s="827">
        <f ca="1">'Endrunde 4'!$AS29+$AD20</f>
        <v>0</v>
      </c>
      <c r="Z20" s="1">
        <f t="shared" ca="1" si="19"/>
        <v>1.9</v>
      </c>
      <c r="AA20" s="1">
        <f t="shared" ca="1" si="20"/>
        <v>1</v>
      </c>
      <c r="AB20" s="1">
        <f t="shared" ca="1" si="21"/>
        <v>1</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IF(Einstellungen!$G$9,J8,$Q8)</f>
        <v>0</v>
      </c>
      <c r="L21" s="29">
        <f ca="1">K21*CalcE!$F$64+(R8+CalcE!$H$65)*CalcE!$F$65*Einstellungen!$G$14+Q8*CalcE!$F$66*Einstellungen!$G$19+U8*CalcE!$F$67</f>
        <v>1E-3</v>
      </c>
      <c r="M21" s="14">
        <f t="shared" ca="1" si="17"/>
        <v>5</v>
      </c>
      <c r="N21" s="14">
        <f t="array" aca="1" ref="N21" ca="1">IF($AI$15,SUM(($K$17:$K$25&gt;=K21)/COUNTIF($K$17:$K$25,$K$17:$K$25)),SUM(($L$17:$L$25&gt;=L21)/COUNTIF($L$17:$L$25,$L$17:$L$25)))</f>
        <v>4.0000000000000009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IF(Einstellungen!$G$9,J9,$Q9)</f>
        <v>0</v>
      </c>
      <c r="L22" s="29">
        <f ca="1">K22*CalcE!$F$64+(R9+CalcE!$H$65)*CalcE!$F$65*Einstellungen!$G$14+Q9*CalcE!$F$66*Einstellungen!$G$19+U9*CalcE!$F$67</f>
        <v>1E-3</v>
      </c>
      <c r="M22" s="14">
        <f t="shared" ca="1" si="17"/>
        <v>5</v>
      </c>
      <c r="N22" s="14">
        <f t="array" aca="1" ref="N22" ca="1">IF($AI$15,SUM(($K$17:$K$25&gt;=K22)/COUNTIF($K$17:$K$25,$K$17:$K$25)),SUM(($L$17:$L$25&gt;=L22)/COUNTIF($L$17:$L$25,$L$17:$L$25)))</f>
        <v>4.0000000000000009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IF(Einstellungen!$G$9,J10,$Q10)</f>
        <v>0</v>
      </c>
      <c r="L23" s="29">
        <f ca="1">K23*CalcE!$F$64+(R10+CalcE!$H$65)*CalcE!$F$65*Einstellungen!$G$14+Q10*CalcE!$F$66*Einstellungen!$G$19+U10*CalcE!$F$67</f>
        <v>1E-3</v>
      </c>
      <c r="M23" s="14">
        <f t="shared" ca="1" si="17"/>
        <v>5</v>
      </c>
      <c r="N23" s="14">
        <f t="array" aca="1" ref="N23" ca="1">IF($AI$15,SUM(($K$17:$K$25&gt;=K23)/COUNTIF($K$17:$K$25,$K$17:$K$25)),SUM(($L$17:$L$25&gt;=L23)/COUNTIF($L$17:$L$25,$L$17:$L$25)))</f>
        <v>4.0000000000000009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IF(Einstellungen!$G$9,J11,$Q11)</f>
        <v>0</v>
      </c>
      <c r="L24" s="29">
        <f ca="1">K24*CalcE!$F$64+(R11+CalcE!$H$65)*CalcE!$F$65*Einstellungen!$G$14+Q11*CalcE!$F$66*Einstellungen!$G$19+U11*CalcE!$F$67</f>
        <v>1E-3</v>
      </c>
      <c r="M24" s="14">
        <f t="shared" ca="1" si="17"/>
        <v>5</v>
      </c>
      <c r="N24" s="14">
        <f t="array" aca="1" ref="N24" ca="1">IF($AI$15,SUM(($K$17:$K$25&gt;=K24)/COUNTIF($K$17:$K$25,$K$17:$K$25)),SUM(($L$17:$L$25&gt;=L24)/COUNTIF($L$17:$L$25,$L$17:$L$25)))</f>
        <v>4.0000000000000009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IF(Einstellungen!$G$9,J12,$Q12)</f>
        <v>0</v>
      </c>
      <c r="L25" s="29">
        <f ca="1">K25*CalcE!$F$64+(R12+CalcE!$H$65)*CalcE!$F$65*Einstellungen!$G$14+Q12*CalcE!$F$66*Einstellungen!$G$19+U12*CalcE!$F$67</f>
        <v>1E-3</v>
      </c>
      <c r="M25" s="14">
        <f t="shared" ca="1" si="17"/>
        <v>5</v>
      </c>
      <c r="N25" s="14">
        <f t="array" aca="1" ref="N25" ca="1">IF($AI$15,SUM(($K$17:$K$25&gt;=K25)/COUNTIF($K$17:$K$25,$K$17:$K$25)),SUM(($L$17:$L$25&gt;=L25)/COUNTIF($L$17:$L$25,$L$17:$L$25)))</f>
        <v>4.0000000000000009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822"/>
      <c r="BR29" s="5" t="s">
        <v>94</v>
      </c>
      <c r="BS29" s="2" t="str">
        <f ca="1">$F$4</f>
        <v>VFB Essenheim</v>
      </c>
      <c r="BT29" s="2" t="str">
        <f ca="1">$F$5</f>
        <v>SSV Wildbach</v>
      </c>
      <c r="BU29" s="2" t="str">
        <f ca="1">$F$6</f>
        <v>FSV Rauen</v>
      </c>
      <c r="BV29" s="2" t="str">
        <f ca="1">$F$7</f>
        <v>HSV</v>
      </c>
      <c r="BW29" s="2" t="str">
        <f>$F$8</f>
        <v/>
      </c>
      <c r="BX29" s="2" t="str">
        <f>$F$9</f>
        <v/>
      </c>
      <c r="BY29" s="2" t="str">
        <f>$F$10</f>
        <v/>
      </c>
      <c r="BZ29" s="2" t="str">
        <f>$F$11</f>
        <v/>
      </c>
      <c r="CA29" s="2" t="str">
        <f>$F$12</f>
        <v/>
      </c>
      <c r="CB29" s="51"/>
    </row>
    <row r="30" spans="2:80" s="2" customFormat="1" x14ac:dyDescent="0.2">
      <c r="C30" s="2" t="str">
        <f ca="1">$C62</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VFB Essenheim</v>
      </c>
      <c r="BS30" s="7"/>
      <c r="BT30" s="8">
        <f ca="1">SUMIFS(CalcE!$AH$64:$AH$99,CalcE!$V$64:$V$99,$BR30,CalcE!$W$64:$W$99,BT$29)+SUMIFS(CalcE!$AI$64:$AI$99,CalcE!$W$64:$W$99,$BR30,CalcE!$V$64:$V$99,BT$29)</f>
        <v>50</v>
      </c>
      <c r="BU30" s="8">
        <f ca="1">SUMIFS(CalcE!$AH$64:$AH$99,CalcE!$V$64:$V$99,$BR30,CalcE!$W$64:$W$99,BU$29)+SUMIFS(CalcE!$AI$64:$AI$99,CalcE!$W$64:$W$99,$BR30,CalcE!$V$64:$V$99,BU$29)</f>
        <v>46</v>
      </c>
      <c r="BV30" s="8">
        <f ca="1">SUMIFS(CalcE!$AH$64:$AH$99,CalcE!$V$64:$V$99,$BR30,CalcE!$W$64:$W$99,BV$29)+SUMIFS(CalcE!$AI$64:$AI$99,CalcE!$W$64:$W$99,$BR30,CalcE!$V$64:$V$99,BV$29)</f>
        <v>44</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SSV Wildbach</v>
      </c>
      <c r="BS31" s="9">
        <f ca="1">SUMIFS(CalcE!$AH$64:$AH$99,CalcE!$V$64:$V$99,$BR31,CalcE!$W$64:$W$99,BS$29)+SUMIFS(CalcE!$AI$64:$AI$99,CalcE!$W$64:$W$99,$BR31,CalcE!$V$64:$V$99,BS$29)</f>
        <v>44</v>
      </c>
      <c r="BT31" s="7"/>
      <c r="BU31" s="8">
        <f ca="1">SUMIFS(CalcE!$AH$64:$AH$99,CalcE!$V$64:$V$99,$BR31,CalcE!$W$64:$W$99,BU$29)+SUMIFS(CalcE!$AI$64:$AI$99,CalcE!$W$64:$W$99,$BR31,CalcE!$V$64:$V$99,BU$29)</f>
        <v>42</v>
      </c>
      <c r="BV31" s="8">
        <f ca="1">SUMIFS(CalcE!$AH$64:$AH$99,CalcE!$V$64:$V$99,$BR31,CalcE!$W$64:$W$99,BV$29)+SUMIFS(CalcE!$AI$64:$AI$99,CalcE!$W$64:$W$99,$BR31,CalcE!$V$64:$V$99,BV$29)</f>
        <v>45</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1</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FSV Rauen</v>
      </c>
      <c r="BS32" s="9">
        <f ca="1">SUMIFS(CalcE!$AH$64:$AH$99,CalcE!$V$64:$V$99,$BR32,CalcE!$W$64:$W$99,BS$29)+SUMIFS(CalcE!$AI$64:$AI$99,CalcE!$W$64:$W$99,$BR32,CalcE!$V$64:$V$99,BS$29)</f>
        <v>43</v>
      </c>
      <c r="BT32" s="9">
        <f ca="1">SUMIFS(CalcE!$AH$64:$AH$99,CalcE!$V$64:$V$99,$BR32,CalcE!$W$64:$W$99,BT$29)+SUMIFS(CalcE!$AI$64:$AI$99,CalcE!$W$64:$W$99,$BR32,CalcE!$V$64:$V$99,BT$29)</f>
        <v>43</v>
      </c>
      <c r="BU32" s="7"/>
      <c r="BV32" s="8">
        <f ca="1">SUMIFS(CalcE!$AH$64:$AH$99,CalcE!$V$64:$V$99,$BR32,CalcE!$W$64:$W$99,BV$29)+SUMIFS(CalcE!$AI$64:$AI$99,CalcE!$W$64:$W$99,$BR32,CalcE!$V$64:$V$99,BV$29)</f>
        <v>45</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HSV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1</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HSV</v>
      </c>
      <c r="BS33" s="9">
        <f ca="1">SUMIFS(CalcE!$AH$64:$AH$99,CalcE!$V$64:$V$99,$BR33,CalcE!$W$64:$W$99,BS$29)+SUMIFS(CalcE!$AI$64:$AI$99,CalcE!$W$64:$W$99,$BR33,CalcE!$V$64:$V$99,BS$29)</f>
        <v>47</v>
      </c>
      <c r="BT33" s="9">
        <f ca="1">SUMIFS(CalcE!$AH$64:$AH$99,CalcE!$V$64:$V$99,$BR33,CalcE!$W$64:$W$99,BT$29)+SUMIFS(CalcE!$AI$64:$AI$99,CalcE!$W$64:$W$99,$BR33,CalcE!$V$64:$V$99,BT$29)</f>
        <v>38</v>
      </c>
      <c r="BU33" s="9">
        <f ca="1">SUMIFS(CalcE!$AH$64:$AH$99,CalcE!$V$64:$V$99,$BR33,CalcE!$W$64:$W$99,BU$29)+SUMIFS(CalcE!$AI$64:$AI$99,CalcE!$W$64:$W$99,$BR33,CalcE!$V$64:$V$99,BU$29)</f>
        <v>46</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VFB Essenheim</v>
      </c>
      <c r="BT40" s="2" t="str">
        <f ca="1">$F$5</f>
        <v>SSV Wildbach</v>
      </c>
      <c r="BU40" s="2" t="str">
        <f ca="1">$F$6</f>
        <v>FSV Rauen</v>
      </c>
      <c r="BV40" s="2" t="str">
        <f ca="1">$F$7</f>
        <v>HSV</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VFB Essenheim</v>
      </c>
      <c r="BS41" s="7"/>
      <c r="BT41" s="8">
        <f ca="1">BT30-BS31</f>
        <v>6</v>
      </c>
      <c r="BU41" s="8">
        <f ca="1">BU30-BS32</f>
        <v>3</v>
      </c>
      <c r="BV41" s="8">
        <f ca="1">BV30-BS33</f>
        <v>-3</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SSV Wildbach</v>
      </c>
      <c r="BS42" s="9">
        <f ca="1">IF(BT41="","",-1*BT41)</f>
        <v>-6</v>
      </c>
      <c r="BT42" s="7"/>
      <c r="BU42" s="8">
        <f ca="1">BU31-BT32</f>
        <v>-1</v>
      </c>
      <c r="BV42" s="8">
        <f ca="1">BV31-BT33</f>
        <v>7</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-1</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FSV Rauen</v>
      </c>
      <c r="BS43" s="9">
        <f ca="1">IF(BU41="","",-1*BU41)</f>
        <v>-3</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1</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HSV</v>
      </c>
      <c r="BS44" s="9">
        <f ca="1">IF(BV41="","",-1*BV41)</f>
        <v>3</v>
      </c>
      <c r="BT44" s="9">
        <f ca="1">IF(BV42="","",-1*BV42)</f>
        <v>-7</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VFB Essenheim</v>
      </c>
      <c r="BT51" s="2" t="str">
        <f ca="1">$F$5</f>
        <v>SSV Wildbach</v>
      </c>
      <c r="BU51" s="2" t="str">
        <f ca="1">$F$6</f>
        <v>FSV Rauen</v>
      </c>
      <c r="BV51" s="2" t="str">
        <f ca="1">$F$7</f>
        <v>HSV</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VFB Essenheim</v>
      </c>
      <c r="BS52" s="7"/>
      <c r="BT52" s="8">
        <f ca="1">SUMIFS(CalcE!$AJ$64:$AJ$99,CalcE!$V$64:$V$99,$BR52,CalcE!$W$64:$W$99,BT$51)+SUMIFS(CalcE!$AK$64:$AK$99,CalcE!$W$64:$W$99,$BR52,CalcE!$V$64:$V$99,BT$51)</f>
        <v>2</v>
      </c>
      <c r="BU52" s="8">
        <f ca="1">SUMIFS(CalcE!$AJ$64:$AJ$99,CalcE!$V$64:$V$99,$BR52,CalcE!$W$64:$W$99,BU$51)+SUMIFS(CalcE!$AK$64:$AK$99,CalcE!$W$64:$W$99,$BR52,CalcE!$V$64:$V$99,BU$51)</f>
        <v>1</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SSV Wildbach</v>
      </c>
      <c r="BS53" s="9">
        <f ca="1">SUMIFS(CalcE!$AJ$64:$AJ$99,CalcE!$V$64:$V$99,$BR53,CalcE!$W$64:$W$99,BS$51)+SUMIFS(CalcE!$AK$64:$AK$99,CalcE!$W$64:$W$99,$BR53,CalcE!$V$64:$V$99,BS$51)</f>
        <v>0</v>
      </c>
      <c r="BT53" s="7"/>
      <c r="BU53" s="8">
        <f ca="1">SUMIFS(CalcE!$AJ$64:$AJ$99,CalcE!$V$64:$V$99,$BR53,CalcE!$W$64:$W$99,BU$51)+SUMIFS(CalcE!$AK$64:$AK$99,CalcE!$W$64:$W$99,$BR53,CalcE!$V$64:$V$99,BU$51)</f>
        <v>1</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FSV Rauen</v>
      </c>
      <c r="BS54" s="9">
        <f ca="1">SUMIFS(CalcE!$AJ$64:$AJ$99,CalcE!$V$64:$V$99,$BR54,CalcE!$W$64:$W$99,BS$51)+SUMIFS(CalcE!$AK$64:$AK$99,CalcE!$W$64:$W$99,$BR54,CalcE!$V$64:$V$99,BS$51)</f>
        <v>1</v>
      </c>
      <c r="BT54" s="9">
        <f ca="1">SUMIFS(CalcE!$AJ$64:$AJ$99,CalcE!$V$64:$V$99,$BR54,CalcE!$W$64:$W$99,BT$51)+SUMIFS(CalcE!$AK$64:$AK$99,CalcE!$W$64:$W$99,$BR54,CalcE!$V$64:$V$99,BT$51)</f>
        <v>1</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HSV</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4'!$AQ26="","",'Endrunde 4'!$AQ26)</f>
        <v>VFB Essenheim</v>
      </c>
      <c r="D62" s="1039"/>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40" t="str">
        <f ca="1">IF('Endrunde 4'!$AQ27="","",'Endrunde 4'!$AQ27)</f>
        <v>SSV Wildbach</v>
      </c>
      <c r="D63" s="1041"/>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40" t="str">
        <f ca="1">IF('Endrunde 4'!$AQ28="","",'Endrunde 4'!$AQ28)</f>
        <v>FSV Rauen</v>
      </c>
      <c r="D64" s="1041"/>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42" t="str">
        <f ca="1">IF('Endrunde 4'!$AQ29="","",'Endrunde 4'!$AQ29)</f>
        <v>HSV</v>
      </c>
      <c r="D65" s="1043"/>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C62:D62"/>
    <mergeCell ref="C63:D63"/>
    <mergeCell ref="C64:D64"/>
    <mergeCell ref="C65:D65"/>
    <mergeCell ref="AS29:AZ29"/>
    <mergeCell ref="E29:L29"/>
    <mergeCell ref="M29:T29"/>
    <mergeCell ref="BA29:BH29"/>
    <mergeCell ref="BI29:BP29"/>
    <mergeCell ref="W3:AA3"/>
    <mergeCell ref="AB3:AF3"/>
    <mergeCell ref="AG3:AK3"/>
    <mergeCell ref="AL3:AP3"/>
    <mergeCell ref="AD15:AH15"/>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8" width="6.42578125" style="10" customWidth="1"/>
    <col min="9" max="9" width="9.140625" style="10" customWidth="1"/>
    <col min="10" max="10" width="8.28515625" style="10" customWidth="1"/>
    <col min="11" max="11" width="11.8554687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9.140625" style="10" customWidth="1"/>
    <col min="18" max="18" width="8" style="10" customWidth="1"/>
    <col min="19" max="19" width="7.42578125" style="10" customWidth="1"/>
    <col min="20" max="20" width="8.85546875" style="10" customWidth="1"/>
    <col min="21" max="21" width="5.7109375" style="10" customWidth="1"/>
    <col min="22" max="22" width="9.5703125" style="10" customWidth="1"/>
    <col min="23" max="23" width="21.140625" style="10" customWidth="1"/>
    <col min="24" max="24" width="13" style="10" customWidth="1"/>
    <col min="25" max="25" width="7.140625" style="10" customWidth="1"/>
    <col min="26" max="26" width="14.42578125" style="10" customWidth="1"/>
    <col min="27" max="27" width="8.7109375" style="10" customWidth="1"/>
    <col min="28" max="29" width="8.8554687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8.28515625" style="10" customWidth="1"/>
    <col min="47" max="47" width="8.7109375" style="10" customWidth="1"/>
    <col min="48" max="48" width="7.42578125" style="10" customWidth="1"/>
    <col min="49" max="49" width="9.5703125" style="10" customWidth="1"/>
    <col min="50" max="69" width="4.7109375" style="10" customWidth="1"/>
    <col min="70" max="80" width="6.7109375" style="10" customWidth="1"/>
    <col min="81" max="16384" width="2.7109375" style="10"/>
  </cols>
  <sheetData>
    <row r="1" spans="1:42" s="2" customFormat="1" x14ac:dyDescent="0.2"/>
    <row r="2" spans="1:42" s="2" customFormat="1" x14ac:dyDescent="0.2">
      <c r="B2" s="674"/>
      <c r="C2" s="674"/>
      <c r="D2" s="674"/>
      <c r="E2" s="674"/>
      <c r="F2" s="1"/>
      <c r="G2" s="1"/>
      <c r="H2" s="1"/>
      <c r="I2" s="1"/>
      <c r="J2" s="1"/>
      <c r="K2" s="1"/>
      <c r="L2" s="1"/>
      <c r="M2" s="1"/>
      <c r="N2" s="674"/>
      <c r="O2" s="1"/>
      <c r="P2" s="1"/>
      <c r="Q2" s="1"/>
      <c r="S2" s="160" t="s">
        <v>457</v>
      </c>
    </row>
    <row r="3" spans="1:42" s="2" customFormat="1" ht="13.5" customHeight="1" thickBot="1" x14ac:dyDescent="0.25">
      <c r="B3" s="1"/>
      <c r="C3" s="674"/>
      <c r="D3" s="674"/>
      <c r="E3" s="674"/>
      <c r="F3" s="674"/>
      <c r="G3" s="69" t="s">
        <v>106</v>
      </c>
      <c r="H3" s="69" t="s">
        <v>107</v>
      </c>
      <c r="I3" s="672" t="s">
        <v>446</v>
      </c>
      <c r="J3" s="27" t="s">
        <v>109</v>
      </c>
      <c r="K3" s="672" t="s">
        <v>102</v>
      </c>
      <c r="L3" s="27" t="s">
        <v>103</v>
      </c>
      <c r="M3" s="27" t="s">
        <v>104</v>
      </c>
      <c r="N3" s="27" t="s">
        <v>105</v>
      </c>
      <c r="O3" s="674"/>
      <c r="P3" s="27" t="s">
        <v>415</v>
      </c>
      <c r="Q3" s="27" t="s">
        <v>371</v>
      </c>
      <c r="R3" s="27" t="s">
        <v>448</v>
      </c>
      <c r="S3" s="27" t="s">
        <v>414</v>
      </c>
      <c r="T3" s="27"/>
      <c r="U3" s="27" t="s">
        <v>449</v>
      </c>
      <c r="V3" s="674"/>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2</v>
      </c>
      <c r="D4" s="674">
        <f ca="1">E4+ROW()/1000+(F4="")*10</f>
        <v>2.004</v>
      </c>
      <c r="E4" s="249">
        <f ca="1">IF($AI$15,RANK(AH17,AH$17:AH$25,1),RANK(X17,X$17:X$25,1))</f>
        <v>2</v>
      </c>
      <c r="F4" s="1" t="str">
        <f ca="1">$C62</f>
        <v>Maibach 1822 eV</v>
      </c>
      <c r="G4" s="1">
        <f ca="1">SUMIFS(CalcE!$AH$64:$AH$135,CalcE!$V$64:$V$135,$F4)+SUMIFS(CalcE!$AI$64:$AI$135,CalcE!$W$64:$W$135,$F4)</f>
        <v>152</v>
      </c>
      <c r="H4" s="1">
        <f ca="1">SUMIFS(CalcE!$AI$64:$AI$135,CalcE!$V$64:$V$135,$F4)+SUMIFS(CalcE!$AH$64:$AH$135,CalcE!$W$64:$W$135,$F4)</f>
        <v>155</v>
      </c>
      <c r="I4" s="674">
        <f ca="1">IF(Einstellungen!$G$24,G4-H4,IF(H4=0,IF(G4=0,0,Einstellungen!$F$24),G4/H4))</f>
        <v>-3</v>
      </c>
      <c r="J4" s="1">
        <f ca="1">$L4*Einstellungen!$C$4+$M4</f>
        <v>4</v>
      </c>
      <c r="K4" s="1">
        <f ca="1">SUMPRODUCT((CalcE!$V$64:$V$99=F4)*(CalcE!$AJ$64:$AJ$99&lt;&gt;"")*CalcE!$AA$64:$AA$99)+SUMPRODUCT((CalcE!$W$64:$W$99=F4)*(CalcE!$AK$64:$AK$99&lt;&gt;"")*CalcE!$AA$64:$AA$99)</f>
        <v>3</v>
      </c>
      <c r="L4" s="1">
        <f ca="1">SUMPRODUCT((CalcE!$V$64:$V$99=F4)*(CalcE!$AJ$64:$AJ$99&gt;CalcE!$AK$64:$AK$99)*CalcE!$AA$64:$AA$99)+SUMPRODUCT((CalcE!$W$64:$W$99=F4)*(CalcE!$AJ$64:$AJ$99&lt;CalcE!$AK$64:$AK$99)*CalcE!$AA$64:$AA$99)</f>
        <v>1</v>
      </c>
      <c r="M4" s="1">
        <f ca="1">SUMPRODUCT((CalcE!$V$64:$W$99=F4)*(CalcE!$AJ$64:$AJ$99=CalcE!$AK$64:$AK$99)*CalcE!$AA$64:$AA$99)</f>
        <v>2</v>
      </c>
      <c r="N4" s="1">
        <f ca="1">K4-L4-M4</f>
        <v>0</v>
      </c>
      <c r="O4" s="673"/>
      <c r="P4" s="1">
        <f ca="1">SUMPRODUCT((CalcE!$V$64:$V$135=F4)*CalcE!$AK$64:$AK$135)+SUMPRODUCT((CalcE!$W$64:$W$135=F4)*CalcE!$AJ$64:$AJ$135)</f>
        <v>3</v>
      </c>
      <c r="Q4" s="1">
        <f ca="1">SUMPRODUCT((CalcE!$V$64:$V$135=F4)*CalcE!$AJ$64:$AJ$135)+SUMPRODUCT((CalcE!$W$64:$W$135=F4)*CalcE!$AK$64:$AK$135)</f>
        <v>4</v>
      </c>
      <c r="R4" s="1">
        <f ca="1">Q4-P4</f>
        <v>1</v>
      </c>
      <c r="S4" s="1">
        <f ca="1">IF(Einstellungen!$G$24,$I4,ROUND($I4,Einstellungen!$H$24))</f>
        <v>-3</v>
      </c>
      <c r="T4" s="1">
        <f t="shared" ref="T4:T12" ca="1" si="0">I4-(F4="")*10000</f>
        <v>-3</v>
      </c>
      <c r="U4" s="1">
        <f t="shared" ref="U4:U12" ca="1" si="1" xml:space="preserve"> RANK(T4,$T$4:$T$12,1)</f>
        <v>7</v>
      </c>
      <c r="V4" s="674"/>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674">
        <f t="shared" ref="D5:D12" ca="1" si="3">E5+ROW()/1000+(F5="")*10</f>
        <v>4.0049999999999999</v>
      </c>
      <c r="E5" s="249">
        <f t="shared" ref="E5:E12" ca="1" si="4">IF($AI$15,RANK(AH18,AH$17:AH$25,1),RANK(X18,X$17:X$25,1))</f>
        <v>4</v>
      </c>
      <c r="F5" s="1" t="str">
        <f ca="1">$C63</f>
        <v>FC Grönlingen</v>
      </c>
      <c r="G5" s="1">
        <f ca="1">SUMIFS(CalcE!$AH$64:$AH$135,CalcE!$V$64:$V$135,$F5)+SUMIFS(CalcE!$AI$64:$AI$135,CalcE!$W$64:$W$135,$F5)</f>
        <v>152</v>
      </c>
      <c r="H5" s="1">
        <f ca="1">SUMIFS(CalcE!$AI$64:$AI$135,CalcE!$V$64:$V$135,$F5)+SUMIFS(CalcE!$AH$64:$AH$135,CalcE!$W$64:$W$135,$F5)</f>
        <v>162</v>
      </c>
      <c r="I5" s="822">
        <f ca="1">IF(Einstellungen!$G$24,G5-H5,IF(H5=0,IF(G5=0,0,Einstellungen!$F$24),G5/H5))</f>
        <v>-10</v>
      </c>
      <c r="J5" s="1">
        <f ca="1">$L5*Einstellungen!$C$4+$M5</f>
        <v>1</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1</v>
      </c>
      <c r="N5" s="1">
        <f t="shared" ref="N5:N12" ca="1" si="5">K5-L5-M5</f>
        <v>2</v>
      </c>
      <c r="O5" s="665"/>
      <c r="P5" s="1">
        <f ca="1">SUMPRODUCT((CalcE!$V$64:$V$135=F5)*CalcE!$AK$64:$AK$135)+SUMPRODUCT((CalcE!$W$64:$W$135=F5)*CalcE!$AJ$64:$AJ$135)</f>
        <v>5</v>
      </c>
      <c r="Q5" s="1">
        <f ca="1">SUMPRODUCT((CalcE!$V$64:$V$135=F5)*CalcE!$AJ$64:$AJ$135)+SUMPRODUCT((CalcE!$W$64:$W$135=F5)*CalcE!$AK$64:$AK$135)</f>
        <v>2</v>
      </c>
      <c r="R5" s="1">
        <f t="shared" ref="R5:R12" ca="1" si="6">Q5-P5</f>
        <v>-3</v>
      </c>
      <c r="S5" s="1">
        <f ca="1">IF(Einstellungen!$G$24,$I5,ROUND($I5,Einstellungen!$H$24))</f>
        <v>-10</v>
      </c>
      <c r="T5" s="1">
        <f t="shared" ca="1" si="0"/>
        <v>-10</v>
      </c>
      <c r="U5" s="1">
        <f t="shared" ca="1" si="1"/>
        <v>6</v>
      </c>
      <c r="V5" s="674"/>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1</v>
      </c>
      <c r="D6" s="674">
        <f t="shared" ca="1" si="3"/>
        <v>1.006</v>
      </c>
      <c r="E6" s="249">
        <f t="shared" ca="1" si="4"/>
        <v>1</v>
      </c>
      <c r="F6" s="1" t="str">
        <f ca="1">$C64</f>
        <v>1. FC Nürnberg</v>
      </c>
      <c r="G6" s="1">
        <f ca="1">SUMIFS(CalcE!$AH$64:$AH$135,CalcE!$V$64:$V$135,$F6)+SUMIFS(CalcE!$AI$64:$AI$135,CalcE!$W$64:$W$135,$F6)</f>
        <v>137</v>
      </c>
      <c r="H6" s="1">
        <f ca="1">SUMIFS(CalcE!$AI$64:$AI$135,CalcE!$V$64:$V$135,$F6)+SUMIFS(CalcE!$AH$64:$AH$135,CalcE!$W$64:$W$135,$F6)</f>
        <v>123</v>
      </c>
      <c r="I6" s="822">
        <f ca="1">IF(Einstellungen!$G$24,G6-H6,IF(H6=0,IF(G6=0,0,Einstellungen!$F$24),G6/H6))</f>
        <v>14</v>
      </c>
      <c r="J6" s="1">
        <f ca="1">$L6*Einstellungen!$C$4+$M6</f>
        <v>4</v>
      </c>
      <c r="K6" s="1">
        <f ca="1">SUMPRODUCT((CalcE!$V$64:$V$99=F6)*(CalcE!$AJ$64:$AJ$99&lt;&gt;"")*CalcE!$AA$64:$AA$99)+SUMPRODUCT((CalcE!$W$64:$W$99=F6)*(CalcE!$AK$64:$AK$99&lt;&gt;"")*CalcE!$AA$64:$AA$99)</f>
        <v>3</v>
      </c>
      <c r="L6" s="1">
        <f ca="1">SUMPRODUCT((CalcE!$V$64:$V$99=F6)*(CalcE!$AJ$64:$AJ$99&gt;CalcE!$AK$64:$AK$99)*CalcE!$AA$64:$AA$99)+SUMPRODUCT((CalcE!$W$64:$W$99=F6)*(CalcE!$AJ$64:$AJ$99&lt;CalcE!$AK$64:$AK$99)*CalcE!$AA$64:$AA$99)</f>
        <v>1</v>
      </c>
      <c r="M6" s="1">
        <f ca="1">SUMPRODUCT((CalcE!$V$64:$W$99=F6)*(CalcE!$AJ$64:$AJ$99=CalcE!$AK$64:$AK$99)*CalcE!$AA$64:$AA$99)</f>
        <v>2</v>
      </c>
      <c r="N6" s="1">
        <f t="shared" ca="1" si="5"/>
        <v>0</v>
      </c>
      <c r="O6" s="665"/>
      <c r="P6" s="1">
        <f ca="1">SUMPRODUCT((CalcE!$V$64:$V$135=F6)*CalcE!$AK$64:$AK$135)+SUMPRODUCT((CalcE!$W$64:$W$135=F6)*CalcE!$AJ$64:$AJ$135)</f>
        <v>2</v>
      </c>
      <c r="Q6" s="1">
        <f ca="1">SUMPRODUCT((CalcE!$V$64:$V$135=F6)*CalcE!$AJ$64:$AJ$135)+SUMPRODUCT((CalcE!$W$64:$W$135=F6)*CalcE!$AK$64:$AK$135)</f>
        <v>4</v>
      </c>
      <c r="R6" s="1">
        <f t="shared" ca="1" si="6"/>
        <v>2</v>
      </c>
      <c r="S6" s="1">
        <f ca="1">IF(Einstellungen!$G$24,$I6,ROUND($I6,Einstellungen!$H$24))</f>
        <v>14</v>
      </c>
      <c r="T6" s="1">
        <f t="shared" ca="1" si="0"/>
        <v>14</v>
      </c>
      <c r="U6" s="1">
        <f t="shared" ca="1" si="1"/>
        <v>9</v>
      </c>
      <c r="V6" s="674"/>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674">
        <f t="shared" ca="1" si="3"/>
        <v>3.0070000000000001</v>
      </c>
      <c r="E7" s="249">
        <f t="shared" ca="1" si="4"/>
        <v>3</v>
      </c>
      <c r="F7" s="1" t="str">
        <f ca="1">$C65</f>
        <v>SV Oberredenburg</v>
      </c>
      <c r="G7" s="1">
        <f ca="1">SUMIFS(CalcE!$AH$64:$AH$135,CalcE!$V$64:$V$135,$F7)+SUMIFS(CalcE!$AI$64:$AI$135,CalcE!$W$64:$W$135,$F7)</f>
        <v>134</v>
      </c>
      <c r="H7" s="1">
        <f ca="1">SUMIFS(CalcE!$AI$64:$AI$135,CalcE!$V$64:$V$135,$F7)+SUMIFS(CalcE!$AH$64:$AH$135,CalcE!$W$64:$W$135,$F7)</f>
        <v>135</v>
      </c>
      <c r="I7" s="822">
        <f ca="1">IF(Einstellungen!$G$24,G7-H7,IF(H7=0,IF(G7=0,0,Einstellungen!$F$24),G7/H7))</f>
        <v>-1</v>
      </c>
      <c r="J7" s="1">
        <f ca="1">$L7*Einstellungen!$C$4+$M7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1</v>
      </c>
      <c r="M7" s="1">
        <f ca="1">SUMPRODUCT((CalcE!$V$64:$W$99=F7)*(CalcE!$AJ$64:$AJ$99=CalcE!$AK$64:$AK$99)*CalcE!$AA$64:$AA$99)</f>
        <v>1</v>
      </c>
      <c r="N7" s="1">
        <f t="shared" ca="1" si="5"/>
        <v>1</v>
      </c>
      <c r="O7" s="665"/>
      <c r="P7" s="1">
        <f ca="1">SUMPRODUCT((CalcE!$V$64:$V$135=F7)*CalcE!$AK$64:$AK$135)+SUMPRODUCT((CalcE!$W$64:$W$135=F7)*CalcE!$AJ$64:$AJ$135)</f>
        <v>3</v>
      </c>
      <c r="Q7" s="1">
        <f ca="1">SUMPRODUCT((CalcE!$V$64:$V$135=F7)*CalcE!$AJ$64:$AJ$135)+SUMPRODUCT((CalcE!$W$64:$W$135=F7)*CalcE!$AK$64:$AK$135)</f>
        <v>3</v>
      </c>
      <c r="R7" s="1">
        <f t="shared" ca="1" si="6"/>
        <v>0</v>
      </c>
      <c r="S7" s="1">
        <f ca="1">IF(Einstellungen!$G$24,$I7,ROUND($I7,Einstellungen!$H$24))</f>
        <v>-1</v>
      </c>
      <c r="T7" s="1">
        <f t="shared" ca="1" si="0"/>
        <v>-1</v>
      </c>
      <c r="U7" s="1">
        <f t="shared" ca="1" si="1"/>
        <v>8</v>
      </c>
      <c r="V7" s="674"/>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674">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674">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674">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674">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674"/>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674"/>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674">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674"/>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674"/>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674">
        <f ca="1">$F$13*($F$13-1)</f>
        <v>12</v>
      </c>
      <c r="C13" s="674"/>
      <c r="D13" s="674"/>
      <c r="E13" s="674"/>
      <c r="F13" s="674">
        <f ca="1">9-COUNTBLANK($F$4:$F$12)</f>
        <v>4</v>
      </c>
      <c r="G13" s="674"/>
      <c r="H13" s="674"/>
      <c r="I13" s="674"/>
      <c r="J13" s="674"/>
      <c r="K13" s="27">
        <f ca="1">QUOTIENT(SUM(K4:K12),2)</f>
        <v>6</v>
      </c>
      <c r="L13" s="1"/>
      <c r="M13" s="1"/>
      <c r="N13" s="1"/>
      <c r="O13" s="1"/>
      <c r="P13" s="1"/>
      <c r="Q13" s="1"/>
      <c r="R13" s="1"/>
      <c r="S13" s="1"/>
      <c r="T13" s="1"/>
      <c r="U13" s="1"/>
      <c r="V13" s="1"/>
      <c r="Y13" s="1"/>
      <c r="Z13" s="1"/>
    </row>
    <row r="14" spans="1:42" s="2" customFormat="1" x14ac:dyDescent="0.2">
      <c r="B14" s="674"/>
      <c r="C14" s="4"/>
      <c r="D14" s="674"/>
      <c r="E14" s="4"/>
      <c r="F14" s="674"/>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13" t="s">
        <v>5</v>
      </c>
      <c r="C16" s="662" t="s">
        <v>97</v>
      </c>
      <c r="D16" s="662" t="s">
        <v>102</v>
      </c>
      <c r="E16" s="662" t="s">
        <v>103</v>
      </c>
      <c r="F16" s="662" t="s">
        <v>104</v>
      </c>
      <c r="G16" s="662" t="s">
        <v>105</v>
      </c>
      <c r="H16" s="662" t="s">
        <v>106</v>
      </c>
      <c r="I16" s="662" t="s">
        <v>107</v>
      </c>
      <c r="J16" s="662" t="s">
        <v>108</v>
      </c>
      <c r="K16" s="662"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Maibach 1822 eV</v>
      </c>
      <c r="D17" s="1">
        <f t="shared" ref="D17:G20" ca="1" si="7">K4</f>
        <v>3</v>
      </c>
      <c r="E17" s="1">
        <f t="shared" ca="1" si="7"/>
        <v>1</v>
      </c>
      <c r="F17" s="1">
        <f t="shared" ca="1" si="7"/>
        <v>2</v>
      </c>
      <c r="G17" s="1">
        <f t="shared" ca="1" si="7"/>
        <v>0</v>
      </c>
      <c r="H17" s="1">
        <f t="shared" ref="H17:J20" ca="1" si="8">G4</f>
        <v>152</v>
      </c>
      <c r="I17" s="1">
        <f t="shared" ca="1" si="8"/>
        <v>155</v>
      </c>
      <c r="J17" s="13">
        <f t="shared" ca="1" si="8"/>
        <v>-3</v>
      </c>
      <c r="K17" s="1">
        <f ca="1">IF(Einstellungen!$G$9,J4,$Q4)</f>
        <v>4</v>
      </c>
      <c r="L17" s="29">
        <f ca="1">K17*CalcE!$F$64+(R4+CalcE!$H$65)*CalcE!$F$65*Einstellungen!$G$14+Q4*CalcE!$F$66*Einstellungen!$G$19+U4*CalcE!$F$67</f>
        <v>4000000.0070000002</v>
      </c>
      <c r="M17" s="14">
        <f ca="1">IF($AI$15,COUNTIF($K$17:$K$25,K17),COUNTIF($L$17:$L$25,L17))</f>
        <v>1</v>
      </c>
      <c r="N17" s="14">
        <f t="array" aca="1" ref="N17" ca="1">IF($AI$15,SUM(($K$17:$K$25&gt;=K17)/COUNTIF($K$17:$K$25,$K$17:$K$25)),SUM(($L$17:$L$25&gt;=L17)/COUNTIF($L$17:$L$25,$L$17:$L$25)))</f>
        <v>2</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2.0108999999999999</v>
      </c>
      <c r="Y17" s="13">
        <f ca="1">'Endrunde 4'!$AS19+$AD17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FC Grönlingen</v>
      </c>
      <c r="D18" s="1">
        <f t="shared" ca="1" si="7"/>
        <v>3</v>
      </c>
      <c r="E18" s="1">
        <f t="shared" ca="1" si="7"/>
        <v>0</v>
      </c>
      <c r="F18" s="1">
        <f t="shared" ca="1" si="7"/>
        <v>1</v>
      </c>
      <c r="G18" s="1">
        <f t="shared" ca="1" si="7"/>
        <v>2</v>
      </c>
      <c r="H18" s="1">
        <f t="shared" ca="1" si="8"/>
        <v>152</v>
      </c>
      <c r="I18" s="1">
        <f t="shared" ca="1" si="8"/>
        <v>162</v>
      </c>
      <c r="J18" s="13">
        <f t="shared" ca="1" si="8"/>
        <v>-10</v>
      </c>
      <c r="K18" s="1">
        <f ca="1">IF(Einstellungen!$G$9,J5,$Q5)</f>
        <v>1</v>
      </c>
      <c r="L18" s="29">
        <f ca="1">K18*CalcE!$F$64+(R5+CalcE!$H$65)*CalcE!$F$65*Einstellungen!$G$14+Q5*CalcE!$F$66*Einstellungen!$G$19+U5*CalcE!$F$67</f>
        <v>1000000.0060000001</v>
      </c>
      <c r="M18" s="14">
        <f t="shared" ref="M18:M25" ca="1" si="17">IF($AI$15,COUNTIF($K$17:$K$25,K18),COUNTIF($L$17:$L$25,L18))</f>
        <v>1</v>
      </c>
      <c r="N18" s="14">
        <f t="array" aca="1" ref="N18" ca="1">IF($AI$15,SUM(($K$17:$K$25&gt;=K18)/COUNTIF($K$17:$K$25,$K$17:$K$25)),SUM(($L$17:$L$25&gt;=L18)/COUNTIF($L$17:$L$25,$L$17:$L$25)))</f>
        <v>4</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4.0108999999999995</v>
      </c>
      <c r="Y18" s="822">
        <f ca="1">'Endrunde 4'!$AS20+$AD18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1. FC Nürnberg</v>
      </c>
      <c r="D19" s="1">
        <f t="shared" ca="1" si="7"/>
        <v>3</v>
      </c>
      <c r="E19" s="1">
        <f t="shared" ca="1" si="7"/>
        <v>1</v>
      </c>
      <c r="F19" s="1">
        <f t="shared" ca="1" si="7"/>
        <v>2</v>
      </c>
      <c r="G19" s="1">
        <f t="shared" ca="1" si="7"/>
        <v>0</v>
      </c>
      <c r="H19" s="1">
        <f t="shared" ca="1" si="8"/>
        <v>137</v>
      </c>
      <c r="I19" s="1">
        <f t="shared" ca="1" si="8"/>
        <v>123</v>
      </c>
      <c r="J19" s="13">
        <f t="shared" ca="1" si="8"/>
        <v>14</v>
      </c>
      <c r="K19" s="1">
        <f ca="1">IF(Einstellungen!$G$9,J6,$Q6)</f>
        <v>4</v>
      </c>
      <c r="L19" s="29">
        <f ca="1">K19*CalcE!$F$64+(R6+CalcE!$H$65)*CalcE!$F$65*Einstellungen!$G$14+Q6*CalcE!$F$66*Einstellungen!$G$19+U6*CalcE!$F$67</f>
        <v>4000000.0090000001</v>
      </c>
      <c r="M19" s="14">
        <f t="shared" ca="1" si="17"/>
        <v>1</v>
      </c>
      <c r="N19" s="14">
        <f t="array" aca="1" ref="N19" ca="1">IF($AI$15,SUM(($K$17:$K$25&gt;=K19)/COUNTIF($K$17:$K$25,$K$17:$K$25)),SUM(($L$17:$L$25&gt;=L19)/COUNTIF($L$17:$L$25,$L$17:$L$25)))</f>
        <v>1</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1.0108999999999999</v>
      </c>
      <c r="Y19" s="822">
        <f ca="1">'Endrunde 4'!$AS21+$AD19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SV Oberredenburg</v>
      </c>
      <c r="D20" s="1">
        <f t="shared" ca="1" si="7"/>
        <v>3</v>
      </c>
      <c r="E20" s="1">
        <f t="shared" ca="1" si="7"/>
        <v>1</v>
      </c>
      <c r="F20" s="1">
        <f t="shared" ca="1" si="7"/>
        <v>1</v>
      </c>
      <c r="G20" s="1">
        <f t="shared" ca="1" si="7"/>
        <v>1</v>
      </c>
      <c r="H20" s="1">
        <f t="shared" ca="1" si="8"/>
        <v>134</v>
      </c>
      <c r="I20" s="1">
        <f t="shared" ca="1" si="8"/>
        <v>135</v>
      </c>
      <c r="J20" s="13">
        <f t="shared" ca="1" si="8"/>
        <v>-1</v>
      </c>
      <c r="K20" s="1">
        <f ca="1">IF(Einstellungen!$G$9,J7,$Q7)</f>
        <v>3</v>
      </c>
      <c r="L20" s="29">
        <f ca="1">K20*CalcE!$F$64+(R7+CalcE!$H$65)*CalcE!$F$65*Einstellungen!$G$14+Q7*CalcE!$F$66*Einstellungen!$G$19+U7*CalcE!$F$67</f>
        <v>3000000.0079999999</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2">
        <f ca="1">'Endrunde 4'!$AS22+$AD20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13">
        <v>0</v>
      </c>
      <c r="K21" s="1">
        <f ca="1">IF(Einstellungen!$G$9,J8,$Q8)</f>
        <v>0</v>
      </c>
      <c r="L21" s="29">
        <f ca="1">K21*CalcE!$F$64+(R8+CalcE!$H$65)*CalcE!$F$65*Einstellungen!$G$14+Q8*CalcE!$F$66*Einstellungen!$G$19+U8*CalcE!$F$67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13">
        <v>0</v>
      </c>
      <c r="K22" s="1">
        <f ca="1">IF(Einstellungen!$G$9,J9,$Q9)</f>
        <v>0</v>
      </c>
      <c r="L22" s="29">
        <f ca="1">K22*CalcE!$F$64+(R9+CalcE!$H$65)*CalcE!$F$65*Einstellungen!$G$14+Q9*CalcE!$F$66*Einstellungen!$G$19+U9*CalcE!$F$67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13">
        <v>0</v>
      </c>
      <c r="K23" s="1">
        <f ca="1">IF(Einstellungen!$G$9,J10,$Q10)</f>
        <v>0</v>
      </c>
      <c r="L23" s="29">
        <f ca="1">K23*CalcE!$F$64+(R10+CalcE!$H$65)*CalcE!$F$65*Einstellungen!$G$14+Q10*CalcE!$F$66*Einstellungen!$G$19+U10*CalcE!$F$67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13">
        <v>0</v>
      </c>
      <c r="K24" s="1">
        <f ca="1">IF(Einstellungen!$G$9,J11,$Q11)</f>
        <v>0</v>
      </c>
      <c r="L24" s="29">
        <f ca="1">K24*CalcE!$F$64+(R11+CalcE!$H$65)*CalcE!$F$65*Einstellungen!$G$14+Q11*CalcE!$F$66*Einstellungen!$G$19+U11*CalcE!$F$67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13">
        <v>0</v>
      </c>
      <c r="K25" s="1">
        <f ca="1">IF(Einstellungen!$G$9,J12,$Q12)</f>
        <v>0</v>
      </c>
      <c r="L25" s="29">
        <f ca="1">K25*CalcE!$F$64+(R12+CalcE!$H$65)*CalcE!$F$65*Einstellungen!$G$14+Q12*CalcE!$F$66*Einstellungen!$G$19+U12*CalcE!$F$67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13"/>
      <c r="BR29" s="5" t="s">
        <v>94</v>
      </c>
      <c r="BS29" s="2" t="str">
        <f ca="1">$F$4</f>
        <v>Maibach 1822 eV</v>
      </c>
      <c r="BT29" s="2" t="str">
        <f ca="1">$F$5</f>
        <v>FC Grönlingen</v>
      </c>
      <c r="BU29" s="2" t="str">
        <f ca="1">$F$6</f>
        <v>1. FC Nürnberg</v>
      </c>
      <c r="BV29" s="2" t="str">
        <f ca="1">$F$7</f>
        <v>SV Oberredenburg</v>
      </c>
      <c r="BW29" s="2" t="str">
        <f>$F$8</f>
        <v/>
      </c>
      <c r="BX29" s="2" t="str">
        <f>$F$9</f>
        <v/>
      </c>
      <c r="BY29" s="2" t="str">
        <f>$F$10</f>
        <v/>
      </c>
      <c r="BZ29" s="2" t="str">
        <f>$F$11</f>
        <v/>
      </c>
      <c r="CA29" s="2" t="str">
        <f>$F$12</f>
        <v/>
      </c>
      <c r="CB29" s="51"/>
    </row>
    <row r="30" spans="2:80" s="2" customFormat="1" x14ac:dyDescent="0.2">
      <c r="C30" s="2" t="str">
        <f ca="1">$C62</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Maibach 1822 eV</v>
      </c>
      <c r="BS30" s="7"/>
      <c r="BT30" s="8">
        <f ca="1">SUMIFS(CalcE!$AH$64:$AH$99,CalcE!$V$64:$V$99,$BR30,CalcE!$W$64:$W$99,BT$29)+SUMIFS(CalcE!$AI$64:$AI$99,CalcE!$W$64:$W$99,$BR30,CalcE!$V$64:$V$99,BT$29)</f>
        <v>70</v>
      </c>
      <c r="BU30" s="8">
        <f ca="1">SUMIFS(CalcE!$AH$64:$AH$99,CalcE!$V$64:$V$99,$BR30,CalcE!$W$64:$W$99,BU$29)+SUMIFS(CalcE!$AI$64:$AI$99,CalcE!$W$64:$W$99,$BR30,CalcE!$V$64:$V$99,BU$29)</f>
        <v>39</v>
      </c>
      <c r="BV30" s="8">
        <f ca="1">SUMIFS(CalcE!$AH$64:$AH$99,CalcE!$V$64:$V$99,$BR30,CalcE!$W$64:$W$99,BV$29)+SUMIFS(CalcE!$AI$64:$AI$99,CalcE!$W$64:$W$99,$BR30,CalcE!$V$64:$V$99,BV$29)</f>
        <v>43</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FC Grönlingen</v>
      </c>
      <c r="BS31" s="9">
        <f ca="1">SUMIFS(CalcE!$AH$64:$AH$99,CalcE!$V$64:$V$99,$BR31,CalcE!$W$64:$W$99,BS$29)+SUMIFS(CalcE!$AI$64:$AI$99,CalcE!$W$64:$W$99,$BR31,CalcE!$V$64:$V$99,BS$29)</f>
        <v>66</v>
      </c>
      <c r="BT31" s="7"/>
      <c r="BU31" s="8">
        <f ca="1">SUMIFS(CalcE!$AH$64:$AH$99,CalcE!$V$64:$V$99,$BR31,CalcE!$W$64:$W$99,BU$29)+SUMIFS(CalcE!$AI$64:$AI$99,CalcE!$W$64:$W$99,$BR31,CalcE!$V$64:$V$99,BU$29)</f>
        <v>44</v>
      </c>
      <c r="BV31" s="8">
        <f ca="1">SUMIFS(CalcE!$AH$64:$AH$99,CalcE!$V$64:$V$99,$BR31,CalcE!$W$64:$W$99,BV$29)+SUMIFS(CalcE!$AI$64:$AI$99,CalcE!$W$64:$W$99,$BR31,CalcE!$V$64:$V$99,BV$29)</f>
        <v>42</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1. FC Nürnberg</v>
      </c>
      <c r="BS32" s="9">
        <f ca="1">SUMIFS(CalcE!$AH$64:$AH$99,CalcE!$V$64:$V$99,$BR32,CalcE!$W$64:$W$99,BS$29)+SUMIFS(CalcE!$AI$64:$AI$99,CalcE!$W$64:$W$99,$BR32,CalcE!$V$64:$V$99,BS$29)</f>
        <v>45</v>
      </c>
      <c r="BT32" s="9">
        <f ca="1">SUMIFS(CalcE!$AH$64:$AH$99,CalcE!$V$64:$V$99,$BR32,CalcE!$W$64:$W$99,BT$29)+SUMIFS(CalcE!$AI$64:$AI$99,CalcE!$W$64:$W$99,$BR32,CalcE!$V$64:$V$99,BT$29)</f>
        <v>42</v>
      </c>
      <c r="BU32" s="7"/>
      <c r="BV32" s="8">
        <f ca="1">SUMIFS(CalcE!$AH$64:$AH$99,CalcE!$V$64:$V$99,$BR32,CalcE!$W$64:$W$99,BV$29)+SUMIFS(CalcE!$AI$64:$AI$99,CalcE!$W$64:$W$99,$BR32,CalcE!$V$64:$V$99,BV$29)</f>
        <v>50</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SV Oberredenburg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SV Oberredenburg</v>
      </c>
      <c r="BS33" s="9">
        <f ca="1">SUMIFS(CalcE!$AH$64:$AH$99,CalcE!$V$64:$V$99,$BR33,CalcE!$W$64:$W$99,BS$29)+SUMIFS(CalcE!$AI$64:$AI$99,CalcE!$W$64:$W$99,$BR33,CalcE!$V$64:$V$99,BS$29)</f>
        <v>44</v>
      </c>
      <c r="BT33" s="9">
        <f ca="1">SUMIFS(CalcE!$AH$64:$AH$99,CalcE!$V$64:$V$99,$BR33,CalcE!$W$64:$W$99,BT$29)+SUMIFS(CalcE!$AI$64:$AI$99,CalcE!$W$64:$W$99,$BR33,CalcE!$V$64:$V$99,BT$29)</f>
        <v>50</v>
      </c>
      <c r="BU33" s="9">
        <f ca="1">SUMIFS(CalcE!$AH$64:$AH$99,CalcE!$V$64:$V$99,$BR33,CalcE!$W$64:$W$99,BU$29)+SUMIFS(CalcE!$AI$64:$AI$99,CalcE!$W$64:$W$99,$BR33,CalcE!$V$64:$V$99,BU$29)</f>
        <v>40</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Maibach 1822 eV</v>
      </c>
      <c r="BT40" s="2" t="str">
        <f ca="1">$F$5</f>
        <v>FC Grönlingen</v>
      </c>
      <c r="BU40" s="2" t="str">
        <f ca="1">$F$6</f>
        <v>1. FC Nürnberg</v>
      </c>
      <c r="BV40" s="2" t="str">
        <f ca="1">$F$7</f>
        <v>SV Oberredenburg</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Maibach 1822 eV</v>
      </c>
      <c r="BS41" s="7"/>
      <c r="BT41" s="8">
        <f ca="1">BT30-BS31</f>
        <v>4</v>
      </c>
      <c r="BU41" s="8">
        <f ca="1">BU30-BS32</f>
        <v>-6</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FC Grönlingen</v>
      </c>
      <c r="BS42" s="9">
        <f ca="1">IF(BT41="","",-1*BT41)</f>
        <v>-4</v>
      </c>
      <c r="BT42" s="7"/>
      <c r="BU42" s="8">
        <f ca="1">BU31-BT32</f>
        <v>2</v>
      </c>
      <c r="BV42" s="8">
        <f ca="1">BV31-BT33</f>
        <v>-8</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1. FC Nürnberg</v>
      </c>
      <c r="BS43" s="9">
        <f ca="1">IF(BU41="","",-1*BU41)</f>
        <v>6</v>
      </c>
      <c r="BT43" s="9">
        <f ca="1">IF(BU42="","",-1*BU42)</f>
        <v>-2</v>
      </c>
      <c r="BU43" s="7"/>
      <c r="BV43" s="8">
        <f ca="1">BV32-BU33</f>
        <v>10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SV Oberredenburg</v>
      </c>
      <c r="BS44" s="9">
        <f ca="1">IF(BV41="","",-1*BV41)</f>
        <v>1</v>
      </c>
      <c r="BT44" s="9">
        <f ca="1">IF(BV42="","",-1*BV42)</f>
        <v>8</v>
      </c>
      <c r="BU44" s="9">
        <f ca="1">IF(BV43="","",-1*BV43)</f>
        <v>-10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Maibach 1822 eV</v>
      </c>
      <c r="BT51" s="2" t="str">
        <f ca="1">$F$5</f>
        <v>FC Grönlingen</v>
      </c>
      <c r="BU51" s="2" t="str">
        <f ca="1">$F$6</f>
        <v>1. FC Nürnberg</v>
      </c>
      <c r="BV51" s="2" t="str">
        <f ca="1">$F$7</f>
        <v>SV Oberredenburg</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Maibach 1822 eV</v>
      </c>
      <c r="BS52" s="7"/>
      <c r="BT52" s="8">
        <f ca="1">SUMIFS(CalcE!$AJ$64:$AJ$99,CalcE!$V$64:$V$99,$BR52,CalcE!$W$64:$W$99,BT$51)+SUMIFS(CalcE!$AK$64:$AK$99,CalcE!$W$64:$W$99,$BR52,CalcE!$V$64:$V$99,BT$51)</f>
        <v>2</v>
      </c>
      <c r="BU52" s="8">
        <f ca="1">SUMIFS(CalcE!$AJ$64:$AJ$99,CalcE!$V$64:$V$99,$BR52,CalcE!$W$64:$W$99,BU$51)+SUMIFS(CalcE!$AK$64:$AK$99,CalcE!$W$64:$W$99,$BR52,CalcE!$V$64:$V$99,BU$51)</f>
        <v>1</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FC Grönlingen</v>
      </c>
      <c r="BS53" s="9">
        <f ca="1">SUMIFS(CalcE!$AJ$64:$AJ$99,CalcE!$V$64:$V$99,$BR53,CalcE!$W$64:$W$99,BS$51)+SUMIFS(CalcE!$AK$64:$AK$99,CalcE!$W$64:$W$99,$BR53,CalcE!$V$64:$V$99,BS$51)</f>
        <v>1</v>
      </c>
      <c r="BT53" s="7"/>
      <c r="BU53" s="8">
        <f ca="1">SUMIFS(CalcE!$AJ$64:$AJ$99,CalcE!$V$64:$V$99,$BR53,CalcE!$W$64:$W$99,BU$51)+SUMIFS(CalcE!$AK$64:$AK$99,CalcE!$W$64:$W$99,$BR53,CalcE!$V$64:$V$99,BU$51)</f>
        <v>1</v>
      </c>
      <c r="BV53" s="8">
        <f ca="1">SUMIFS(CalcE!$AJ$64:$AJ$99,CalcE!$V$64:$V$99,$BR53,CalcE!$W$64:$W$99,BV$51)+SUMIFS(CalcE!$AK$64:$AK$99,CalcE!$W$64:$W$99,$BR53,CalcE!$V$64:$V$99,BV$51)</f>
        <v>0</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1. FC Nürnberg</v>
      </c>
      <c r="BS54" s="9">
        <f ca="1">SUMIFS(CalcE!$AJ$64:$AJ$99,CalcE!$V$64:$V$99,$BR54,CalcE!$W$64:$W$99,BS$51)+SUMIFS(CalcE!$AK$64:$AK$99,CalcE!$W$64:$W$99,$BR54,CalcE!$V$64:$V$99,BS$51)</f>
        <v>1</v>
      </c>
      <c r="BT54" s="9">
        <f ca="1">SUMIFS(CalcE!$AJ$64:$AJ$99,CalcE!$V$64:$V$99,$BR54,CalcE!$W$64:$W$99,BT$51)+SUMIFS(CalcE!$AK$64:$AK$99,CalcE!$W$64:$W$99,$BR54,CalcE!$V$64:$V$99,BT$51)</f>
        <v>1</v>
      </c>
      <c r="BU54" s="7"/>
      <c r="BV54" s="8">
        <f ca="1">SUMIFS(CalcE!$AJ$64:$AJ$99,CalcE!$V$64:$V$99,$BR54,CalcE!$W$64:$W$99,BV$51)+SUMIFS(CalcE!$AK$64:$AK$99,CalcE!$W$64:$W$99,$BR54,CalcE!$V$64:$V$99,BV$51)</f>
        <v>2</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SV Oberredenburg</v>
      </c>
      <c r="BS55" s="9">
        <f ca="1">SUMIFS(CalcE!$AJ$64:$AJ$99,CalcE!$V$64:$V$99,$BR55,CalcE!$W$64:$W$99,BS$51)+SUMIFS(CalcE!$AK$64:$AK$99,CalcE!$W$64:$W$99,$BR55,CalcE!$V$64:$V$99,BS$51)</f>
        <v>1</v>
      </c>
      <c r="BT55" s="9">
        <f ca="1">SUMIFS(CalcE!$AJ$64:$AJ$99,CalcE!$V$64:$V$99,$BR55,CalcE!$W$64:$W$99,BT$51)+SUMIFS(CalcE!$AK$64:$AK$99,CalcE!$W$64:$W$99,$BR55,CalcE!$V$64:$V$99,BT$51)</f>
        <v>2</v>
      </c>
      <c r="BU55" s="9">
        <f ca="1">SUMIFS(CalcE!$AJ$64:$AJ$99,CalcE!$V$64:$V$99,$BR55,CalcE!$W$64:$W$99,BU$51)+SUMIFS(CalcE!$AK$64:$AK$99,CalcE!$W$64:$W$99,$BR55,CalcE!$V$64:$V$99,BU$51)</f>
        <v>0</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4'!$AQ19="","",'Endrunde 4'!$AQ19)</f>
        <v>Maibach 1822 eV</v>
      </c>
      <c r="D62" s="1039"/>
      <c r="F62" s="291"/>
      <c r="G62" s="85"/>
      <c r="H62" s="4"/>
      <c r="I62" s="4"/>
      <c r="U62" s="663"/>
      <c r="V62" s="13"/>
      <c r="W62" s="13"/>
      <c r="X62" s="13"/>
      <c r="Y62" s="13"/>
      <c r="Z62" s="4"/>
      <c r="AA62" s="13"/>
      <c r="AB62" s="13"/>
      <c r="AC62" s="4"/>
      <c r="AD62" s="13"/>
      <c r="AE62" s="13"/>
      <c r="AF62" s="13"/>
      <c r="AG62" s="13"/>
      <c r="AH62" s="13"/>
      <c r="AI62" s="13"/>
      <c r="AJ62" s="4"/>
      <c r="AK62" s="4"/>
      <c r="AL62" s="4"/>
      <c r="AM62" s="4"/>
      <c r="AN62" s="4"/>
      <c r="AO62" s="4"/>
      <c r="AP62" s="4"/>
      <c r="AQ62" s="4"/>
      <c r="AR62" s="4"/>
    </row>
    <row r="63" spans="2:80" s="2" customFormat="1" ht="12.75" x14ac:dyDescent="0.2">
      <c r="B63" s="145" t="s">
        <v>7</v>
      </c>
      <c r="C63" s="1040" t="str">
        <f ca="1">IF('Endrunde 4'!$AQ20="","",'Endrunde 4'!$AQ20)</f>
        <v>FC Grönlingen</v>
      </c>
      <c r="D63" s="1041"/>
      <c r="F63" s="291"/>
      <c r="G63" s="85"/>
      <c r="H63" s="13"/>
      <c r="I63" s="4"/>
      <c r="U63" s="663"/>
      <c r="V63" s="13"/>
      <c r="W63" s="13"/>
      <c r="X63" s="13"/>
      <c r="Y63" s="13"/>
      <c r="Z63" s="4"/>
      <c r="AA63" s="13"/>
      <c r="AB63" s="13"/>
      <c r="AC63" s="4"/>
      <c r="AD63" s="13"/>
      <c r="AE63" s="13"/>
      <c r="AF63" s="13"/>
      <c r="AG63" s="13"/>
      <c r="AH63" s="13"/>
      <c r="AI63" s="13"/>
      <c r="AJ63" s="13"/>
      <c r="AK63" s="13"/>
      <c r="AL63" s="13"/>
      <c r="AM63" s="13"/>
      <c r="AN63" s="13"/>
      <c r="AO63" s="13"/>
      <c r="AP63" s="13"/>
      <c r="AQ63" s="13"/>
    </row>
    <row r="64" spans="2:80" s="2" customFormat="1" ht="12.75" x14ac:dyDescent="0.2">
      <c r="B64" s="145" t="s">
        <v>8</v>
      </c>
      <c r="C64" s="1040" t="str">
        <f ca="1">IF('Endrunde 4'!$AQ21="","",'Endrunde 4'!$AQ21)</f>
        <v>1. FC Nürnberg</v>
      </c>
      <c r="D64" s="1041"/>
      <c r="F64" s="291"/>
      <c r="G64" s="85"/>
      <c r="H64" s="4"/>
      <c r="I64" s="4"/>
      <c r="U64" s="663"/>
      <c r="V64" s="13"/>
      <c r="W64" s="13"/>
      <c r="X64" s="13"/>
      <c r="Y64" s="13"/>
      <c r="Z64" s="4"/>
      <c r="AA64" s="13"/>
      <c r="AB64" s="13"/>
      <c r="AC64" s="4"/>
      <c r="AD64" s="13"/>
      <c r="AE64" s="13"/>
      <c r="AF64" s="13"/>
      <c r="AG64" s="13"/>
      <c r="AH64" s="13"/>
      <c r="AI64" s="13"/>
      <c r="AJ64" s="4"/>
      <c r="AK64" s="13"/>
      <c r="AL64" s="13"/>
      <c r="AM64" s="13"/>
      <c r="AN64" s="13"/>
      <c r="AO64" s="13"/>
      <c r="AP64" s="13"/>
      <c r="AQ64" s="13"/>
    </row>
    <row r="65" spans="1:79" s="2" customFormat="1" ht="12.75" thickBot="1" x14ac:dyDescent="0.25">
      <c r="B65" s="146" t="s">
        <v>9</v>
      </c>
      <c r="C65" s="1042" t="str">
        <f ca="1">IF('Endrunde 4'!$AQ22="","",'Endrunde 4'!$AQ22)</f>
        <v>SV Oberredenburg</v>
      </c>
      <c r="D65" s="1043"/>
      <c r="P65" s="4"/>
      <c r="Q65" s="4"/>
      <c r="U65" s="663"/>
      <c r="V65" s="13"/>
      <c r="W65" s="13"/>
      <c r="X65" s="13"/>
      <c r="Y65" s="13"/>
      <c r="Z65" s="4"/>
      <c r="AA65" s="13"/>
      <c r="AB65" s="13"/>
      <c r="AC65" s="4"/>
      <c r="AD65" s="13"/>
      <c r="AE65" s="13"/>
      <c r="AF65" s="13"/>
      <c r="AG65" s="13"/>
      <c r="AH65" s="13"/>
      <c r="AI65" s="13"/>
      <c r="AJ65" s="13"/>
      <c r="AK65" s="4"/>
      <c r="AL65" s="13"/>
      <c r="AM65" s="13"/>
      <c r="AN65" s="13"/>
      <c r="AO65" s="13"/>
      <c r="AP65" s="13"/>
      <c r="AQ65" s="13"/>
    </row>
    <row r="66" spans="1:79" s="2" customFormat="1" ht="12.75" thickTop="1" x14ac:dyDescent="0.2">
      <c r="P66" s="663"/>
      <c r="Q66" s="664"/>
      <c r="U66" s="663"/>
      <c r="V66" s="13"/>
      <c r="W66" s="13"/>
      <c r="X66" s="13"/>
      <c r="Y66" s="13"/>
      <c r="Z66" s="4"/>
      <c r="AA66" s="13"/>
      <c r="AB66" s="13"/>
      <c r="AC66" s="4"/>
      <c r="AD66" s="13"/>
      <c r="AE66" s="13"/>
      <c r="AF66" s="13"/>
      <c r="AG66" s="13"/>
      <c r="AH66" s="13"/>
      <c r="AI66" s="13"/>
      <c r="AJ66" s="13"/>
      <c r="AK66" s="13"/>
      <c r="AL66" s="4"/>
      <c r="AM66" s="13"/>
      <c r="AN66" s="13"/>
      <c r="AO66" s="13"/>
      <c r="AP66" s="13"/>
      <c r="AQ66" s="13"/>
    </row>
    <row r="67" spans="1:79" s="2" customFormat="1" x14ac:dyDescent="0.2">
      <c r="P67" s="663"/>
      <c r="Q67" s="664"/>
      <c r="U67" s="663"/>
      <c r="V67" s="13"/>
      <c r="W67" s="13"/>
      <c r="X67" s="13"/>
      <c r="Y67" s="13"/>
      <c r="Z67" s="4"/>
      <c r="AA67" s="13"/>
      <c r="AB67" s="13"/>
      <c r="AC67" s="4"/>
      <c r="AD67" s="13"/>
      <c r="AE67" s="13"/>
      <c r="AF67" s="13"/>
      <c r="AG67" s="13"/>
      <c r="AH67" s="13"/>
      <c r="AI67" s="13"/>
      <c r="AJ67" s="13"/>
      <c r="AK67" s="13"/>
      <c r="AL67" s="13"/>
      <c r="AM67" s="4"/>
      <c r="AN67" s="13"/>
      <c r="AO67" s="13"/>
      <c r="AP67" s="13"/>
      <c r="AQ67" s="13"/>
    </row>
    <row r="68" spans="1:79" s="2" customFormat="1" x14ac:dyDescent="0.2">
      <c r="P68" s="663"/>
      <c r="Q68" s="664"/>
      <c r="U68" s="663"/>
      <c r="V68" s="13"/>
      <c r="W68" s="13"/>
      <c r="X68" s="13"/>
      <c r="Y68" s="13"/>
      <c r="Z68" s="4"/>
      <c r="AA68" s="13"/>
      <c r="AB68" s="13"/>
      <c r="AC68" s="4"/>
      <c r="AD68" s="13"/>
      <c r="AE68" s="13"/>
      <c r="AF68" s="13"/>
      <c r="AG68" s="13"/>
      <c r="AH68" s="13"/>
      <c r="AI68" s="13"/>
      <c r="AJ68" s="13"/>
      <c r="AK68" s="13"/>
      <c r="AL68" s="13"/>
      <c r="AM68" s="13"/>
      <c r="AN68" s="4"/>
      <c r="AO68" s="13"/>
      <c r="AP68" s="13"/>
      <c r="AQ68" s="13"/>
    </row>
    <row r="69" spans="1:79" s="2" customFormat="1" x14ac:dyDescent="0.2">
      <c r="B69" s="4"/>
      <c r="C69" s="4"/>
      <c r="D69" s="4"/>
      <c r="E69" s="4"/>
      <c r="F69" s="4"/>
      <c r="G69" s="4"/>
      <c r="H69" s="4"/>
      <c r="I69" s="4"/>
      <c r="J69" s="4"/>
      <c r="K69" s="4"/>
      <c r="L69" s="4"/>
      <c r="M69" s="4"/>
      <c r="P69" s="663"/>
      <c r="Q69" s="664"/>
      <c r="U69" s="663"/>
      <c r="V69" s="13"/>
      <c r="W69" s="13"/>
      <c r="X69" s="13"/>
      <c r="Y69" s="13"/>
      <c r="Z69" s="4"/>
      <c r="AA69" s="13"/>
      <c r="AB69" s="13"/>
      <c r="AC69" s="4"/>
      <c r="AD69" s="13"/>
      <c r="AE69" s="13"/>
      <c r="AF69" s="13"/>
      <c r="AG69" s="13"/>
      <c r="AH69" s="13"/>
      <c r="AI69" s="13"/>
      <c r="AJ69" s="13"/>
      <c r="AK69" s="13"/>
      <c r="AL69" s="13"/>
      <c r="AM69" s="13"/>
      <c r="AN69" s="13"/>
      <c r="AO69" s="4"/>
      <c r="AP69" s="13"/>
      <c r="AQ69" s="13"/>
    </row>
    <row r="70" spans="1:79" s="2" customFormat="1" x14ac:dyDescent="0.2">
      <c r="B70" s="4"/>
      <c r="C70" s="4"/>
      <c r="D70" s="4"/>
      <c r="E70" s="4"/>
      <c r="F70" s="13"/>
      <c r="G70" s="13"/>
      <c r="H70" s="13"/>
      <c r="I70" s="13"/>
      <c r="J70" s="13"/>
      <c r="K70" s="13"/>
      <c r="L70" s="13"/>
      <c r="M70" s="13"/>
      <c r="P70" s="663"/>
      <c r="Q70" s="664"/>
      <c r="U70" s="663"/>
      <c r="V70" s="13"/>
      <c r="W70" s="13"/>
      <c r="X70" s="13"/>
      <c r="Y70" s="13"/>
      <c r="Z70" s="4"/>
      <c r="AA70" s="13"/>
      <c r="AB70" s="13"/>
      <c r="AC70" s="4"/>
      <c r="AD70" s="13"/>
      <c r="AE70" s="13"/>
      <c r="AF70" s="13"/>
      <c r="AG70" s="13"/>
      <c r="AH70" s="13"/>
      <c r="AI70" s="13"/>
      <c r="AJ70" s="13"/>
      <c r="AK70" s="13"/>
      <c r="AL70" s="13"/>
      <c r="AM70" s="13"/>
      <c r="AN70" s="13"/>
      <c r="AO70" s="13"/>
      <c r="AP70" s="4"/>
      <c r="AQ70" s="13"/>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C62:D62"/>
    <mergeCell ref="C63:D63"/>
    <mergeCell ref="C64:D64"/>
    <mergeCell ref="C65:D65"/>
    <mergeCell ref="AS29:AZ29"/>
    <mergeCell ref="E29:L29"/>
    <mergeCell ref="M29:T29"/>
    <mergeCell ref="BA29:BH29"/>
    <mergeCell ref="BI29:BP29"/>
    <mergeCell ref="W3:AA3"/>
    <mergeCell ref="AB3:AF3"/>
    <mergeCell ref="AG3:AK3"/>
    <mergeCell ref="AL3:AP3"/>
    <mergeCell ref="AD15:AH15"/>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8.855468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457</v>
      </c>
    </row>
    <row r="3" spans="1:42" s="2" customFormat="1" ht="13.5" customHeight="1" thickBot="1" x14ac:dyDescent="0.25">
      <c r="B3" s="1"/>
      <c r="C3" s="822"/>
      <c r="D3" s="822"/>
      <c r="E3" s="822"/>
      <c r="F3" s="822"/>
      <c r="G3" s="69" t="s">
        <v>106</v>
      </c>
      <c r="H3" s="69" t="s">
        <v>107</v>
      </c>
      <c r="I3" s="820" t="s">
        <v>446</v>
      </c>
      <c r="J3" s="27" t="s">
        <v>109</v>
      </c>
      <c r="K3" s="820" t="s">
        <v>102</v>
      </c>
      <c r="L3" s="27" t="s">
        <v>103</v>
      </c>
      <c r="M3" s="27" t="s">
        <v>104</v>
      </c>
      <c r="N3" s="27" t="s">
        <v>105</v>
      </c>
      <c r="O3" s="822"/>
      <c r="P3" s="27" t="s">
        <v>415</v>
      </c>
      <c r="Q3" s="27" t="s">
        <v>371</v>
      </c>
      <c r="R3" s="27" t="s">
        <v>448</v>
      </c>
      <c r="S3" s="27" t="s">
        <v>414</v>
      </c>
      <c r="T3" s="27"/>
      <c r="U3" s="27" t="s">
        <v>449</v>
      </c>
      <c r="V3" s="822"/>
      <c r="W3" s="1044"/>
      <c r="X3" s="1045"/>
      <c r="Y3" s="1045"/>
      <c r="Z3" s="1045"/>
      <c r="AA3" s="1045"/>
      <c r="AB3" s="1044"/>
      <c r="AC3" s="1045"/>
      <c r="AD3" s="1045"/>
      <c r="AE3" s="1045"/>
      <c r="AF3" s="1045"/>
      <c r="AG3" s="1044"/>
      <c r="AH3" s="1045"/>
      <c r="AI3" s="1045"/>
      <c r="AJ3" s="1045"/>
      <c r="AK3" s="1045"/>
      <c r="AL3" s="1044"/>
      <c r="AM3" s="1045"/>
      <c r="AN3" s="1045"/>
      <c r="AO3" s="1045"/>
      <c r="AP3" s="1045"/>
    </row>
    <row r="4" spans="1:42" s="2" customFormat="1" ht="12.75" thickTop="1" x14ac:dyDescent="0.2">
      <c r="A4" s="238"/>
      <c r="B4" s="1">
        <v>1</v>
      </c>
      <c r="C4" s="21">
        <f ca="1">RANK(D4,$D$4:$D$12,1)</f>
        <v>1</v>
      </c>
      <c r="D4" s="822">
        <f ca="1">E4+ROW()/1000+(F4="")*10</f>
        <v>11.004</v>
      </c>
      <c r="E4" s="249">
        <f ca="1">IF($AI$15,RANK(AH17,AH$17:AH$25,1),RANK(X17,X$17:X$25,1))</f>
        <v>1</v>
      </c>
      <c r="F4" s="1" t="str">
        <f ca="1">$C62</f>
        <v/>
      </c>
      <c r="G4" s="1">
        <f ca="1">SUMIFS(CalcE!$AH$64:$AH$135,CalcE!$V$64:$V$135,$F4)+SUMIFS(CalcE!$AI$64:$AI$135,CalcE!$W$64:$W$135,$F4)</f>
        <v>0</v>
      </c>
      <c r="H4" s="1">
        <f ca="1">SUMIFS(CalcE!$AI$64:$AI$135,CalcE!$V$64:$V$135,$F4)+SUMIFS(CalcE!$AH$64:$AH$135,CalcE!$W$64:$W$135,$F4)</f>
        <v>0</v>
      </c>
      <c r="I4" s="822">
        <f ca="1">IF(Einstellungen!$G$24,G4-H4,IF(H4=0,IF(G4=0,0,Einstellungen!$F$24),G4/H4))</f>
        <v>0</v>
      </c>
      <c r="J4" s="1">
        <f ca="1">$L4*Einstellungen!$C$4+$M4</f>
        <v>0</v>
      </c>
      <c r="K4" s="1">
        <f ca="1">SUMPRODUCT((CalcE!$V$64:$V$99=F4)*(CalcE!$AJ$64:$AJ$99&lt;&gt;"")*CalcE!$AA$64:$AA$99)+SUMPRODUCT((CalcE!$W$64:$W$99=F4)*(CalcE!$AK$64:$AK$99&lt;&gt;"")*CalcE!$AA$64:$AA$99)</f>
        <v>0</v>
      </c>
      <c r="L4" s="1">
        <f ca="1">SUMPRODUCT((CalcE!$V$64:$V$99=F4)*(CalcE!$AJ$64:$AJ$99&gt;CalcE!$AK$64:$AK$99)*CalcE!$AA$64:$AA$99)+SUMPRODUCT((CalcE!$W$64:$W$99=F4)*(CalcE!$AJ$64:$AJ$99&lt;CalcE!$AK$64:$AK$99)*CalcE!$AA$64:$AA$99)</f>
        <v>0</v>
      </c>
      <c r="M4" s="1">
        <f ca="1">SUMPRODUCT((CalcE!$V$64:$W$99=F4)*(CalcE!$AJ$64:$AJ$99=CalcE!$AK$64:$AK$99)*CalcE!$AA$64:$AA$99)</f>
        <v>0</v>
      </c>
      <c r="N4" s="1">
        <f ca="1">K4-L4-M4</f>
        <v>0</v>
      </c>
      <c r="O4" s="821"/>
      <c r="P4" s="1">
        <f ca="1">SUMPRODUCT((CalcE!$V$64:$V$135=F4)*CalcE!$AK$64:$AK$135)+SUMPRODUCT((CalcE!$W$64:$W$135=F4)*CalcE!$AJ$64:$AJ$135)</f>
        <v>0</v>
      </c>
      <c r="Q4" s="1">
        <f ca="1">SUMPRODUCT((CalcE!$V$64:$V$135=F4)*CalcE!$AJ$64:$AJ$135)+SUMPRODUCT((CalcE!$W$64:$W$135=F4)*CalcE!$AK$64:$AK$135)</f>
        <v>0</v>
      </c>
      <c r="R4" s="1">
        <f ca="1">Q4-P4</f>
        <v>0</v>
      </c>
      <c r="S4" s="1">
        <f ca="1">IF(Einstellungen!$G$24,$I4,ROUND($I4,Einstellungen!$H$24))</f>
        <v>0</v>
      </c>
      <c r="T4" s="1">
        <f t="shared" ref="T4:T12" ca="1" si="0">I4-(F4="")*10000</f>
        <v>-10000</v>
      </c>
      <c r="U4" s="1">
        <f t="shared" ref="U4:U12" ca="1" si="1" xml:space="preserve"> RANK(T4,$T$4:$T$12,1)</f>
        <v>1</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11.004999999999999</v>
      </c>
      <c r="E5" s="249">
        <f t="shared" ref="E5:E12" ca="1" si="4">IF($AI$15,RANK(AH18,AH$17:AH$25,1),RANK(X18,X$17:X$25,1))</f>
        <v>1</v>
      </c>
      <c r="F5" s="1" t="str">
        <f ca="1">$C63</f>
        <v/>
      </c>
      <c r="G5" s="1">
        <f ca="1">SUMIFS(CalcE!$AH$64:$AH$135,CalcE!$V$64:$V$135,$F5)+SUMIFS(CalcE!$AI$64:$AI$135,CalcE!$W$64:$W$135,$F5)</f>
        <v>0</v>
      </c>
      <c r="H5" s="1">
        <f ca="1">SUMIFS(CalcE!$AI$64:$AI$135,CalcE!$V$64:$V$135,$F5)+SUMIFS(CalcE!$AH$64:$AH$135,CalcE!$W$64:$W$135,$F5)</f>
        <v>0</v>
      </c>
      <c r="I5" s="822">
        <f ca="1">IF(Einstellungen!$G$24,G5-H5,IF(H5=0,IF(G5=0,0,Einstellungen!$F$24),G5/H5))</f>
        <v>0</v>
      </c>
      <c r="J5" s="1">
        <f ca="1">$L5*Einstellungen!$C$4+$M5</f>
        <v>0</v>
      </c>
      <c r="K5" s="1">
        <f ca="1">SUMPRODUCT((CalcE!$V$64:$V$99=F5)*(CalcE!$AJ$64:$AJ$99&lt;&gt;"")*CalcE!$AA$64:$AA$99)+SUMPRODUCT((CalcE!$W$64:$W$99=F5)*(CalcE!$AK$64:$AK$99&lt;&gt;"")*CalcE!$AA$64:$AA$99)</f>
        <v>0</v>
      </c>
      <c r="L5" s="1">
        <f ca="1">SUMPRODUCT((CalcE!$V$64:$V$99=F5)*(CalcE!$AJ$64:$AJ$99&gt;CalcE!$AK$64:$AK$99)*CalcE!$AA$64:$AA$99)+SUMPRODUCT((CalcE!$W$64:$W$99=F5)*(CalcE!$AJ$64:$AJ$99&lt;CalcE!$AK$64:$AK$99)*CalcE!$AA$64:$AA$99)</f>
        <v>0</v>
      </c>
      <c r="M5" s="1">
        <f ca="1">SUMPRODUCT((CalcE!$V$64:$W$99=F5)*(CalcE!$AJ$64:$AJ$99=CalcE!$AK$64:$AK$99)*CalcE!$AA$64:$AA$99)</f>
        <v>0</v>
      </c>
      <c r="N5" s="1">
        <f t="shared" ref="N5:N12" ca="1" si="5">K5-L5-M5</f>
        <v>0</v>
      </c>
      <c r="O5" s="665"/>
      <c r="P5" s="1">
        <f ca="1">SUMPRODUCT((CalcE!$V$64:$V$135=F5)*CalcE!$AK$64:$AK$135)+SUMPRODUCT((CalcE!$W$64:$W$135=F5)*CalcE!$AJ$64:$AJ$135)</f>
        <v>0</v>
      </c>
      <c r="Q5" s="1">
        <f ca="1">SUMPRODUCT((CalcE!$V$64:$V$135=F5)*CalcE!$AJ$64:$AJ$135)+SUMPRODUCT((CalcE!$W$64:$W$135=F5)*CalcE!$AK$64:$AK$135)</f>
        <v>0</v>
      </c>
      <c r="R5" s="1">
        <f t="shared" ref="R5:R12" ca="1" si="6">Q5-P5</f>
        <v>0</v>
      </c>
      <c r="S5" s="1">
        <f ca="1">IF(Einstellungen!$G$24,$I5,ROUND($I5,Einstellungen!$H$24))</f>
        <v>0</v>
      </c>
      <c r="T5" s="1">
        <f t="shared" ca="1" si="0"/>
        <v>-10000</v>
      </c>
      <c r="U5" s="1">
        <f t="shared" ca="1" si="1"/>
        <v>1</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11.006</v>
      </c>
      <c r="E6" s="249">
        <f t="shared" ca="1" si="4"/>
        <v>1</v>
      </c>
      <c r="F6" s="1" t="str">
        <f ca="1">$C64</f>
        <v/>
      </c>
      <c r="G6" s="1">
        <f ca="1">SUMIFS(CalcE!$AH$64:$AH$135,CalcE!$V$64:$V$135,$F6)+SUMIFS(CalcE!$AI$64:$AI$135,CalcE!$W$64:$W$135,$F6)</f>
        <v>0</v>
      </c>
      <c r="H6" s="1">
        <f ca="1">SUMIFS(CalcE!$AI$64:$AI$135,CalcE!$V$64:$V$135,$F6)+SUMIFS(CalcE!$AH$64:$AH$135,CalcE!$W$64:$W$135,$F6)</f>
        <v>0</v>
      </c>
      <c r="I6" s="822">
        <f ca="1">IF(Einstellungen!$G$24,G6-H6,IF(H6=0,IF(G6=0,0,Einstellungen!$F$24),G6/H6))</f>
        <v>0</v>
      </c>
      <c r="J6" s="1">
        <f ca="1">$L6*Einstellungen!$C$4+$M6</f>
        <v>0</v>
      </c>
      <c r="K6" s="1">
        <f ca="1">SUMPRODUCT((CalcE!$V$64:$V$99=F6)*(CalcE!$AJ$64:$AJ$99&lt;&gt;"")*CalcE!$AA$64:$AA$99)+SUMPRODUCT((CalcE!$W$64:$W$99=F6)*(CalcE!$AK$64:$AK$99&lt;&gt;"")*CalcE!$AA$64:$AA$99)</f>
        <v>0</v>
      </c>
      <c r="L6" s="1">
        <f ca="1">SUMPRODUCT((CalcE!$V$64:$V$99=F6)*(CalcE!$AJ$64:$AJ$99&gt;CalcE!$AK$64:$AK$99)*CalcE!$AA$64:$AA$99)+SUMPRODUCT((CalcE!$W$64:$W$99=F6)*(CalcE!$AJ$64:$AJ$99&lt;CalcE!$AK$64:$AK$99)*CalcE!$AA$64:$AA$99)</f>
        <v>0</v>
      </c>
      <c r="M6" s="1">
        <f ca="1">SUMPRODUCT((CalcE!$V$64:$W$99=F6)*(CalcE!$AJ$64:$AJ$99=CalcE!$AK$64:$AK$99)*CalcE!$AA$64:$AA$99)</f>
        <v>0</v>
      </c>
      <c r="N6" s="1">
        <f t="shared" ca="1" si="5"/>
        <v>0</v>
      </c>
      <c r="O6" s="665"/>
      <c r="P6" s="1">
        <f ca="1">SUMPRODUCT((CalcE!$V$64:$V$135=F6)*CalcE!$AK$64:$AK$135)+SUMPRODUCT((CalcE!$W$64:$W$135=F6)*CalcE!$AJ$64:$AJ$135)</f>
        <v>0</v>
      </c>
      <c r="Q6" s="1">
        <f ca="1">SUMPRODUCT((CalcE!$V$64:$V$135=F6)*CalcE!$AJ$64:$AJ$135)+SUMPRODUCT((CalcE!$W$64:$W$135=F6)*CalcE!$AK$64:$AK$135)</f>
        <v>0</v>
      </c>
      <c r="R6" s="1">
        <f t="shared" ca="1" si="6"/>
        <v>0</v>
      </c>
      <c r="S6" s="1">
        <f ca="1">IF(Einstellungen!$G$24,$I6,ROUND($I6,Einstellungen!$H$24))</f>
        <v>0</v>
      </c>
      <c r="T6" s="1">
        <f t="shared" ca="1" si="0"/>
        <v>-10000</v>
      </c>
      <c r="U6" s="1">
        <f t="shared" ca="1" si="1"/>
        <v>1</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4</v>
      </c>
      <c r="D7" s="822">
        <f t="shared" ca="1" si="3"/>
        <v>11.007</v>
      </c>
      <c r="E7" s="249">
        <f t="shared" ca="1" si="4"/>
        <v>1</v>
      </c>
      <c r="F7" s="1" t="str">
        <f ca="1">$C65</f>
        <v/>
      </c>
      <c r="G7" s="1">
        <f ca="1">SUMIFS(CalcE!$AH$64:$AH$135,CalcE!$V$64:$V$135,$F7)+SUMIFS(CalcE!$AI$64:$AI$135,CalcE!$W$64:$W$135,$F7)</f>
        <v>0</v>
      </c>
      <c r="H7" s="1">
        <f ca="1">SUMIFS(CalcE!$AI$64:$AI$135,CalcE!$V$64:$V$135,$F7)+SUMIFS(CalcE!$AH$64:$AH$135,CalcE!$W$64:$W$135,$F7)</f>
        <v>0</v>
      </c>
      <c r="I7" s="822">
        <f ca="1">IF(Einstellungen!$G$24,G7-H7,IF(H7=0,IF(G7=0,0,Einstellungen!$F$24),G7/H7))</f>
        <v>0</v>
      </c>
      <c r="J7" s="1">
        <f ca="1">$L7*Einstellungen!$C$4+$M7</f>
        <v>0</v>
      </c>
      <c r="K7" s="1">
        <f ca="1">SUMPRODUCT((CalcE!$V$64:$V$99=F7)*(CalcE!$AJ$64:$AJ$99&lt;&gt;"")*CalcE!$AA$64:$AA$99)+SUMPRODUCT((CalcE!$W$64:$W$99=F7)*(CalcE!$AK$64:$AK$99&lt;&gt;"")*CalcE!$AA$64:$AA$99)</f>
        <v>0</v>
      </c>
      <c r="L7" s="1">
        <f ca="1">SUMPRODUCT((CalcE!$V$64:$V$99=F7)*(CalcE!$AJ$64:$AJ$99&gt;CalcE!$AK$64:$AK$99)*CalcE!$AA$64:$AA$99)+SUMPRODUCT((CalcE!$W$64:$W$99=F7)*(CalcE!$AJ$64:$AJ$99&lt;CalcE!$AK$64:$AK$99)*CalcE!$AA$64:$AA$99)</f>
        <v>0</v>
      </c>
      <c r="M7" s="1">
        <f ca="1">SUMPRODUCT((CalcE!$V$64:$W$99=F7)*(CalcE!$AJ$64:$AJ$99=CalcE!$AK$64:$AK$99)*CalcE!$AA$64:$AA$99)</f>
        <v>0</v>
      </c>
      <c r="N7" s="1">
        <f t="shared" ca="1" si="5"/>
        <v>0</v>
      </c>
      <c r="O7" s="665"/>
      <c r="P7" s="1">
        <f ca="1">SUMPRODUCT((CalcE!$V$64:$V$135=F7)*CalcE!$AK$64:$AK$135)+SUMPRODUCT((CalcE!$W$64:$W$135=F7)*CalcE!$AJ$64:$AJ$135)</f>
        <v>0</v>
      </c>
      <c r="Q7" s="1">
        <f ca="1">SUMPRODUCT((CalcE!$V$64:$V$135=F7)*CalcE!$AJ$64:$AJ$135)+SUMPRODUCT((CalcE!$W$64:$W$135=F7)*CalcE!$AK$64:$AK$135)</f>
        <v>0</v>
      </c>
      <c r="R7" s="1">
        <f t="shared" ca="1" si="6"/>
        <v>0</v>
      </c>
      <c r="S7" s="1">
        <f ca="1">IF(Einstellungen!$G$24,$I7,ROUND($I7,Einstellungen!$H$24))</f>
        <v>0</v>
      </c>
      <c r="T7" s="1">
        <f t="shared" ca="1" si="0"/>
        <v>-10000</v>
      </c>
      <c r="U7" s="1">
        <f t="shared" ca="1" si="1"/>
        <v>1</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IF(Einstellungen!$G$24,G8-H8,IF(H8=0,IF(G8=0,0,Einstellungen!$F$24),G8/H8))</f>
        <v>0</v>
      </c>
      <c r="J8" s="1">
        <f ca="1">$L8*Einstellungen!$C$4+$M8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IF(Einstellungen!$G$24,$I8,ROUND($I8,Einstellungen!$H$24))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IF(Einstellungen!$G$24,G9-H9,IF(H9=0,IF(G9=0,0,Einstellungen!$F$24),G9/H9))</f>
        <v>0</v>
      </c>
      <c r="J9" s="1">
        <f ca="1">$L9*Einstellungen!$C$4+$M9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IF(Einstellungen!$G$24,$I9,ROUND($I9,Einstellungen!$H$24))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IF(Einstellungen!$G$24,G10-H10,IF(H10=0,IF(G10=0,0,Einstellungen!$F$24),G10/H10))</f>
        <v>0</v>
      </c>
      <c r="J10" s="1">
        <f ca="1">$L10*Einstellungen!$C$4+$M10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IF(Einstellungen!$G$24,$I10,ROUND($I10,Einstellungen!$H$24))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IF(Einstellungen!$G$24,G11-H11,IF(H11=0,IF(G11=0,0,Einstellungen!$F$24),G11/H11))</f>
        <v>0</v>
      </c>
      <c r="J11" s="1">
        <f ca="1">$L11*Einstellungen!$C$4+$M11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IF(Einstellungen!$G$24,$I11,ROUND($I11,Einstellungen!$H$24))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IF(Einstellungen!$G$24,G12-H12,IF(H12=0,IF(G12=0,0,Einstellungen!$F$24),G12/H12))</f>
        <v>0</v>
      </c>
      <c r="J12" s="1">
        <f ca="1">$L12*Einstellungen!$C$4+$M12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IF(Einstellungen!$G$24,$I12,ROUND($I12,Einstellungen!$H$24))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0</v>
      </c>
      <c r="C13" s="822"/>
      <c r="D13" s="822"/>
      <c r="E13" s="822"/>
      <c r="F13" s="822">
        <f ca="1">9-COUNTBLANK($F$4:$F$12)</f>
        <v>0</v>
      </c>
      <c r="G13" s="822"/>
      <c r="H13" s="822"/>
      <c r="I13" s="822"/>
      <c r="J13" s="822"/>
      <c r="K13" s="27">
        <f ca="1">QUOTIENT(SUM(K4:K12),2)</f>
        <v>0</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46"/>
      <c r="AE15" s="1046"/>
      <c r="AF15" s="1046"/>
      <c r="AG15" s="1046"/>
      <c r="AH15" s="1046"/>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447</v>
      </c>
      <c r="L16" s="11" t="s">
        <v>380</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371</v>
      </c>
      <c r="AB16" s="1" t="s">
        <v>108</v>
      </c>
      <c r="AC16" s="1"/>
      <c r="AD16" s="783" t="s">
        <v>452</v>
      </c>
      <c r="AE16" s="779"/>
      <c r="AF16" s="822"/>
      <c r="AG16" s="822"/>
      <c r="AH16" s="780"/>
      <c r="AI16" s="4"/>
    </row>
    <row r="17" spans="2:80" s="2" customFormat="1" ht="12.75" thickTop="1" x14ac:dyDescent="0.2">
      <c r="C17" s="2" t="str">
        <f ca="1">$C62</f>
        <v/>
      </c>
      <c r="D17" s="1">
        <f t="shared" ref="D17:G20" ca="1" si="7">K4</f>
        <v>0</v>
      </c>
      <c r="E17" s="1">
        <f t="shared" ca="1" si="7"/>
        <v>0</v>
      </c>
      <c r="F17" s="1">
        <f t="shared" ca="1" si="7"/>
        <v>0</v>
      </c>
      <c r="G17" s="1">
        <f t="shared" ca="1" si="7"/>
        <v>0</v>
      </c>
      <c r="H17" s="1">
        <f t="shared" ref="H17:J20" ca="1" si="8">G4</f>
        <v>0</v>
      </c>
      <c r="I17" s="1">
        <f t="shared" ca="1" si="8"/>
        <v>0</v>
      </c>
      <c r="J17" s="822">
        <f t="shared" ca="1" si="8"/>
        <v>0</v>
      </c>
      <c r="K17" s="1">
        <f ca="1">IF(Einstellungen!$G$9,J4,$Q4)</f>
        <v>0</v>
      </c>
      <c r="L17" s="29">
        <f ca="1">K17*CalcE!$F$64+(R4+CalcE!$H$65)*CalcE!$F$65*Einstellungen!$G$14+Q4*CalcE!$F$66*Einstellungen!$G$19+U4*CalcE!$F$67</f>
        <v>1E-3</v>
      </c>
      <c r="M17" s="14">
        <f ca="1">IF($AI$15,COUNTIF($K$17:$K$25,K17),COUNTIF($L$17:$L$25,L17))</f>
        <v>9</v>
      </c>
      <c r="N17" s="14">
        <f t="array" aca="1" ref="N17" ca="1">IF($AI$15,SUM(($K$17:$K$25&gt;=K17)/COUNTIF($K$17:$K$25,$K$17:$K$25)),SUM(($L$17:$L$25&gt;=L17)/COUNTIF($L$17:$L$25,$L$17:$L$25)))</f>
        <v>1.0000000000000002</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101.01090000000001</v>
      </c>
      <c r="Y17" s="822">
        <f ca="1">'Endrunde 4'!$AS12+$AD17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
      </c>
      <c r="D18" s="1">
        <f t="shared" ca="1" si="7"/>
        <v>0</v>
      </c>
      <c r="E18" s="1">
        <f t="shared" ca="1" si="7"/>
        <v>0</v>
      </c>
      <c r="F18" s="1">
        <f t="shared" ca="1" si="7"/>
        <v>0</v>
      </c>
      <c r="G18" s="1">
        <f t="shared" ca="1" si="7"/>
        <v>0</v>
      </c>
      <c r="H18" s="1">
        <f t="shared" ca="1" si="8"/>
        <v>0</v>
      </c>
      <c r="I18" s="1">
        <f t="shared" ca="1" si="8"/>
        <v>0</v>
      </c>
      <c r="J18" s="822">
        <f t="shared" ca="1" si="8"/>
        <v>0</v>
      </c>
      <c r="K18" s="1">
        <f ca="1">IF(Einstellungen!$G$9,J5,$Q5)</f>
        <v>0</v>
      </c>
      <c r="L18" s="29">
        <f ca="1">K18*CalcE!$F$64+(R5+CalcE!$H$65)*CalcE!$F$65*Einstellungen!$G$14+Q5*CalcE!$F$66*Einstellungen!$G$19+U5*CalcE!$F$67</f>
        <v>1E-3</v>
      </c>
      <c r="M18" s="14">
        <f t="shared" ref="M18:M25" ca="1" si="17">IF($AI$15,COUNTIF($K$17:$K$25,K18),COUNTIF($L$17:$L$25,L18))</f>
        <v>9</v>
      </c>
      <c r="N18" s="14">
        <f t="array" aca="1" ref="N18" ca="1">IF($AI$15,SUM(($K$17:$K$25&gt;=K18)/COUNTIF($K$17:$K$25,$K$17:$K$25)),SUM(($L$17:$L$25&gt;=L18)/COUNTIF($L$17:$L$25,$L$17:$L$25)))</f>
        <v>1.0000000000000002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101.01090000000001</v>
      </c>
      <c r="Y18" s="827">
        <f ca="1">'Endrunde 4'!$AS13+$AD18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
      </c>
      <c r="D19" s="1">
        <f t="shared" ca="1" si="7"/>
        <v>0</v>
      </c>
      <c r="E19" s="1">
        <f t="shared" ca="1" si="7"/>
        <v>0</v>
      </c>
      <c r="F19" s="1">
        <f t="shared" ca="1" si="7"/>
        <v>0</v>
      </c>
      <c r="G19" s="1">
        <f t="shared" ca="1" si="7"/>
        <v>0</v>
      </c>
      <c r="H19" s="1">
        <f t="shared" ca="1" si="8"/>
        <v>0</v>
      </c>
      <c r="I19" s="1">
        <f t="shared" ca="1" si="8"/>
        <v>0</v>
      </c>
      <c r="J19" s="822">
        <f t="shared" ca="1" si="8"/>
        <v>0</v>
      </c>
      <c r="K19" s="1">
        <f ca="1">IF(Einstellungen!$G$9,J6,$Q6)</f>
        <v>0</v>
      </c>
      <c r="L19" s="29">
        <f ca="1">K19*CalcE!$F$64+(R6+CalcE!$H$65)*CalcE!$F$65*Einstellungen!$G$14+Q6*CalcE!$F$66*Einstellungen!$G$19+U6*CalcE!$F$67</f>
        <v>1E-3</v>
      </c>
      <c r="M19" s="14">
        <f t="shared" ca="1" si="17"/>
        <v>9</v>
      </c>
      <c r="N19" s="14">
        <f t="array" aca="1" ref="N19" ca="1">IF($AI$15,SUM(($K$17:$K$25&gt;=K19)/COUNTIF($K$17:$K$25,$K$17:$K$25)),SUM(($L$17:$L$25&gt;=L19)/COUNTIF($L$17:$L$25,$L$17:$L$25)))</f>
        <v>1.0000000000000002</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101.01090000000001</v>
      </c>
      <c r="Y19" s="827">
        <f ca="1">'Endrunde 4'!$AS14+$AD19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
      </c>
      <c r="D20" s="1">
        <f t="shared" ca="1" si="7"/>
        <v>0</v>
      </c>
      <c r="E20" s="1">
        <f t="shared" ca="1" si="7"/>
        <v>0</v>
      </c>
      <c r="F20" s="1">
        <f t="shared" ca="1" si="7"/>
        <v>0</v>
      </c>
      <c r="G20" s="1">
        <f t="shared" ca="1" si="7"/>
        <v>0</v>
      </c>
      <c r="H20" s="1">
        <f t="shared" ca="1" si="8"/>
        <v>0</v>
      </c>
      <c r="I20" s="1">
        <f t="shared" ca="1" si="8"/>
        <v>0</v>
      </c>
      <c r="J20" s="822">
        <f t="shared" ca="1" si="8"/>
        <v>0</v>
      </c>
      <c r="K20" s="1">
        <f ca="1">IF(Einstellungen!$G$9,J7,$Q7)</f>
        <v>0</v>
      </c>
      <c r="L20" s="29">
        <f ca="1">K20*CalcE!$F$64+(R7+CalcE!$H$65)*CalcE!$F$65*Einstellungen!$G$14+Q7*CalcE!$F$66*Einstellungen!$G$19+U7*CalcE!$F$67</f>
        <v>1E-3</v>
      </c>
      <c r="M20" s="14">
        <f t="shared" ca="1" si="17"/>
        <v>9</v>
      </c>
      <c r="N20" s="14">
        <f t="array" aca="1" ref="N20" ca="1">IF($AI$15,SUM(($K$17:$K$25&gt;=K20)/COUNTIF($K$17:$K$25,$K$17:$K$25)),SUM(($L$17:$L$25&gt;=L20)/COUNTIF($L$17:$L$25,$L$17:$L$25)))</f>
        <v>1.0000000000000002</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101.01090000000001</v>
      </c>
      <c r="Y20" s="827">
        <f ca="1">'Endrunde 4'!$AS15+$AD20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IF(Einstellungen!$G$9,J8,$Q8)</f>
        <v>0</v>
      </c>
      <c r="L21" s="29">
        <f ca="1">K21*CalcE!$F$64+(R8+CalcE!$H$65)*CalcE!$F$65*Einstellungen!$G$14+Q8*CalcE!$F$66*Einstellungen!$G$19+U8*CalcE!$F$67</f>
        <v>1E-3</v>
      </c>
      <c r="M21" s="14">
        <f t="shared" ca="1" si="17"/>
        <v>9</v>
      </c>
      <c r="N21" s="14">
        <f t="array" aca="1" ref="N21" ca="1">IF($AI$15,SUM(($K$17:$K$25&gt;=K21)/COUNTIF($K$17:$K$25,$K$17:$K$25)),SUM(($L$17:$L$25&gt;=L21)/COUNTIF($L$17:$L$25,$L$17:$L$25)))</f>
        <v>1.0000000000000002</v>
      </c>
      <c r="O21" s="6"/>
      <c r="P21" s="4"/>
      <c r="Q21" s="4"/>
      <c r="R21" s="4"/>
      <c r="S21" s="4"/>
      <c r="T21" s="4"/>
      <c r="U21" s="4"/>
      <c r="V21" s="55"/>
      <c r="W21" s="62">
        <v>0</v>
      </c>
      <c r="X21" s="22">
        <f t="shared" ca="1" si="18"/>
        <v>101.0509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IF(Einstellungen!$G$9,J9,$Q9)</f>
        <v>0</v>
      </c>
      <c r="L22" s="29">
        <f ca="1">K22*CalcE!$F$64+(R9+CalcE!$H$65)*CalcE!$F$65*Einstellungen!$G$14+Q9*CalcE!$F$66*Einstellungen!$G$19+U9*CalcE!$F$67</f>
        <v>1E-3</v>
      </c>
      <c r="M22" s="14">
        <f t="shared" ca="1" si="17"/>
        <v>9</v>
      </c>
      <c r="N22" s="14">
        <f t="array" aca="1" ref="N22" ca="1">IF($AI$15,SUM(($K$17:$K$25&gt;=K22)/COUNTIF($K$17:$K$25,$K$17:$K$25)),SUM(($L$17:$L$25&gt;=L22)/COUNTIF($L$17:$L$25,$L$17:$L$25)))</f>
        <v>1.0000000000000002</v>
      </c>
      <c r="O22" s="6"/>
      <c r="P22" s="4"/>
      <c r="Q22" s="4"/>
      <c r="R22" s="4"/>
      <c r="S22" s="4"/>
      <c r="T22" s="4"/>
      <c r="U22" s="4"/>
      <c r="V22" s="55"/>
      <c r="W22" s="62">
        <v>0</v>
      </c>
      <c r="X22" s="22">
        <f t="shared" ca="1" si="18"/>
        <v>101.0509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IF(Einstellungen!$G$9,J10,$Q10)</f>
        <v>0</v>
      </c>
      <c r="L23" s="29">
        <f ca="1">K23*CalcE!$F$64+(R10+CalcE!$H$65)*CalcE!$F$65*Einstellungen!$G$14+Q10*CalcE!$F$66*Einstellungen!$G$19+U10*CalcE!$F$67</f>
        <v>1E-3</v>
      </c>
      <c r="M23" s="14">
        <f t="shared" ca="1" si="17"/>
        <v>9</v>
      </c>
      <c r="N23" s="14">
        <f t="array" aca="1" ref="N23" ca="1">IF($AI$15,SUM(($K$17:$K$25&gt;=K23)/COUNTIF($K$17:$K$25,$K$17:$K$25)),SUM(($L$17:$L$25&gt;=L23)/COUNTIF($L$17:$L$25,$L$17:$L$25)))</f>
        <v>1.0000000000000002</v>
      </c>
      <c r="O23" s="6"/>
      <c r="P23" s="4"/>
      <c r="Q23" s="4"/>
      <c r="R23" s="4"/>
      <c r="S23" s="4"/>
      <c r="T23" s="4"/>
      <c r="U23" s="4"/>
      <c r="V23" s="55"/>
      <c r="W23" s="62">
        <v>0</v>
      </c>
      <c r="X23" s="22">
        <f t="shared" ca="1" si="18"/>
        <v>101.0509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IF(Einstellungen!$G$9,J11,$Q11)</f>
        <v>0</v>
      </c>
      <c r="L24" s="29">
        <f ca="1">K24*CalcE!$F$64+(R11+CalcE!$H$65)*CalcE!$F$65*Einstellungen!$G$14+Q11*CalcE!$F$66*Einstellungen!$G$19+U11*CalcE!$F$67</f>
        <v>1E-3</v>
      </c>
      <c r="M24" s="14">
        <f t="shared" ca="1" si="17"/>
        <v>9</v>
      </c>
      <c r="N24" s="14">
        <f t="array" aca="1" ref="N24" ca="1">IF($AI$15,SUM(($K$17:$K$25&gt;=K24)/COUNTIF($K$17:$K$25,$K$17:$K$25)),SUM(($L$17:$L$25&gt;=L24)/COUNTIF($L$17:$L$25,$L$17:$L$25)))</f>
        <v>1.0000000000000002</v>
      </c>
      <c r="O24" s="6"/>
      <c r="P24" s="4"/>
      <c r="Q24" s="4"/>
      <c r="R24" s="4"/>
      <c r="S24" s="4"/>
      <c r="T24" s="4"/>
      <c r="U24" s="4"/>
      <c r="V24" s="55"/>
      <c r="W24" s="62">
        <v>0</v>
      </c>
      <c r="X24" s="22">
        <f t="shared" ca="1" si="18"/>
        <v>101.0509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IF(Einstellungen!$G$9,J12,$Q12)</f>
        <v>0</v>
      </c>
      <c r="L25" s="29">
        <f ca="1">K25*CalcE!$F$64+(R12+CalcE!$H$65)*CalcE!$F$65*Einstellungen!$G$14+Q12*CalcE!$F$66*Einstellungen!$G$19+U12*CalcE!$F$67</f>
        <v>1E-3</v>
      </c>
      <c r="M25" s="14">
        <f t="shared" ca="1" si="17"/>
        <v>9</v>
      </c>
      <c r="N25" s="14">
        <f t="array" aca="1" ref="N25" ca="1">IF($AI$15,SUM(($K$17:$K$25&gt;=K25)/COUNTIF($K$17:$K$25,$K$17:$K$25)),SUM(($L$17:$L$25&gt;=L25)/COUNTIF($L$17:$L$25,$L$17:$L$25)))</f>
        <v>1.0000000000000002</v>
      </c>
      <c r="O25" s="56"/>
      <c r="P25" s="57"/>
      <c r="Q25" s="57"/>
      <c r="R25" s="57"/>
      <c r="S25" s="57"/>
      <c r="T25" s="57"/>
      <c r="U25" s="57"/>
      <c r="V25" s="58"/>
      <c r="W25" s="62">
        <v>0</v>
      </c>
      <c r="X25" s="23">
        <f t="shared" ca="1" si="18"/>
        <v>101.0509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29">
        <v>1</v>
      </c>
      <c r="F29" s="1026"/>
      <c r="G29" s="1026"/>
      <c r="H29" s="1026"/>
      <c r="I29" s="1026"/>
      <c r="J29" s="1026"/>
      <c r="K29" s="1026"/>
      <c r="L29" s="1028"/>
      <c r="M29" s="1025">
        <v>2</v>
      </c>
      <c r="N29" s="1026"/>
      <c r="O29" s="1026"/>
      <c r="P29" s="1026"/>
      <c r="Q29" s="1026"/>
      <c r="R29" s="1026"/>
      <c r="S29" s="1026"/>
      <c r="T29" s="1028"/>
      <c r="U29" s="1025">
        <v>3</v>
      </c>
      <c r="V29" s="1026"/>
      <c r="W29" s="1026"/>
      <c r="X29" s="1026"/>
      <c r="Y29" s="1026"/>
      <c r="Z29" s="1026"/>
      <c r="AA29" s="1026"/>
      <c r="AB29" s="1028"/>
      <c r="AC29" s="1025">
        <v>4</v>
      </c>
      <c r="AD29" s="1026"/>
      <c r="AE29" s="1026"/>
      <c r="AF29" s="1026"/>
      <c r="AG29" s="1026"/>
      <c r="AH29" s="1026"/>
      <c r="AI29" s="1026"/>
      <c r="AJ29" s="1028"/>
      <c r="AK29" s="1025">
        <v>5</v>
      </c>
      <c r="AL29" s="1026"/>
      <c r="AM29" s="1026"/>
      <c r="AN29" s="1026"/>
      <c r="AO29" s="1026"/>
      <c r="AP29" s="1026"/>
      <c r="AQ29" s="1026"/>
      <c r="AR29" s="1028"/>
      <c r="AS29" s="1025">
        <v>6</v>
      </c>
      <c r="AT29" s="1026"/>
      <c r="AU29" s="1026"/>
      <c r="AV29" s="1026"/>
      <c r="AW29" s="1026"/>
      <c r="AX29" s="1026"/>
      <c r="AY29" s="1026"/>
      <c r="AZ29" s="1028"/>
      <c r="BA29" s="1025">
        <v>7</v>
      </c>
      <c r="BB29" s="1026"/>
      <c r="BC29" s="1026"/>
      <c r="BD29" s="1026"/>
      <c r="BE29" s="1026"/>
      <c r="BF29" s="1026"/>
      <c r="BG29" s="1026"/>
      <c r="BH29" s="1028"/>
      <c r="BI29" s="1025">
        <v>8</v>
      </c>
      <c r="BJ29" s="1026"/>
      <c r="BK29" s="1026"/>
      <c r="BL29" s="1026"/>
      <c r="BM29" s="1026"/>
      <c r="BN29" s="1026"/>
      <c r="BO29" s="1026"/>
      <c r="BP29" s="1027"/>
      <c r="BQ29" s="822"/>
      <c r="BR29" s="5" t="s">
        <v>94</v>
      </c>
      <c r="BS29" s="2" t="str">
        <f ca="1">$F$4</f>
        <v/>
      </c>
      <c r="BT29" s="2" t="str">
        <f ca="1">$F$5</f>
        <v/>
      </c>
      <c r="BU29" s="2" t="str">
        <f ca="1">$F$6</f>
        <v/>
      </c>
      <c r="BV29" s="2" t="str">
        <f ca="1">$F$7</f>
        <v/>
      </c>
      <c r="BW29" s="2" t="str">
        <f>$F$8</f>
        <v/>
      </c>
      <c r="BX29" s="2" t="str">
        <f>$F$9</f>
        <v/>
      </c>
      <c r="BY29" s="2" t="str">
        <f>$F$10</f>
        <v/>
      </c>
      <c r="BZ29" s="2" t="str">
        <f>$F$11</f>
        <v/>
      </c>
      <c r="CA29" s="2" t="str">
        <f>$F$12</f>
        <v/>
      </c>
      <c r="CB29" s="51"/>
    </row>
    <row r="30" spans="2:80" s="2" customFormat="1" x14ac:dyDescent="0.2">
      <c r="C30" s="2" t="str">
        <f ca="1">$C62</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
      </c>
      <c r="BS30" s="7"/>
      <c r="BT30" s="8">
        <f ca="1">SUMIFS(CalcE!$AH$64:$AH$99,CalcE!$V$64:$V$99,$BR30,CalcE!$W$64:$W$99,BT$29)+SUMIFS(CalcE!$AI$64:$AI$99,CalcE!$W$64:$W$99,$BR30,CalcE!$V$64:$V$99,BT$29)</f>
        <v>0</v>
      </c>
      <c r="BU30" s="8">
        <f ca="1">SUMIFS(CalcE!$AH$64:$AH$99,CalcE!$V$64:$V$99,$BR30,CalcE!$W$64:$W$99,BU$29)+SUMIFS(CalcE!$AI$64:$AI$99,CalcE!$W$64:$W$99,$BR30,CalcE!$V$64:$V$99,BU$29)</f>
        <v>0</v>
      </c>
      <c r="BV30" s="8">
        <f ca="1">SUMIFS(CalcE!$AH$64:$AH$99,CalcE!$V$64:$V$99,$BR30,CalcE!$W$64:$W$99,BV$29)+SUMIFS(CalcE!$AI$64:$AI$99,CalcE!$W$64:$W$99,$BR30,CalcE!$V$64:$V$99,BV$29)</f>
        <v>0</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
      </c>
      <c r="BS31" s="9">
        <f ca="1">SUMIFS(CalcE!$AH$64:$AH$99,CalcE!$V$64:$V$99,$BR31,CalcE!$W$64:$W$99,BS$29)+SUMIFS(CalcE!$AI$64:$AI$99,CalcE!$W$64:$W$99,$BR31,CalcE!$V$64:$V$99,BS$29)</f>
        <v>0</v>
      </c>
      <c r="BT31" s="7"/>
      <c r="BU31" s="8">
        <f ca="1">SUMIFS(CalcE!$AH$64:$AH$99,CalcE!$V$64:$V$99,$BR31,CalcE!$W$64:$W$99,BU$29)+SUMIFS(CalcE!$AI$64:$AI$99,CalcE!$W$64:$W$99,$BR31,CalcE!$V$64:$V$99,BU$29)</f>
        <v>0</v>
      </c>
      <c r="BV31" s="8">
        <f ca="1">SUMIFS(CalcE!$AH$64:$AH$99,CalcE!$V$64:$V$99,$BR31,CalcE!$W$64:$W$99,BV$29)+SUMIFS(CalcE!$AI$64:$AI$99,CalcE!$W$64:$W$99,$BR31,CalcE!$V$64:$V$99,BV$29)</f>
        <v>0</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
      </c>
      <c r="BS32" s="9">
        <f ca="1">SUMIFS(CalcE!$AH$64:$AH$99,CalcE!$V$64:$V$99,$BR32,CalcE!$W$64:$W$99,BS$29)+SUMIFS(CalcE!$AI$64:$AI$99,CalcE!$W$64:$W$99,$BR32,CalcE!$V$64:$V$99,BS$29)</f>
        <v>0</v>
      </c>
      <c r="BT32" s="9">
        <f ca="1">SUMIFS(CalcE!$AH$64:$AH$99,CalcE!$V$64:$V$99,$BR32,CalcE!$W$64:$W$99,BT$29)+SUMIFS(CalcE!$AI$64:$AI$99,CalcE!$W$64:$W$99,$BR32,CalcE!$V$64:$V$99,BT$29)</f>
        <v>0</v>
      </c>
      <c r="BU32" s="7"/>
      <c r="BV32" s="8">
        <f ca="1">SUMIFS(CalcE!$AH$64:$AH$99,CalcE!$V$64:$V$99,$BR32,CalcE!$W$64:$W$99,BV$29)+SUMIFS(CalcE!$AI$64:$AI$99,CalcE!$W$64:$W$99,$BR32,CalcE!$V$64:$V$99,BV$29)</f>
        <v>0</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
      </c>
      <c r="BS33" s="9">
        <f ca="1">SUMIFS(CalcE!$AH$64:$AH$99,CalcE!$V$64:$V$99,$BR33,CalcE!$W$64:$W$99,BS$29)+SUMIFS(CalcE!$AI$64:$AI$99,CalcE!$W$64:$W$99,$BR33,CalcE!$V$64:$V$99,BS$29)</f>
        <v>0</v>
      </c>
      <c r="BT33" s="9">
        <f ca="1">SUMIFS(CalcE!$AH$64:$AH$99,CalcE!$V$64:$V$99,$BR33,CalcE!$W$64:$W$99,BT$29)+SUMIFS(CalcE!$AI$64:$AI$99,CalcE!$W$64:$W$99,$BR33,CalcE!$V$64:$V$99,BT$29)</f>
        <v>0</v>
      </c>
      <c r="BU33" s="9">
        <f ca="1">SUMIFS(CalcE!$AH$64:$AH$99,CalcE!$V$64:$V$99,$BR33,CalcE!$W$64:$W$99,BU$29)+SUMIFS(CalcE!$AI$64:$AI$99,CalcE!$W$64:$W$99,$BR33,CalcE!$V$64:$V$99,BU$29)</f>
        <v>0</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444</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
      </c>
      <c r="BS52" s="7"/>
      <c r="BT52" s="8">
        <f ca="1">SUMIFS(CalcE!$AJ$64:$AJ$99,CalcE!$V$64:$V$99,$BR52,CalcE!$W$64:$W$99,BT$51)+SUMIFS(CalcE!$AK$64:$AK$99,CalcE!$W$64:$W$99,$BR52,CalcE!$V$64:$V$99,BT$51)</f>
        <v>0</v>
      </c>
      <c r="BU52" s="8">
        <f ca="1">SUMIFS(CalcE!$AJ$64:$AJ$99,CalcE!$V$64:$V$99,$BR52,CalcE!$W$64:$W$99,BU$51)+SUMIFS(CalcE!$AK$64:$AK$99,CalcE!$W$64:$W$99,$BR52,CalcE!$V$64:$V$99,BU$51)</f>
        <v>0</v>
      </c>
      <c r="BV52" s="8">
        <f ca="1">SUMIFS(CalcE!$AJ$64:$AJ$99,CalcE!$V$64:$V$99,$BR52,CalcE!$W$64:$W$99,BV$51)+SUMIFS(CalcE!$AK$64:$AK$99,CalcE!$W$64:$W$99,$BR52,CalcE!$V$64:$V$99,BV$51)</f>
        <v>0</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
      </c>
      <c r="BS53" s="9">
        <f ca="1">SUMIFS(CalcE!$AJ$64:$AJ$99,CalcE!$V$64:$V$99,$BR53,CalcE!$W$64:$W$99,BS$51)+SUMIFS(CalcE!$AK$64:$AK$99,CalcE!$W$64:$W$99,$BR53,CalcE!$V$64:$V$99,BS$51)</f>
        <v>0</v>
      </c>
      <c r="BT53" s="7"/>
      <c r="BU53" s="8">
        <f ca="1">SUMIFS(CalcE!$AJ$64:$AJ$99,CalcE!$V$64:$V$99,$BR53,CalcE!$W$64:$W$99,BU$51)+SUMIFS(CalcE!$AK$64:$AK$99,CalcE!$W$64:$W$99,$BR53,CalcE!$V$64:$V$99,BU$51)</f>
        <v>0</v>
      </c>
      <c r="BV53" s="8">
        <f ca="1">SUMIFS(CalcE!$AJ$64:$AJ$99,CalcE!$V$64:$V$99,$BR53,CalcE!$W$64:$W$99,BV$51)+SUMIFS(CalcE!$AK$64:$AK$99,CalcE!$W$64:$W$99,$BR53,CalcE!$V$64:$V$99,BV$51)</f>
        <v>0</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0</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
      </c>
      <c r="BS55" s="9">
        <f ca="1">SUMIFS(CalcE!$AJ$64:$AJ$99,CalcE!$V$64:$V$99,$BR55,CalcE!$W$64:$W$99,BS$51)+SUMIFS(CalcE!$AK$64:$AK$99,CalcE!$W$64:$W$99,$BR55,CalcE!$V$64:$V$99,BS$51)</f>
        <v>0</v>
      </c>
      <c r="BT55" s="9">
        <f ca="1">SUMIFS(CalcE!$AJ$64:$AJ$99,CalcE!$V$64:$V$99,$BR55,CalcE!$W$64:$W$99,BT$51)+SUMIFS(CalcE!$AK$64:$AK$99,CalcE!$W$64:$W$99,$BR55,CalcE!$V$64:$V$99,BT$51)</f>
        <v>0</v>
      </c>
      <c r="BU55" s="9">
        <f ca="1">SUMIFS(CalcE!$AJ$64:$AJ$99,CalcE!$V$64:$V$99,$BR55,CalcE!$W$64:$W$99,BU$51)+SUMIFS(CalcE!$AK$64:$AK$99,CalcE!$W$64:$W$99,$BR55,CalcE!$V$64:$V$99,BU$51)</f>
        <v>0</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38" t="str">
        <f ca="1">IF('Endrunde 4'!$AQ12="","",'Endrunde 4'!$AQ12)</f>
        <v/>
      </c>
      <c r="D62" s="1039"/>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40" t="str">
        <f ca="1">IF('Endrunde 4'!$AQ13="","",'Endrunde 4'!$AQ13)</f>
        <v/>
      </c>
      <c r="D63" s="1041"/>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40" t="str">
        <f ca="1">IF('Endrunde 4'!$AQ14="","",'Endrunde 4'!$AQ14)</f>
        <v/>
      </c>
      <c r="D64" s="1041"/>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42" t="str">
        <f ca="1">IF('Endrunde 4'!$AQ15="","",'Endrunde 4'!$AQ15)</f>
        <v/>
      </c>
      <c r="D65" s="1043"/>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C62:D62"/>
    <mergeCell ref="C63:D63"/>
    <mergeCell ref="C64:D64"/>
    <mergeCell ref="C65:D65"/>
    <mergeCell ref="AS29:AZ29"/>
    <mergeCell ref="E29:L29"/>
    <mergeCell ref="M29:T29"/>
    <mergeCell ref="BA29:BH29"/>
    <mergeCell ref="BI29:BP29"/>
    <mergeCell ref="W3:AA3"/>
    <mergeCell ref="AB3:AF3"/>
    <mergeCell ref="AG3:AK3"/>
    <mergeCell ref="AL3:AP3"/>
    <mergeCell ref="AD15:AH15"/>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72"/>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875" t="str">
        <f>Sprache!$E$50</f>
        <v>Spielpaarungen</v>
      </c>
      <c r="C1" s="237" t="s">
        <v>174</v>
      </c>
      <c r="D1" s="241" t="s">
        <v>184</v>
      </c>
      <c r="E1" s="241" t="s">
        <v>188</v>
      </c>
      <c r="G1" s="237" t="s">
        <v>165</v>
      </c>
      <c r="H1" s="74" t="s">
        <v>186</v>
      </c>
      <c r="I1" s="74" t="s">
        <v>190</v>
      </c>
      <c r="K1" s="237" t="s">
        <v>166</v>
      </c>
      <c r="L1" s="74" t="s">
        <v>192</v>
      </c>
      <c r="M1" s="74" t="s">
        <v>188</v>
      </c>
      <c r="O1" s="237" t="s">
        <v>167</v>
      </c>
      <c r="P1" s="74" t="s">
        <v>186</v>
      </c>
      <c r="Q1" s="74" t="s">
        <v>194</v>
      </c>
    </row>
    <row r="2" spans="1:17" x14ac:dyDescent="0.2">
      <c r="A2" s="875"/>
      <c r="C2" s="292"/>
      <c r="D2" s="241" t="s">
        <v>185</v>
      </c>
      <c r="E2" s="241" t="s">
        <v>189</v>
      </c>
      <c r="G2" s="292"/>
      <c r="H2" s="74" t="s">
        <v>187</v>
      </c>
      <c r="I2" s="74" t="s">
        <v>191</v>
      </c>
      <c r="K2" s="292"/>
      <c r="L2" s="74" t="s">
        <v>193</v>
      </c>
      <c r="M2" s="74" t="s">
        <v>189</v>
      </c>
      <c r="N2" s="74"/>
      <c r="O2" s="292"/>
      <c r="P2" s="74" t="s">
        <v>187</v>
      </c>
      <c r="Q2" s="74" t="s">
        <v>195</v>
      </c>
    </row>
    <row r="3" spans="1:17" x14ac:dyDescent="0.2">
      <c r="A3" s="875"/>
      <c r="C3" s="292"/>
      <c r="D3" s="241" t="s">
        <v>258</v>
      </c>
      <c r="E3" s="241" t="s">
        <v>259</v>
      </c>
      <c r="G3" s="292"/>
      <c r="H3" s="74" t="s">
        <v>260</v>
      </c>
      <c r="I3" s="74" t="s">
        <v>261</v>
      </c>
      <c r="K3" s="292"/>
      <c r="L3" s="74" t="s">
        <v>262</v>
      </c>
      <c r="M3" s="74" t="s">
        <v>259</v>
      </c>
      <c r="O3" s="292"/>
      <c r="P3" s="74" t="s">
        <v>260</v>
      </c>
      <c r="Q3" s="74" t="s">
        <v>263</v>
      </c>
    </row>
    <row r="4" spans="1:17" x14ac:dyDescent="0.2">
      <c r="A4" s="875"/>
      <c r="C4" s="292"/>
      <c r="D4" s="241" t="s">
        <v>299</v>
      </c>
      <c r="E4" s="241" t="s">
        <v>298</v>
      </c>
      <c r="G4" s="292"/>
      <c r="H4" s="74" t="s">
        <v>297</v>
      </c>
      <c r="I4" s="74" t="s">
        <v>300</v>
      </c>
      <c r="K4" s="292"/>
      <c r="L4" s="74" t="s">
        <v>301</v>
      </c>
      <c r="M4" s="74" t="s">
        <v>298</v>
      </c>
      <c r="O4" s="292"/>
      <c r="P4" s="74" t="s">
        <v>297</v>
      </c>
      <c r="Q4" s="74" t="s">
        <v>302</v>
      </c>
    </row>
    <row r="5" spans="1:17" ht="12.75" customHeight="1" x14ac:dyDescent="0.2">
      <c r="A5" s="875"/>
      <c r="C5" s="289"/>
      <c r="D5" s="241" t="s">
        <v>184</v>
      </c>
      <c r="E5" s="241" t="s">
        <v>186</v>
      </c>
      <c r="G5" s="289"/>
      <c r="H5" s="74" t="s">
        <v>184</v>
      </c>
      <c r="I5" s="74" t="s">
        <v>188</v>
      </c>
      <c r="K5" s="290"/>
      <c r="L5" s="74" t="s">
        <v>184</v>
      </c>
      <c r="M5" s="74" t="s">
        <v>190</v>
      </c>
      <c r="O5" s="163"/>
      <c r="P5" s="74" t="s">
        <v>192</v>
      </c>
      <c r="Q5" s="74" t="s">
        <v>188</v>
      </c>
    </row>
    <row r="6" spans="1:17" ht="12.75" customHeight="1" x14ac:dyDescent="0.2">
      <c r="A6" s="875"/>
      <c r="C6" s="289"/>
      <c r="D6" s="241" t="s">
        <v>185</v>
      </c>
      <c r="E6" s="241" t="s">
        <v>187</v>
      </c>
      <c r="G6" s="289"/>
      <c r="H6" s="74" t="s">
        <v>185</v>
      </c>
      <c r="I6" s="74" t="s">
        <v>189</v>
      </c>
      <c r="K6" s="290"/>
      <c r="L6" s="74" t="s">
        <v>185</v>
      </c>
      <c r="M6" s="74" t="s">
        <v>191</v>
      </c>
      <c r="O6" s="163"/>
      <c r="P6" s="74" t="s">
        <v>193</v>
      </c>
      <c r="Q6" s="74" t="s">
        <v>189</v>
      </c>
    </row>
    <row r="7" spans="1:17" ht="12.75" customHeight="1" x14ac:dyDescent="0.2">
      <c r="A7" s="875"/>
      <c r="C7" s="289"/>
      <c r="D7" s="241" t="s">
        <v>258</v>
      </c>
      <c r="E7" s="241" t="s">
        <v>260</v>
      </c>
      <c r="G7" s="289"/>
      <c r="H7" s="74" t="s">
        <v>258</v>
      </c>
      <c r="I7" s="74" t="s">
        <v>259</v>
      </c>
      <c r="K7" s="290"/>
      <c r="L7" s="74" t="s">
        <v>258</v>
      </c>
      <c r="M7" s="74" t="s">
        <v>261</v>
      </c>
      <c r="N7" s="74"/>
      <c r="O7" s="163"/>
      <c r="P7" s="74" t="s">
        <v>262</v>
      </c>
      <c r="Q7" s="74" t="s">
        <v>259</v>
      </c>
    </row>
    <row r="8" spans="1:17" ht="12.75" customHeight="1" x14ac:dyDescent="0.2">
      <c r="A8" s="875"/>
      <c r="C8" s="289"/>
      <c r="D8" s="241" t="s">
        <v>299</v>
      </c>
      <c r="E8" s="241" t="s">
        <v>297</v>
      </c>
      <c r="G8" s="289"/>
      <c r="H8" s="74" t="s">
        <v>299</v>
      </c>
      <c r="I8" s="74" t="s">
        <v>298</v>
      </c>
      <c r="K8" s="290"/>
      <c r="L8" s="74" t="s">
        <v>299</v>
      </c>
      <c r="M8" s="74" t="s">
        <v>300</v>
      </c>
      <c r="O8" s="163"/>
      <c r="P8" s="74" t="s">
        <v>301</v>
      </c>
      <c r="Q8" s="74" t="s">
        <v>298</v>
      </c>
    </row>
    <row r="9" spans="1:17" x14ac:dyDescent="0.2">
      <c r="A9" s="875"/>
      <c r="C9" s="289"/>
      <c r="D9" s="241" t="s">
        <v>186</v>
      </c>
      <c r="E9" s="241" t="s">
        <v>188</v>
      </c>
      <c r="G9" s="289"/>
      <c r="H9" s="74" t="s">
        <v>184</v>
      </c>
      <c r="I9" s="74" t="s">
        <v>186</v>
      </c>
      <c r="K9" s="291"/>
      <c r="L9" s="74" t="s">
        <v>192</v>
      </c>
      <c r="M9" s="74" t="s">
        <v>186</v>
      </c>
      <c r="P9" s="74" t="s">
        <v>184</v>
      </c>
      <c r="Q9" s="74" t="s">
        <v>190</v>
      </c>
    </row>
    <row r="10" spans="1:17" x14ac:dyDescent="0.2">
      <c r="A10" s="875"/>
      <c r="C10" s="289"/>
      <c r="D10" s="241" t="s">
        <v>187</v>
      </c>
      <c r="E10" s="241" t="s">
        <v>189</v>
      </c>
      <c r="G10" s="289"/>
      <c r="H10" s="74" t="s">
        <v>185</v>
      </c>
      <c r="I10" s="74" t="s">
        <v>187</v>
      </c>
      <c r="J10" s="74"/>
      <c r="K10" s="74"/>
      <c r="L10" s="74" t="s">
        <v>193</v>
      </c>
      <c r="M10" s="74" t="s">
        <v>187</v>
      </c>
      <c r="P10" s="74" t="s">
        <v>185</v>
      </c>
      <c r="Q10" s="74" t="s">
        <v>191</v>
      </c>
    </row>
    <row r="11" spans="1:17" x14ac:dyDescent="0.2">
      <c r="A11" s="875"/>
      <c r="C11" s="289"/>
      <c r="D11" s="241" t="s">
        <v>260</v>
      </c>
      <c r="E11" s="241" t="s">
        <v>259</v>
      </c>
      <c r="G11" s="289"/>
      <c r="H11" s="74" t="s">
        <v>258</v>
      </c>
      <c r="I11" s="74" t="s">
        <v>260</v>
      </c>
      <c r="J11" s="74"/>
      <c r="K11" s="74"/>
      <c r="L11" s="74" t="s">
        <v>262</v>
      </c>
      <c r="M11" s="74" t="s">
        <v>260</v>
      </c>
      <c r="P11" s="74" t="s">
        <v>258</v>
      </c>
      <c r="Q11" s="74" t="s">
        <v>261</v>
      </c>
    </row>
    <row r="12" spans="1:17" x14ac:dyDescent="0.2">
      <c r="A12" s="875"/>
      <c r="C12" s="289"/>
      <c r="D12" s="241" t="s">
        <v>297</v>
      </c>
      <c r="E12" s="241" t="s">
        <v>298</v>
      </c>
      <c r="G12" s="289"/>
      <c r="H12" s="74" t="s">
        <v>299</v>
      </c>
      <c r="I12" s="74" t="s">
        <v>297</v>
      </c>
      <c r="K12" s="291"/>
      <c r="L12" s="74" t="s">
        <v>301</v>
      </c>
      <c r="M12" s="74" t="s">
        <v>297</v>
      </c>
      <c r="P12" s="74" t="s">
        <v>299</v>
      </c>
      <c r="Q12" s="74" t="s">
        <v>300</v>
      </c>
    </row>
    <row r="13" spans="1:17" ht="12.75" customHeight="1" x14ac:dyDescent="0.2">
      <c r="A13" s="875"/>
      <c r="C13" s="289"/>
      <c r="D13" s="241"/>
      <c r="E13" s="241"/>
      <c r="G13" s="289"/>
      <c r="H13" s="74" t="s">
        <v>188</v>
      </c>
      <c r="I13" s="74" t="s">
        <v>190</v>
      </c>
      <c r="K13" s="291"/>
      <c r="L13" s="74" t="s">
        <v>188</v>
      </c>
      <c r="M13" s="74" t="s">
        <v>184</v>
      </c>
      <c r="P13" s="74" t="s">
        <v>192</v>
      </c>
      <c r="Q13" s="74" t="s">
        <v>186</v>
      </c>
    </row>
    <row r="14" spans="1:17" ht="12.75" customHeight="1" x14ac:dyDescent="0.2">
      <c r="A14" s="875"/>
      <c r="C14" s="289"/>
      <c r="D14" s="241"/>
      <c r="E14" s="241"/>
      <c r="G14" s="289"/>
      <c r="H14" s="74" t="s">
        <v>189</v>
      </c>
      <c r="I14" s="74" t="s">
        <v>191</v>
      </c>
      <c r="K14" s="291"/>
      <c r="L14" s="74" t="s">
        <v>189</v>
      </c>
      <c r="M14" s="74" t="s">
        <v>185</v>
      </c>
      <c r="P14" s="74" t="s">
        <v>193</v>
      </c>
      <c r="Q14" s="74" t="s">
        <v>187</v>
      </c>
    </row>
    <row r="15" spans="1:17" ht="12.75" customHeight="1" x14ac:dyDescent="0.2">
      <c r="A15" s="875"/>
      <c r="C15" s="289"/>
      <c r="D15" s="241"/>
      <c r="E15" s="241"/>
      <c r="G15" s="289"/>
      <c r="H15" s="74" t="s">
        <v>259</v>
      </c>
      <c r="I15" s="74" t="s">
        <v>261</v>
      </c>
      <c r="K15" s="291"/>
      <c r="L15" s="74" t="s">
        <v>259</v>
      </c>
      <c r="M15" s="74" t="s">
        <v>258</v>
      </c>
      <c r="P15" s="74" t="s">
        <v>262</v>
      </c>
      <c r="Q15" s="74" t="s">
        <v>260</v>
      </c>
    </row>
    <row r="16" spans="1:17" ht="12.75" customHeight="1" x14ac:dyDescent="0.2">
      <c r="A16" s="875"/>
      <c r="C16" s="289"/>
      <c r="D16" s="241"/>
      <c r="E16" s="241"/>
      <c r="G16" s="289"/>
      <c r="H16" s="74" t="s">
        <v>298</v>
      </c>
      <c r="I16" s="74" t="s">
        <v>300</v>
      </c>
      <c r="K16" s="291"/>
      <c r="L16" s="74" t="s">
        <v>298</v>
      </c>
      <c r="M16" s="74" t="s">
        <v>299</v>
      </c>
      <c r="P16" s="74" t="s">
        <v>301</v>
      </c>
      <c r="Q16" s="74" t="s">
        <v>297</v>
      </c>
    </row>
    <row r="17" spans="1:17" x14ac:dyDescent="0.2">
      <c r="A17" s="875"/>
      <c r="C17" s="289"/>
      <c r="D17" s="241"/>
      <c r="E17" s="241"/>
      <c r="G17" s="289"/>
      <c r="H17" s="74" t="s">
        <v>186</v>
      </c>
      <c r="I17" s="74" t="s">
        <v>188</v>
      </c>
      <c r="K17" s="291"/>
      <c r="L17" s="74" t="s">
        <v>186</v>
      </c>
      <c r="M17" s="74" t="s">
        <v>190</v>
      </c>
      <c r="P17" s="74" t="s">
        <v>190</v>
      </c>
      <c r="Q17" s="74" t="s">
        <v>194</v>
      </c>
    </row>
    <row r="18" spans="1:17" x14ac:dyDescent="0.2">
      <c r="A18" s="875"/>
      <c r="C18" s="289"/>
      <c r="D18" s="241"/>
      <c r="E18" s="241"/>
      <c r="G18" s="289"/>
      <c r="H18" s="74" t="s">
        <v>187</v>
      </c>
      <c r="I18" s="74" t="s">
        <v>189</v>
      </c>
      <c r="K18" s="291"/>
      <c r="L18" s="74" t="s">
        <v>187</v>
      </c>
      <c r="M18" s="74" t="s">
        <v>191</v>
      </c>
      <c r="P18" s="74" t="s">
        <v>191</v>
      </c>
      <c r="Q18" s="74" t="s">
        <v>195</v>
      </c>
    </row>
    <row r="19" spans="1:17" x14ac:dyDescent="0.2">
      <c r="A19" s="875"/>
      <c r="C19" s="289"/>
      <c r="D19" s="241"/>
      <c r="E19" s="241"/>
      <c r="G19" s="289"/>
      <c r="H19" s="74" t="s">
        <v>260</v>
      </c>
      <c r="I19" s="74" t="s">
        <v>259</v>
      </c>
      <c r="K19" s="291"/>
      <c r="L19" s="74" t="s">
        <v>260</v>
      </c>
      <c r="M19" s="74" t="s">
        <v>261</v>
      </c>
      <c r="P19" s="74" t="s">
        <v>261</v>
      </c>
      <c r="Q19" s="74" t="s">
        <v>263</v>
      </c>
    </row>
    <row r="20" spans="1:17" x14ac:dyDescent="0.2">
      <c r="A20" s="875"/>
      <c r="C20" s="289"/>
      <c r="D20" s="241"/>
      <c r="E20" s="241"/>
      <c r="G20" s="289"/>
      <c r="H20" s="74" t="s">
        <v>297</v>
      </c>
      <c r="I20" s="74" t="s">
        <v>298</v>
      </c>
      <c r="K20" s="291"/>
      <c r="L20" s="74" t="s">
        <v>297</v>
      </c>
      <c r="M20" s="74" t="s">
        <v>300</v>
      </c>
      <c r="P20" s="74" t="s">
        <v>300</v>
      </c>
      <c r="Q20" s="74" t="s">
        <v>302</v>
      </c>
    </row>
    <row r="21" spans="1:17" ht="13.5" customHeight="1" x14ac:dyDescent="0.2">
      <c r="A21" s="875"/>
      <c r="C21" s="289"/>
      <c r="D21" s="241"/>
      <c r="E21" s="241"/>
      <c r="G21" s="289"/>
      <c r="H21" s="74" t="s">
        <v>190</v>
      </c>
      <c r="I21" s="74" t="s">
        <v>184</v>
      </c>
      <c r="K21" s="289"/>
      <c r="L21" s="74" t="s">
        <v>184</v>
      </c>
      <c r="M21" s="74" t="s">
        <v>192</v>
      </c>
      <c r="P21" s="74" t="s">
        <v>188</v>
      </c>
      <c r="Q21" s="74" t="s">
        <v>184</v>
      </c>
    </row>
    <row r="22" spans="1:17" ht="13.5" customHeight="1" x14ac:dyDescent="0.2">
      <c r="A22" s="875"/>
      <c r="C22" s="289"/>
      <c r="D22" s="241"/>
      <c r="E22" s="241"/>
      <c r="G22" s="289"/>
      <c r="H22" s="74" t="s">
        <v>191</v>
      </c>
      <c r="I22" s="74" t="s">
        <v>185</v>
      </c>
      <c r="K22" s="289"/>
      <c r="L22" s="74" t="s">
        <v>185</v>
      </c>
      <c r="M22" s="74" t="s">
        <v>193</v>
      </c>
      <c r="P22" s="74" t="s">
        <v>189</v>
      </c>
      <c r="Q22" s="74" t="s">
        <v>185</v>
      </c>
    </row>
    <row r="23" spans="1:17" ht="13.5" customHeight="1" x14ac:dyDescent="0.2">
      <c r="A23" s="875"/>
      <c r="C23" s="289"/>
      <c r="D23" s="241"/>
      <c r="E23" s="241"/>
      <c r="G23" s="289"/>
      <c r="H23" s="74" t="s">
        <v>261</v>
      </c>
      <c r="I23" s="74" t="s">
        <v>258</v>
      </c>
      <c r="K23" s="289"/>
      <c r="L23" s="74" t="s">
        <v>258</v>
      </c>
      <c r="M23" s="74" t="s">
        <v>262</v>
      </c>
      <c r="P23" s="74" t="s">
        <v>259</v>
      </c>
      <c r="Q23" s="74" t="s">
        <v>258</v>
      </c>
    </row>
    <row r="24" spans="1:17" ht="13.5" customHeight="1" x14ac:dyDescent="0.2">
      <c r="A24" s="875"/>
      <c r="C24" s="289"/>
      <c r="D24" s="241"/>
      <c r="E24" s="241"/>
      <c r="G24" s="289"/>
      <c r="H24" s="74" t="s">
        <v>300</v>
      </c>
      <c r="I24" s="74" t="s">
        <v>299</v>
      </c>
      <c r="K24" s="289"/>
      <c r="L24" s="74" t="s">
        <v>299</v>
      </c>
      <c r="M24" s="74" t="s">
        <v>301</v>
      </c>
      <c r="P24" s="74" t="s">
        <v>298</v>
      </c>
      <c r="Q24" s="74" t="s">
        <v>299</v>
      </c>
    </row>
    <row r="25" spans="1:17" ht="12.75" customHeight="1" x14ac:dyDescent="0.2">
      <c r="A25" s="875"/>
      <c r="D25" s="74"/>
      <c r="E25" s="74"/>
      <c r="G25" s="289"/>
      <c r="H25" s="74"/>
      <c r="I25" s="74"/>
      <c r="K25" s="289"/>
      <c r="L25" s="74" t="s">
        <v>188</v>
      </c>
      <c r="M25" s="74" t="s">
        <v>190</v>
      </c>
      <c r="P25" s="74" t="s">
        <v>186</v>
      </c>
      <c r="Q25" s="74" t="s">
        <v>190</v>
      </c>
    </row>
    <row r="26" spans="1:17" ht="12.75" customHeight="1" x14ac:dyDescent="0.2">
      <c r="A26" s="875"/>
      <c r="D26" s="74"/>
      <c r="E26" s="74"/>
      <c r="G26" s="289"/>
      <c r="H26" s="74"/>
      <c r="I26" s="74"/>
      <c r="K26" s="289"/>
      <c r="L26" s="74" t="s">
        <v>189</v>
      </c>
      <c r="M26" s="74" t="s">
        <v>191</v>
      </c>
      <c r="P26" s="74" t="s">
        <v>187</v>
      </c>
      <c r="Q26" s="74" t="s">
        <v>191</v>
      </c>
    </row>
    <row r="27" spans="1:17" ht="12.75" customHeight="1" x14ac:dyDescent="0.2">
      <c r="A27" s="875"/>
      <c r="D27" s="74"/>
      <c r="E27" s="74"/>
      <c r="G27" s="289"/>
      <c r="H27" s="74"/>
      <c r="I27" s="74"/>
      <c r="K27" s="289"/>
      <c r="L27" s="74" t="s">
        <v>259</v>
      </c>
      <c r="M27" s="74" t="s">
        <v>261</v>
      </c>
      <c r="P27" s="74" t="s">
        <v>260</v>
      </c>
      <c r="Q27" s="74" t="s">
        <v>261</v>
      </c>
    </row>
    <row r="28" spans="1:17" ht="12.75" customHeight="1" x14ac:dyDescent="0.2">
      <c r="A28" s="875"/>
      <c r="D28" s="74"/>
      <c r="E28" s="74"/>
      <c r="G28" s="289"/>
      <c r="H28" s="74"/>
      <c r="I28" s="74"/>
      <c r="K28" s="289"/>
      <c r="L28" s="74" t="s">
        <v>298</v>
      </c>
      <c r="M28" s="74" t="s">
        <v>300</v>
      </c>
      <c r="P28" s="74" t="s">
        <v>297</v>
      </c>
      <c r="Q28" s="74" t="s">
        <v>300</v>
      </c>
    </row>
    <row r="29" spans="1:17" x14ac:dyDescent="0.2">
      <c r="A29" s="875"/>
      <c r="C29" s="242"/>
      <c r="D29" s="74"/>
      <c r="E29" s="74"/>
      <c r="G29" s="289"/>
      <c r="H29" s="74"/>
      <c r="I29" s="74"/>
      <c r="K29" s="289"/>
      <c r="L29" s="74" t="s">
        <v>184</v>
      </c>
      <c r="M29" s="74" t="s">
        <v>186</v>
      </c>
      <c r="P29" s="74" t="s">
        <v>184</v>
      </c>
      <c r="Q29" s="74" t="s">
        <v>192</v>
      </c>
    </row>
    <row r="30" spans="1:17" x14ac:dyDescent="0.2">
      <c r="A30" s="875"/>
      <c r="C30" s="242"/>
      <c r="D30" s="74"/>
      <c r="E30" s="74"/>
      <c r="G30" s="289"/>
      <c r="H30" s="74"/>
      <c r="I30" s="74"/>
      <c r="K30" s="289"/>
      <c r="L30" s="74" t="s">
        <v>185</v>
      </c>
      <c r="M30" s="74" t="s">
        <v>187</v>
      </c>
      <c r="P30" s="74" t="s">
        <v>185</v>
      </c>
      <c r="Q30" s="74" t="s">
        <v>193</v>
      </c>
    </row>
    <row r="31" spans="1:17" x14ac:dyDescent="0.2">
      <c r="A31" s="875"/>
      <c r="C31" s="242"/>
      <c r="D31" s="74"/>
      <c r="E31" s="74"/>
      <c r="G31" s="289"/>
      <c r="H31" s="74"/>
      <c r="I31" s="74"/>
      <c r="K31" s="289"/>
      <c r="L31" s="74" t="s">
        <v>258</v>
      </c>
      <c r="M31" s="74" t="s">
        <v>260</v>
      </c>
      <c r="P31" s="74" t="s">
        <v>258</v>
      </c>
      <c r="Q31" s="74" t="s">
        <v>262</v>
      </c>
    </row>
    <row r="32" spans="1:17" x14ac:dyDescent="0.2">
      <c r="A32" s="875"/>
      <c r="C32" s="242"/>
      <c r="D32" s="74"/>
      <c r="E32" s="74"/>
      <c r="G32" s="289"/>
      <c r="H32" s="74"/>
      <c r="I32" s="74"/>
      <c r="K32" s="289"/>
      <c r="L32" s="74" t="s">
        <v>299</v>
      </c>
      <c r="M32" s="74" t="s">
        <v>297</v>
      </c>
      <c r="P32" s="74" t="s">
        <v>299</v>
      </c>
      <c r="Q32" s="74" t="s">
        <v>301</v>
      </c>
    </row>
    <row r="33" spans="1:17" x14ac:dyDescent="0.2">
      <c r="A33" s="875"/>
      <c r="C33" s="242"/>
      <c r="D33" s="74"/>
      <c r="E33" s="74"/>
      <c r="G33" s="289"/>
      <c r="H33" s="74"/>
      <c r="I33" s="74"/>
      <c r="K33" s="289"/>
      <c r="L33" s="74" t="s">
        <v>190</v>
      </c>
      <c r="M33" s="74" t="s">
        <v>192</v>
      </c>
      <c r="P33" s="74" t="s">
        <v>194</v>
      </c>
      <c r="Q33" s="74" t="s">
        <v>188</v>
      </c>
    </row>
    <row r="34" spans="1:17" x14ac:dyDescent="0.2">
      <c r="A34" s="875"/>
      <c r="C34" s="242"/>
      <c r="D34" s="74"/>
      <c r="E34" s="74"/>
      <c r="G34" s="289"/>
      <c r="H34" s="74"/>
      <c r="I34" s="74"/>
      <c r="K34" s="289"/>
      <c r="L34" s="74" t="s">
        <v>191</v>
      </c>
      <c r="M34" s="74" t="s">
        <v>193</v>
      </c>
      <c r="P34" s="74" t="s">
        <v>195</v>
      </c>
      <c r="Q34" s="74" t="s">
        <v>189</v>
      </c>
    </row>
    <row r="35" spans="1:17" x14ac:dyDescent="0.2">
      <c r="A35" s="875"/>
      <c r="C35" s="242"/>
      <c r="D35" s="74"/>
      <c r="E35" s="74"/>
      <c r="G35" s="289"/>
      <c r="H35" s="74"/>
      <c r="I35" s="74"/>
      <c r="K35" s="289"/>
      <c r="L35" s="74" t="s">
        <v>261</v>
      </c>
      <c r="M35" s="74" t="s">
        <v>262</v>
      </c>
      <c r="P35" s="74" t="s">
        <v>263</v>
      </c>
      <c r="Q35" s="74" t="s">
        <v>259</v>
      </c>
    </row>
    <row r="36" spans="1:17" x14ac:dyDescent="0.2">
      <c r="A36" s="875"/>
      <c r="C36" s="242"/>
      <c r="D36" s="74"/>
      <c r="E36" s="74"/>
      <c r="G36" s="289"/>
      <c r="H36" s="74"/>
      <c r="I36" s="74"/>
      <c r="K36" s="289"/>
      <c r="L36" s="74" t="s">
        <v>300</v>
      </c>
      <c r="M36" s="74" t="s">
        <v>301</v>
      </c>
      <c r="P36" s="74" t="s">
        <v>302</v>
      </c>
      <c r="Q36" s="74" t="s">
        <v>298</v>
      </c>
    </row>
    <row r="37" spans="1:17" x14ac:dyDescent="0.2">
      <c r="A37" s="875"/>
      <c r="C37" s="242"/>
      <c r="D37" s="74"/>
      <c r="E37" s="74"/>
      <c r="G37" s="289"/>
      <c r="H37" s="74"/>
      <c r="I37" s="74"/>
      <c r="K37" s="289"/>
      <c r="L37" s="74" t="s">
        <v>186</v>
      </c>
      <c r="M37" s="74" t="s">
        <v>188</v>
      </c>
      <c r="P37" s="74" t="s">
        <v>184</v>
      </c>
      <c r="Q37" s="74" t="s">
        <v>186</v>
      </c>
    </row>
    <row r="38" spans="1:17" x14ac:dyDescent="0.2">
      <c r="A38" s="875"/>
      <c r="C38" s="242"/>
      <c r="D38" s="74"/>
      <c r="E38" s="74"/>
      <c r="G38" s="289"/>
      <c r="H38" s="74"/>
      <c r="I38" s="74"/>
      <c r="K38" s="289"/>
      <c r="L38" s="74" t="s">
        <v>187</v>
      </c>
      <c r="M38" s="74" t="s">
        <v>189</v>
      </c>
      <c r="P38" s="74" t="s">
        <v>185</v>
      </c>
      <c r="Q38" s="74" t="s">
        <v>187</v>
      </c>
    </row>
    <row r="39" spans="1:17" x14ac:dyDescent="0.2">
      <c r="A39" s="875"/>
      <c r="C39" s="242"/>
      <c r="D39" s="74"/>
      <c r="E39" s="74"/>
      <c r="G39" s="289"/>
      <c r="H39" s="74"/>
      <c r="I39" s="74"/>
      <c r="K39" s="289"/>
      <c r="L39" s="74" t="s">
        <v>260</v>
      </c>
      <c r="M39" s="74" t="s">
        <v>259</v>
      </c>
      <c r="P39" s="74" t="s">
        <v>258</v>
      </c>
      <c r="Q39" s="74" t="s">
        <v>260</v>
      </c>
    </row>
    <row r="40" spans="1:17" x14ac:dyDescent="0.2">
      <c r="A40" s="875"/>
      <c r="C40" s="242"/>
      <c r="D40" s="74"/>
      <c r="E40" s="74"/>
      <c r="G40" s="289"/>
      <c r="H40" s="74"/>
      <c r="I40" s="74"/>
      <c r="K40" s="289"/>
      <c r="L40" s="74" t="s">
        <v>297</v>
      </c>
      <c r="M40" s="74" t="s">
        <v>298</v>
      </c>
      <c r="P40" s="74" t="s">
        <v>299</v>
      </c>
      <c r="Q40" s="74" t="s">
        <v>297</v>
      </c>
    </row>
    <row r="41" spans="1:17" x14ac:dyDescent="0.2">
      <c r="A41" s="875"/>
      <c r="C41" s="242"/>
      <c r="D41" s="74"/>
      <c r="E41" s="74"/>
      <c r="G41" s="289"/>
      <c r="H41" s="74"/>
      <c r="I41" s="74"/>
      <c r="K41" s="289"/>
      <c r="L41" s="74"/>
      <c r="M41" s="74"/>
      <c r="O41" s="289"/>
      <c r="P41" s="74" t="s">
        <v>188</v>
      </c>
      <c r="Q41" s="74" t="s">
        <v>190</v>
      </c>
    </row>
    <row r="42" spans="1:17" x14ac:dyDescent="0.2">
      <c r="A42" s="875"/>
      <c r="C42" s="242"/>
      <c r="D42" s="74"/>
      <c r="E42" s="74"/>
      <c r="G42" s="289"/>
      <c r="H42" s="74"/>
      <c r="I42" s="74"/>
      <c r="K42" s="289"/>
      <c r="L42" s="74"/>
      <c r="M42" s="74"/>
      <c r="O42" s="289"/>
      <c r="P42" s="74" t="s">
        <v>189</v>
      </c>
      <c r="Q42" s="74" t="s">
        <v>191</v>
      </c>
    </row>
    <row r="43" spans="1:17" x14ac:dyDescent="0.2">
      <c r="A43" s="875"/>
      <c r="C43" s="242"/>
      <c r="D43" s="74"/>
      <c r="E43" s="74"/>
      <c r="G43" s="289"/>
      <c r="H43" s="74"/>
      <c r="I43" s="74"/>
      <c r="K43" s="289"/>
      <c r="L43" s="74"/>
      <c r="M43" s="74"/>
      <c r="O43" s="289"/>
      <c r="P43" s="74" t="s">
        <v>259</v>
      </c>
      <c r="Q43" s="74" t="s">
        <v>261</v>
      </c>
    </row>
    <row r="44" spans="1:17" x14ac:dyDescent="0.2">
      <c r="A44" s="875"/>
      <c r="C44" s="242"/>
      <c r="D44" s="74"/>
      <c r="E44" s="74"/>
      <c r="G44" s="289"/>
      <c r="H44" s="74"/>
      <c r="I44" s="74"/>
      <c r="K44" s="289"/>
      <c r="L44" s="74"/>
      <c r="M44" s="74"/>
      <c r="O44" s="289"/>
      <c r="P44" s="74" t="s">
        <v>298</v>
      </c>
      <c r="Q44" s="74" t="s">
        <v>300</v>
      </c>
    </row>
    <row r="45" spans="1:17" x14ac:dyDescent="0.2">
      <c r="A45" s="875"/>
      <c r="D45" s="74"/>
      <c r="E45" s="74"/>
      <c r="H45" s="74"/>
      <c r="I45" s="74"/>
      <c r="K45" s="289"/>
      <c r="L45" s="74"/>
      <c r="M45" s="74"/>
      <c r="O45" s="289"/>
      <c r="P45" s="74" t="s">
        <v>192</v>
      </c>
      <c r="Q45" s="74" t="s">
        <v>194</v>
      </c>
    </row>
    <row r="46" spans="1:17" x14ac:dyDescent="0.2">
      <c r="A46" s="875"/>
      <c r="D46" s="74"/>
      <c r="E46" s="74"/>
      <c r="H46" s="74"/>
      <c r="I46" s="74"/>
      <c r="K46" s="289"/>
      <c r="L46" s="74"/>
      <c r="M46" s="74"/>
      <c r="O46" s="289"/>
      <c r="P46" s="74" t="s">
        <v>193</v>
      </c>
      <c r="Q46" s="74" t="s">
        <v>195</v>
      </c>
    </row>
    <row r="47" spans="1:17" x14ac:dyDescent="0.2">
      <c r="A47" s="875"/>
      <c r="D47" s="74"/>
      <c r="E47" s="74"/>
      <c r="H47" s="74"/>
      <c r="I47" s="74"/>
      <c r="K47" s="289"/>
      <c r="L47" s="74"/>
      <c r="M47" s="74"/>
      <c r="O47" s="289"/>
      <c r="P47" s="74" t="s">
        <v>262</v>
      </c>
      <c r="Q47" s="74" t="s">
        <v>263</v>
      </c>
    </row>
    <row r="48" spans="1:17" x14ac:dyDescent="0.2">
      <c r="A48" s="875"/>
      <c r="D48" s="74"/>
      <c r="E48" s="74"/>
      <c r="H48" s="74"/>
      <c r="I48" s="74"/>
      <c r="K48" s="289"/>
      <c r="L48" s="74"/>
      <c r="M48" s="74"/>
      <c r="O48" s="289"/>
      <c r="P48" s="74" t="s">
        <v>301</v>
      </c>
      <c r="Q48" s="74" t="s">
        <v>302</v>
      </c>
    </row>
    <row r="49" spans="1:17" x14ac:dyDescent="0.2">
      <c r="A49" s="875"/>
      <c r="K49" s="289"/>
      <c r="L49" s="74"/>
      <c r="M49" s="74"/>
      <c r="O49" s="289"/>
      <c r="P49" s="74" t="s">
        <v>186</v>
      </c>
      <c r="Q49" s="74" t="s">
        <v>188</v>
      </c>
    </row>
    <row r="50" spans="1:17" x14ac:dyDescent="0.2">
      <c r="A50" s="875"/>
      <c r="K50" s="289"/>
      <c r="L50" s="74"/>
      <c r="M50" s="74"/>
      <c r="O50" s="289"/>
      <c r="P50" s="74" t="s">
        <v>187</v>
      </c>
      <c r="Q50" s="74" t="s">
        <v>189</v>
      </c>
    </row>
    <row r="51" spans="1:17" x14ac:dyDescent="0.2">
      <c r="A51" s="875"/>
      <c r="K51" s="289"/>
      <c r="L51" s="74"/>
      <c r="M51" s="74"/>
      <c r="O51" s="289"/>
      <c r="P51" s="74" t="s">
        <v>260</v>
      </c>
      <c r="Q51" s="74" t="s">
        <v>259</v>
      </c>
    </row>
    <row r="52" spans="1:17" x14ac:dyDescent="0.2">
      <c r="A52" s="875"/>
      <c r="K52" s="289"/>
      <c r="L52" s="74"/>
      <c r="M52" s="74"/>
      <c r="O52" s="289"/>
      <c r="P52" s="74" t="s">
        <v>297</v>
      </c>
      <c r="Q52" s="74" t="s">
        <v>298</v>
      </c>
    </row>
    <row r="53" spans="1:17" x14ac:dyDescent="0.2">
      <c r="A53" s="875"/>
      <c r="K53" s="289"/>
      <c r="L53" s="74"/>
      <c r="M53" s="74"/>
      <c r="O53" s="289"/>
      <c r="P53" s="74" t="s">
        <v>194</v>
      </c>
      <c r="Q53" s="74" t="s">
        <v>184</v>
      </c>
    </row>
    <row r="54" spans="1:17" x14ac:dyDescent="0.2">
      <c r="A54" s="875"/>
      <c r="K54" s="289"/>
      <c r="L54" s="74"/>
      <c r="M54" s="74"/>
      <c r="O54" s="289"/>
      <c r="P54" s="74" t="s">
        <v>195</v>
      </c>
      <c r="Q54" s="74" t="s">
        <v>185</v>
      </c>
    </row>
    <row r="55" spans="1:17" x14ac:dyDescent="0.2">
      <c r="A55" s="875"/>
      <c r="K55" s="289"/>
      <c r="L55" s="74"/>
      <c r="M55" s="74"/>
      <c r="O55" s="289"/>
      <c r="P55" s="74" t="s">
        <v>263</v>
      </c>
      <c r="Q55" s="74" t="s">
        <v>258</v>
      </c>
    </row>
    <row r="56" spans="1:17" x14ac:dyDescent="0.2">
      <c r="A56" s="875"/>
      <c r="K56" s="289"/>
      <c r="L56" s="74"/>
      <c r="M56" s="74"/>
      <c r="O56" s="289"/>
      <c r="P56" s="74" t="s">
        <v>302</v>
      </c>
      <c r="Q56" s="74" t="s">
        <v>299</v>
      </c>
    </row>
    <row r="57" spans="1:17" x14ac:dyDescent="0.2">
      <c r="A57" s="875"/>
      <c r="K57" s="289"/>
      <c r="L57" s="74"/>
      <c r="M57" s="74"/>
      <c r="O57" s="289"/>
      <c r="P57" s="74" t="s">
        <v>190</v>
      </c>
      <c r="Q57" s="74" t="s">
        <v>192</v>
      </c>
    </row>
    <row r="58" spans="1:17" x14ac:dyDescent="0.2">
      <c r="A58" s="875"/>
      <c r="K58" s="291"/>
      <c r="L58" s="74"/>
      <c r="M58" s="74"/>
      <c r="O58" s="289"/>
      <c r="P58" s="74" t="s">
        <v>191</v>
      </c>
      <c r="Q58" s="74" t="s">
        <v>193</v>
      </c>
    </row>
    <row r="59" spans="1:17" x14ac:dyDescent="0.2">
      <c r="A59" s="875"/>
      <c r="L59" s="74"/>
      <c r="M59" s="74"/>
      <c r="O59" s="289"/>
      <c r="P59" s="74" t="s">
        <v>261</v>
      </c>
      <c r="Q59" s="74" t="s">
        <v>262</v>
      </c>
    </row>
    <row r="60" spans="1:17" x14ac:dyDescent="0.2">
      <c r="A60" s="875"/>
      <c r="L60" s="74"/>
      <c r="M60" s="74"/>
      <c r="O60" s="289"/>
      <c r="P60" s="74" t="s">
        <v>300</v>
      </c>
      <c r="Q60" s="74" t="s">
        <v>301</v>
      </c>
    </row>
    <row r="61" spans="1:17" x14ac:dyDescent="0.2">
      <c r="L61" s="74"/>
      <c r="M61" s="74"/>
      <c r="O61" s="289"/>
      <c r="P61" s="74"/>
      <c r="Q61" s="74"/>
    </row>
    <row r="62" spans="1:17" x14ac:dyDescent="0.2">
      <c r="L62" s="74"/>
      <c r="M62" s="74"/>
      <c r="O62" s="289"/>
      <c r="P62" s="74"/>
      <c r="Q62" s="74"/>
    </row>
    <row r="63" spans="1:17" x14ac:dyDescent="0.2">
      <c r="P63" s="74"/>
      <c r="Q63" s="74"/>
    </row>
    <row r="64" spans="1:17" x14ac:dyDescent="0.2">
      <c r="P64" s="74"/>
      <c r="Q64" s="74"/>
    </row>
    <row r="65" spans="16:17" x14ac:dyDescent="0.2">
      <c r="P65" s="74"/>
      <c r="Q65" s="74"/>
    </row>
    <row r="66" spans="16:17" x14ac:dyDescent="0.2">
      <c r="P66" s="74"/>
      <c r="Q66" s="74"/>
    </row>
    <row r="67" spans="16:17" x14ac:dyDescent="0.2">
      <c r="P67" s="74"/>
      <c r="Q67" s="74"/>
    </row>
    <row r="68" spans="16:17" x14ac:dyDescent="0.2">
      <c r="P68" s="74"/>
      <c r="Q68" s="74"/>
    </row>
    <row r="69" spans="16:17" x14ac:dyDescent="0.2">
      <c r="P69" s="74"/>
      <c r="Q69" s="74"/>
    </row>
    <row r="70" spans="16:17" x14ac:dyDescent="0.2">
      <c r="P70" s="74"/>
      <c r="Q70" s="74"/>
    </row>
    <row r="71" spans="16:17" x14ac:dyDescent="0.2">
      <c r="P71" s="74"/>
      <c r="Q71" s="74"/>
    </row>
    <row r="72" spans="16:17" x14ac:dyDescent="0.2">
      <c r="P72" s="74"/>
      <c r="Q72" s="74"/>
    </row>
  </sheetData>
  <mergeCells count="1">
    <mergeCell ref="A1:A60"/>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75"/>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2" customWidth="1"/>
    <col min="2" max="2" width="6.7109375" style="42" customWidth="1"/>
    <col min="3" max="3" width="10" style="42" customWidth="1"/>
    <col min="4" max="5" width="6.5703125" style="42" customWidth="1"/>
    <col min="6" max="6" width="26.7109375" style="42" customWidth="1"/>
    <col min="7" max="7" width="3" style="42" customWidth="1"/>
    <col min="8" max="8" width="26.7109375" style="42" customWidth="1"/>
    <col min="9" max="9" width="4.7109375" style="42" customWidth="1"/>
    <col min="10" max="10" width="2" style="42" customWidth="1"/>
    <col min="11" max="12" width="4.7109375" style="42" customWidth="1"/>
    <col min="13" max="13" width="2" style="42" customWidth="1"/>
    <col min="14" max="15" width="4.7109375" style="42" customWidth="1"/>
    <col min="16" max="16" width="2" style="42" customWidth="1"/>
    <col min="17" max="18" width="4.7109375" style="42" customWidth="1"/>
    <col min="19" max="19" width="2" style="42" customWidth="1"/>
    <col min="20" max="20" width="4.7109375" style="42" customWidth="1"/>
    <col min="21" max="21" width="15.7109375" style="42" customWidth="1"/>
    <col min="22" max="23" width="4.140625" style="42" customWidth="1"/>
    <col min="24" max="24" width="26.7109375" style="42" customWidth="1"/>
    <col min="25" max="28" width="5.28515625" style="42" customWidth="1"/>
    <col min="29" max="29" width="4.7109375" style="42" customWidth="1"/>
    <col min="30" max="30" width="2.140625" style="42" customWidth="1"/>
    <col min="31" max="31" width="4.7109375" style="42" customWidth="1"/>
    <col min="32" max="32" width="6.7109375" style="42" customWidth="1"/>
    <col min="33" max="33" width="5.7109375" style="42" customWidth="1"/>
    <col min="34" max="34" width="2.140625" style="42" customWidth="1"/>
    <col min="35" max="35" width="5.7109375" style="42" customWidth="1"/>
    <col min="36" max="36" width="6.7109375" style="42" customWidth="1"/>
    <col min="37" max="37" width="8.7109375" style="42" customWidth="1"/>
    <col min="38" max="43" width="7.85546875" style="42" customWidth="1"/>
    <col min="44" max="44" width="26.7109375" style="42" customWidth="1"/>
    <col min="45" max="45" width="4.140625" style="42" customWidth="1"/>
    <col min="46" max="46" width="3.28515625" style="42" customWidth="1"/>
    <col min="47" max="47" width="10" style="42" customWidth="1"/>
    <col min="48" max="48" width="30.7109375" style="42" customWidth="1"/>
    <col min="49" max="49" width="1.85546875" style="42" customWidth="1"/>
    <col min="50" max="50" width="11.42578125" style="42" customWidth="1"/>
    <col min="51" max="51" width="5" style="42" customWidth="1"/>
    <col min="52" max="16384" width="11.42578125" style="42" hidden="1"/>
  </cols>
  <sheetData>
    <row r="1" spans="1:59" ht="13.5" thickBot="1" x14ac:dyDescent="0.25">
      <c r="B1" s="301"/>
      <c r="C1" s="301"/>
      <c r="D1" s="268"/>
      <c r="E1" s="268"/>
      <c r="F1" s="268"/>
      <c r="G1" s="268"/>
      <c r="H1" s="268"/>
      <c r="I1" s="268"/>
      <c r="J1" s="268"/>
      <c r="K1" s="268"/>
      <c r="W1" s="887"/>
      <c r="X1" s="887"/>
      <c r="AP1" s="301"/>
      <c r="AQ1" s="301"/>
    </row>
    <row r="2" spans="1:59" ht="36" customHeight="1" thickTop="1" x14ac:dyDescent="0.2">
      <c r="B2" s="267"/>
      <c r="C2" s="267"/>
      <c r="G2" s="743"/>
      <c r="H2" s="902" t="s">
        <v>477</v>
      </c>
      <c r="I2" s="903"/>
      <c r="J2" s="903"/>
      <c r="K2" s="903"/>
      <c r="L2" s="903"/>
      <c r="M2" s="903"/>
      <c r="N2" s="903"/>
      <c r="O2" s="903"/>
      <c r="P2" s="903"/>
      <c r="Q2" s="903"/>
      <c r="R2" s="903"/>
      <c r="S2" s="903"/>
      <c r="T2" s="903"/>
      <c r="U2" s="903"/>
      <c r="V2" s="903"/>
      <c r="W2" s="903"/>
      <c r="X2" s="903"/>
      <c r="Y2" s="903"/>
      <c r="Z2" s="903"/>
      <c r="AA2" s="903"/>
      <c r="AB2" s="904"/>
      <c r="AC2" s="692"/>
      <c r="AD2" s="693"/>
      <c r="AE2" s="693"/>
      <c r="AF2" s="693"/>
      <c r="AG2" s="693"/>
      <c r="AH2" s="693"/>
      <c r="AI2" s="693"/>
      <c r="AJ2" s="693"/>
      <c r="AL2" s="1059" t="s">
        <v>461</v>
      </c>
      <c r="AM2" s="1059"/>
    </row>
    <row r="3" spans="1:59" ht="30" customHeight="1" x14ac:dyDescent="0.2">
      <c r="G3" s="744"/>
      <c r="H3" s="905" t="s">
        <v>228</v>
      </c>
      <c r="I3" s="906"/>
      <c r="J3" s="906"/>
      <c r="K3" s="906"/>
      <c r="L3" s="906"/>
      <c r="M3" s="906"/>
      <c r="N3" s="906"/>
      <c r="O3" s="906"/>
      <c r="P3" s="906"/>
      <c r="Q3" s="906"/>
      <c r="R3" s="906"/>
      <c r="S3" s="906"/>
      <c r="T3" s="906"/>
      <c r="U3" s="906"/>
      <c r="V3" s="906"/>
      <c r="W3" s="906"/>
      <c r="X3" s="906"/>
      <c r="Y3" s="906"/>
      <c r="Z3" s="906"/>
      <c r="AA3" s="906"/>
      <c r="AB3" s="907"/>
      <c r="AC3" s="694"/>
      <c r="AD3" s="695"/>
      <c r="AE3" s="695"/>
      <c r="AF3" s="695"/>
      <c r="AG3" s="695"/>
      <c r="AH3" s="695"/>
      <c r="AI3" s="695"/>
      <c r="AJ3" s="695"/>
      <c r="AK3" s="695"/>
      <c r="AL3" s="695"/>
      <c r="AM3" s="695"/>
    </row>
    <row r="4" spans="1:59" ht="30" customHeight="1" x14ac:dyDescent="0.2">
      <c r="G4" s="745"/>
      <c r="H4" s="908" t="s">
        <v>241</v>
      </c>
      <c r="I4" s="909"/>
      <c r="J4" s="909"/>
      <c r="K4" s="909"/>
      <c r="L4" s="909"/>
      <c r="M4" s="909"/>
      <c r="N4" s="909"/>
      <c r="O4" s="909"/>
      <c r="P4" s="909"/>
      <c r="Q4" s="909"/>
      <c r="R4" s="909"/>
      <c r="S4" s="909"/>
      <c r="T4" s="909"/>
      <c r="U4" s="909"/>
      <c r="V4" s="909"/>
      <c r="W4" s="909"/>
      <c r="X4" s="909"/>
      <c r="Y4" s="909"/>
      <c r="Z4" s="909"/>
      <c r="AA4" s="909"/>
      <c r="AB4" s="910"/>
      <c r="AC4" s="696"/>
      <c r="AD4" s="697"/>
      <c r="AE4" s="697"/>
      <c r="AF4" s="697"/>
      <c r="AG4" s="697"/>
      <c r="AH4" s="697"/>
      <c r="AI4" s="697"/>
      <c r="AJ4" s="697"/>
      <c r="AK4" s="697"/>
      <c r="AL4" s="697"/>
      <c r="AM4" s="697"/>
    </row>
    <row r="5" spans="1:59" ht="30" customHeight="1" thickBot="1" x14ac:dyDescent="0.25">
      <c r="G5" s="745"/>
      <c r="H5" s="911" t="s">
        <v>227</v>
      </c>
      <c r="I5" s="912"/>
      <c r="J5" s="912"/>
      <c r="K5" s="912"/>
      <c r="L5" s="912"/>
      <c r="M5" s="912"/>
      <c r="N5" s="912"/>
      <c r="O5" s="912"/>
      <c r="P5" s="912"/>
      <c r="Q5" s="912"/>
      <c r="R5" s="912"/>
      <c r="S5" s="912"/>
      <c r="T5" s="912"/>
      <c r="U5" s="912"/>
      <c r="V5" s="912"/>
      <c r="W5" s="912"/>
      <c r="X5" s="912"/>
      <c r="Y5" s="912"/>
      <c r="Z5" s="912"/>
      <c r="AA5" s="912"/>
      <c r="AB5" s="913"/>
      <c r="AC5" s="696"/>
      <c r="AD5" s="697"/>
      <c r="AE5" s="697"/>
      <c r="AF5" s="697"/>
      <c r="AG5" s="697"/>
      <c r="AH5" s="697"/>
      <c r="AI5" s="697"/>
      <c r="AJ5" s="697"/>
      <c r="AK5" s="697"/>
      <c r="AL5" s="697"/>
      <c r="AM5" s="697"/>
    </row>
    <row r="6" spans="1:59" ht="9" customHeight="1" thickTop="1" thickBot="1" x14ac:dyDescent="0.25">
      <c r="B6" s="302"/>
      <c r="C6" s="302"/>
      <c r="D6" s="302"/>
      <c r="E6" s="302"/>
      <c r="F6" s="302"/>
      <c r="G6" s="302"/>
      <c r="H6" s="302"/>
      <c r="I6" s="302"/>
      <c r="J6" s="302"/>
      <c r="K6" s="302"/>
    </row>
    <row r="7" spans="1:59" ht="30" customHeight="1" thickTop="1" x14ac:dyDescent="0.9">
      <c r="B7" s="302"/>
      <c r="C7" s="302"/>
      <c r="D7" s="302"/>
      <c r="E7" s="302"/>
      <c r="F7" s="302"/>
      <c r="G7" s="302"/>
      <c r="H7" s="302"/>
      <c r="I7" s="896" t="str">
        <f>Sprache!$E$18</f>
        <v>Vorrunde</v>
      </c>
      <c r="J7" s="897"/>
      <c r="K7" s="897"/>
      <c r="L7" s="897"/>
      <c r="M7" s="897"/>
      <c r="N7" s="897"/>
      <c r="O7" s="897"/>
      <c r="P7" s="897"/>
      <c r="Q7" s="897"/>
      <c r="R7" s="897"/>
      <c r="S7" s="897"/>
      <c r="T7" s="897"/>
      <c r="U7" s="897"/>
      <c r="V7" s="897"/>
      <c r="W7" s="897"/>
      <c r="X7" s="898"/>
      <c r="Y7" s="741"/>
      <c r="Z7" s="742"/>
      <c r="AA7" s="742"/>
      <c r="AB7" s="742"/>
      <c r="AC7" s="698"/>
      <c r="AD7" s="698"/>
      <c r="AR7" s="583"/>
      <c r="AU7" s="914" t="str">
        <f>Sprache!$E$101</f>
        <v>Sind zwei oder mehr Mannschaften nicht unterscheidbar und wird eine Entscheidung z.B. durch Los getroffen, genügt es, für die bevorzugte Mannschaft einen Bonuspunkt einzutragen.</v>
      </c>
      <c r="AV7" s="914"/>
      <c r="AW7" s="914"/>
      <c r="AX7" s="914"/>
    </row>
    <row r="8" spans="1:59" ht="30" customHeight="1" thickBot="1" x14ac:dyDescent="0.95">
      <c r="B8" s="302"/>
      <c r="C8" s="302"/>
      <c r="D8" s="302"/>
      <c r="E8" s="302"/>
      <c r="F8" s="302"/>
      <c r="G8" s="302"/>
      <c r="H8" s="302"/>
      <c r="I8" s="899"/>
      <c r="J8" s="900"/>
      <c r="K8" s="900"/>
      <c r="L8" s="900"/>
      <c r="M8" s="900"/>
      <c r="N8" s="900"/>
      <c r="O8" s="900"/>
      <c r="P8" s="900"/>
      <c r="Q8" s="900"/>
      <c r="R8" s="900"/>
      <c r="S8" s="900"/>
      <c r="T8" s="900"/>
      <c r="U8" s="900"/>
      <c r="V8" s="900"/>
      <c r="W8" s="900"/>
      <c r="X8" s="901"/>
      <c r="Y8" s="741"/>
      <c r="Z8" s="742"/>
      <c r="AA8" s="742"/>
      <c r="AB8" s="742"/>
      <c r="AC8" s="698"/>
      <c r="AD8" s="698"/>
      <c r="AU8" s="914"/>
      <c r="AV8" s="914"/>
      <c r="AW8" s="914"/>
      <c r="AX8" s="914"/>
    </row>
    <row r="9" spans="1:59" ht="13.5" customHeight="1" thickTop="1" thickBot="1" x14ac:dyDescent="0.35">
      <c r="C9" s="43"/>
      <c r="D9" s="43"/>
      <c r="E9" s="43"/>
      <c r="F9" s="300"/>
      <c r="G9" s="300"/>
      <c r="H9" s="300"/>
      <c r="I9" s="300"/>
      <c r="J9" s="300"/>
      <c r="K9" s="300"/>
      <c r="AL9" s="280"/>
      <c r="AM9" s="280"/>
      <c r="AN9" s="280"/>
      <c r="AO9" s="280"/>
      <c r="AP9" s="280"/>
      <c r="AQ9" s="280"/>
      <c r="BA9" s="1047" t="s">
        <v>468</v>
      </c>
    </row>
    <row r="10" spans="1:59" ht="24" customHeight="1" thickBot="1" x14ac:dyDescent="0.45">
      <c r="A10" s="296"/>
      <c r="B10" s="298" t="str">
        <f>Sprache!$E$11</f>
        <v>Ergebnisse</v>
      </c>
      <c r="C10" s="297"/>
      <c r="D10" s="297"/>
      <c r="E10" s="297"/>
      <c r="F10" s="299"/>
      <c r="G10" s="299"/>
      <c r="H10" s="299"/>
      <c r="I10" s="299"/>
      <c r="J10" s="299"/>
      <c r="K10" s="299"/>
      <c r="W10" s="878" t="str">
        <f>Sprache!$E$16&amp;" A"</f>
        <v>Gruppe A</v>
      </c>
      <c r="X10" s="878"/>
      <c r="Y10" s="189"/>
      <c r="Z10" s="189"/>
      <c r="AA10" s="189"/>
      <c r="AB10" s="189"/>
      <c r="AC10" s="189"/>
      <c r="AD10" s="189"/>
      <c r="AE10" s="189"/>
      <c r="AF10" s="189"/>
      <c r="AG10" s="189"/>
      <c r="AH10" s="189"/>
      <c r="AI10" s="189"/>
      <c r="AJ10" s="189"/>
      <c r="AK10" s="189"/>
      <c r="AL10" s="277" t="str">
        <f ca="1">IF(LEN(X12)&gt;Einstellungen!$C$33,LEFT(X12,Einstellungen!$C$33)&amp;".",X12)</f>
        <v>Eintrac.</v>
      </c>
      <c r="AM10" s="278" t="str">
        <f ca="1">IF(LEN(X13)&gt;Einstellungen!$C$33,LEFT(X13,Einstellungen!$C$33)&amp;".",X13)</f>
        <v>FC Barc.</v>
      </c>
      <c r="AN10" s="278" t="str">
        <f ca="1">IF(LEN(X14)&gt;Einstellungen!$C$33,LEFT(X14,Einstellungen!$C$33)&amp;".",X14)</f>
        <v>1. FC R.</v>
      </c>
      <c r="AO10" s="278" t="str">
        <f ca="1">IF(LEN(X15)&gt;Einstellungen!$C$33,LEFT(X15,Einstellungen!$C$33)&amp;".",X15)</f>
        <v>VFB Ess.</v>
      </c>
      <c r="AP10" s="278" t="str">
        <f ca="1">IF(LEN(X16)&gt;Einstellungen!$C$33,LEFT(X16,Einstellungen!$C$33)&amp;".",X16)</f>
        <v>Maibach.</v>
      </c>
      <c r="AQ10" s="279" t="str">
        <f ca="1">IF(LEN(X17)&gt;Einstellungen!$C$33,LEFT(X17,Einstellungen!$C$33)&amp;".",X17)</f>
        <v/>
      </c>
      <c r="AR10" s="190"/>
      <c r="AU10" s="878" t="str">
        <f>Sprache!$E$16&amp;" A"</f>
        <v>Gruppe A</v>
      </c>
      <c r="AV10" s="878"/>
      <c r="AW10" s="636"/>
      <c r="AX10" s="645" t="str">
        <f>Sprache!$E$79</f>
        <v>Bonus</v>
      </c>
      <c r="BA10" s="738" t="b">
        <f>Einstellungen!$B$39=Sprache!$E$90</f>
        <v>1</v>
      </c>
    </row>
    <row r="11" spans="1:59" ht="24" customHeight="1" thickTop="1" thickBot="1" x14ac:dyDescent="0.25">
      <c r="B11" s="63" t="str">
        <f>Sprache!$E$9</f>
        <v>Nr.</v>
      </c>
      <c r="C11" s="182" t="str">
        <f>Sprache!$E$39</f>
        <v>Beginn:</v>
      </c>
      <c r="D11" s="182" t="str">
        <f>Sprache!$E$48</f>
        <v>Feld</v>
      </c>
      <c r="E11" s="182" t="str">
        <f>Sprache!$E$17</f>
        <v>Grp</v>
      </c>
      <c r="F11" s="888" t="str">
        <f>Sprache!$E$14</f>
        <v>Spielpaarung</v>
      </c>
      <c r="G11" s="889"/>
      <c r="H11" s="890"/>
      <c r="I11" s="891" t="str">
        <f>Sprache!$E$72</f>
        <v>1. Satz</v>
      </c>
      <c r="J11" s="889"/>
      <c r="K11" s="890"/>
      <c r="L11" s="892" t="str">
        <f>Sprache!$E$73</f>
        <v>2. Satz</v>
      </c>
      <c r="M11" s="892"/>
      <c r="N11" s="892"/>
      <c r="O11" s="892" t="str">
        <f>Sprache!$E$75</f>
        <v>3. Satz</v>
      </c>
      <c r="P11" s="892"/>
      <c r="Q11" s="893"/>
      <c r="R11" s="894" t="str">
        <f>Sprache!$E$25</f>
        <v>Sätze</v>
      </c>
      <c r="S11" s="889"/>
      <c r="T11" s="895"/>
      <c r="U11" s="687" t="str">
        <f>Sprache!$E$78</f>
        <v>Schiedsrichter</v>
      </c>
      <c r="W11" s="879"/>
      <c r="X11" s="880"/>
      <c r="Y11" s="191" t="str">
        <f>Sprache!$E$21</f>
        <v>SP</v>
      </c>
      <c r="Z11" s="192" t="str">
        <f>Sprache!$E$22</f>
        <v>G</v>
      </c>
      <c r="AA11" s="192" t="str">
        <f>Sprache!$E$23</f>
        <v>U</v>
      </c>
      <c r="AB11" s="193" t="str">
        <f>Sprache!$E$24</f>
        <v>V</v>
      </c>
      <c r="AC11" s="884" t="str">
        <f>Sprache!$E$25</f>
        <v>Sätze</v>
      </c>
      <c r="AD11" s="885"/>
      <c r="AE11" s="886"/>
      <c r="AF11" s="731" t="str">
        <f>Sprache!$E$26</f>
        <v>Diff.</v>
      </c>
      <c r="AG11" s="881" t="str">
        <f>Sprache!$E$74</f>
        <v>Bälle</v>
      </c>
      <c r="AH11" s="882"/>
      <c r="AI11" s="883"/>
      <c r="AJ11" s="192" t="str">
        <f>IF(Einstellungen!$G$24,Sprache!$E$26,Sprache!$E$80)</f>
        <v>Diff.</v>
      </c>
      <c r="AK11" s="194" t="str">
        <f>IF(Einstellungen!$G$9,Sprache!$E$27,Sprache!$E$91)</f>
        <v>Pkt</v>
      </c>
      <c r="AL11" s="195" t="str">
        <f ca="1">X12</f>
        <v>Eintracht Frankfurt</v>
      </c>
      <c r="AM11" s="196" t="str">
        <f ca="1">X13</f>
        <v>FC Barcelona</v>
      </c>
      <c r="AN11" s="196" t="str">
        <f ca="1">X14</f>
        <v>1. FC Riedwald</v>
      </c>
      <c r="AO11" s="196" t="str">
        <f ca="1">X15</f>
        <v>VFB Essenheim</v>
      </c>
      <c r="AP11" s="196" t="str">
        <f ca="1">X16</f>
        <v>Maibach 1822 eV</v>
      </c>
      <c r="AQ11" s="585" t="str">
        <f ca="1">X17</f>
        <v/>
      </c>
      <c r="AR11" s="190"/>
      <c r="AU11" s="415" t="str">
        <f>Sprache!$E$9</f>
        <v>Nr.</v>
      </c>
      <c r="AV11" s="638" t="str">
        <f>Sprache!$E$10</f>
        <v>Teilnehmer bzw. Mannschaft</v>
      </c>
      <c r="AW11" s="641"/>
      <c r="AX11" s="446"/>
    </row>
    <row r="12" spans="1:59" ht="24" customHeight="1" x14ac:dyDescent="0.2">
      <c r="B12" s="326">
        <f>Planung!$E6</f>
        <v>1</v>
      </c>
      <c r="C12" s="226">
        <f>Planung!$F6</f>
        <v>0.375</v>
      </c>
      <c r="D12" s="227" t="str">
        <f>Planung!$G6</f>
        <v>1</v>
      </c>
      <c r="E12" s="227" t="str">
        <f ca="1">Planung!$H6</f>
        <v>A</v>
      </c>
      <c r="F12" s="228" t="str">
        <f ca="1">Planung!$L6</f>
        <v>VFB Essenheim</v>
      </c>
      <c r="G12" s="229" t="s">
        <v>4</v>
      </c>
      <c r="H12" s="228" t="str">
        <f ca="1">Planung!$N6</f>
        <v>FC Barcelona</v>
      </c>
      <c r="I12" s="230">
        <v>25</v>
      </c>
      <c r="J12" s="829" t="str">
        <f>Sprache!$E$109</f>
        <v xml:space="preserve"> : </v>
      </c>
      <c r="K12" s="601">
        <v>19</v>
      </c>
      <c r="L12" s="230">
        <v>18</v>
      </c>
      <c r="M12" s="829" t="str">
        <f>Sprache!$E$109</f>
        <v xml:space="preserve"> : </v>
      </c>
      <c r="N12" s="601">
        <v>25</v>
      </c>
      <c r="O12" s="230">
        <v>14</v>
      </c>
      <c r="P12" s="736" t="str">
        <f>Sprache!$E$109</f>
        <v xml:space="preserve"> : </v>
      </c>
      <c r="Q12" s="601">
        <v>25</v>
      </c>
      <c r="R12" s="739">
        <f ca="1">IF(BA12,"",(I12&lt;&gt;"")*(K12&lt;&gt;"")*NOT(BB12)*((I12&gt;K12)+(I12=K12)*0.5)+(L12&lt;&gt;"")*(N12&lt;&gt;"")*NOT(BC12)*((L12&gt;N12)+(L12=N12)*0.5)+(O12&lt;&gt;"")*(Q12&lt;&gt;"")*NOT(BD12)*((O12&gt;Q12)+(O12=Q12)*0.5))</f>
        <v>1</v>
      </c>
      <c r="S12" s="732" t="str">
        <f>Sprache!$E$109</f>
        <v xml:space="preserve"> : </v>
      </c>
      <c r="T12" s="733">
        <f ca="1">IF(BA12,"",(I12&lt;&gt;"")*(K12&lt;&gt;"")*NOT(BB12)*((I12&lt;K12)+(I12=K12)*0.5)+(L12&lt;&gt;"")*(N12&lt;&gt;"")*NOT(BC12)*((L12&lt;N12)+(L12=N12)*0.5)+(O12&lt;&gt;"")*(Q12&lt;&gt;"")*NOT(BD12)*((O12&lt;Q12)+(O12=Q12)*0.5))</f>
        <v>2</v>
      </c>
      <c r="U12" s="689" t="str">
        <f>IF(Planung!$O6="","",Planung!$O6)</f>
        <v/>
      </c>
      <c r="W12" s="362">
        <f ca="1">IF(Calc1!$K$13=0,"",1)</f>
        <v>1</v>
      </c>
      <c r="X12" s="363" t="str">
        <f ca="1">IF(Calc1!$F$14&lt;3,"",IF(Calc1!$K$13=0,Calc1!$Q64,VLOOKUP(Calc1!B4,Calc1!$C$4:$N$12,4,0)))</f>
        <v>Eintracht Frankfurt</v>
      </c>
      <c r="Y12" s="197">
        <f ca="1">IF(Calc1!$K$13=0,"",VLOOKUP(Calc1!B4,Calc1!$C$4:$N$12,9,0))</f>
        <v>4</v>
      </c>
      <c r="Z12" s="198">
        <f ca="1">IF(Calc1!$K$13=0,"",VLOOKUP(Calc1!B4,Calc1!$C$4:$N$12,10,0))</f>
        <v>3</v>
      </c>
      <c r="AA12" s="198">
        <f ca="1">IF(Calc1!$K$13=0,"",VLOOKUP(Calc1!B4,Calc1!$C$4:$N$12,11,0))</f>
        <v>1</v>
      </c>
      <c r="AB12" s="199">
        <f ca="1">IF(Calc1!$K$13=0,"",VLOOKUP(Calc1!B4,Calc1!$C$4:$N$12,12,0))</f>
        <v>0</v>
      </c>
      <c r="AC12" s="200">
        <f ca="1">IF(Calc1!$K$13=0,"",VLOOKUP(Calc1!B4,Calc1!$C$4:$AT$12,44,0))</f>
        <v>7</v>
      </c>
      <c r="AD12" s="805" t="str">
        <f>Sprache!$E$109</f>
        <v xml:space="preserve"> : </v>
      </c>
      <c r="AE12" s="202">
        <f ca="1">IF(Calc1!$K$13=0,"",VLOOKUP(Calc1!B4,Calc1!$C$4:$AS$12,43,0))</f>
        <v>2</v>
      </c>
      <c r="AF12" s="201">
        <f ca="1">IF(Calc1!$K$13=0,"",AC12-AE12)</f>
        <v>5</v>
      </c>
      <c r="AG12" s="200">
        <f ca="1">IF(Calc1!$K$13=0,"",VLOOKUP(Calc1!B4,Calc1!$C$4:$N$12,5,0))</f>
        <v>209</v>
      </c>
      <c r="AH12" s="805" t="str">
        <f>Sprache!$E$109</f>
        <v xml:space="preserve"> : </v>
      </c>
      <c r="AI12" s="202">
        <f ca="1">IF(Calc1!$K$13=0,"",VLOOKUP(Calc1!B4,Calc1!$C$4:$N$12,6,0))</f>
        <v>184</v>
      </c>
      <c r="AJ12" s="197">
        <f ca="1">IF(Calc1!$K$13=0,"",IF(VLOOKUP(Calc1!B4,Calc1!$C$4:$AV$12,46,0)=Einstellungen!$F$24,"max",VLOOKUP(Calc1!B4,Calc1!$C$4:$AV$12,46,0)))</f>
        <v>25</v>
      </c>
      <c r="AK12" s="203">
        <f ca="1">IF(Calc1!$K$13=0,"",VLOOKUP(Calc1!B4,Calc1!$C$4:$AT$12,Einstellungen!$H$9,0))</f>
        <v>7</v>
      </c>
      <c r="AL12" s="204"/>
      <c r="AM12" s="198" t="str">
        <f ca="1">IFERROR(VLOOKUP($X12&amp;AM$11,Calc1!$Z$64:$AC$207,Einstellungen!$G$29,0),"")</f>
        <v>72 : 69</v>
      </c>
      <c r="AN12" s="198" t="str">
        <f ca="1">IFERROR(VLOOKUP($X12&amp;AN$11,Calc1!$Z$64:$AC$207,Einstellungen!$G$29,0),"")</f>
        <v>50 : 34</v>
      </c>
      <c r="AO12" s="198" t="str">
        <f ca="1">IFERROR(VLOOKUP($X12&amp;AO$11,Calc1!$Z$64:$AC$207,Einstellungen!$G$29,0),"")</f>
        <v>37 : 37</v>
      </c>
      <c r="AP12" s="198" t="str">
        <f ca="1">IFERROR(VLOOKUP($X12&amp;AP$11,Calc1!$Z$64:$AC$207,Einstellungen!$G$29,0),"")</f>
        <v>50 : 44</v>
      </c>
      <c r="AQ12" s="205" t="str">
        <f ca="1">IFERROR(VLOOKUP($X12&amp;AQ$11,Calc1!$Z$64:$AC$207,Einstellungen!$G$29,0),"")</f>
        <v/>
      </c>
      <c r="AR12" s="206" t="str">
        <f t="shared" ref="AR12:AR17" ca="1" si="0">X12</f>
        <v>Eintracht Frankfurt</v>
      </c>
      <c r="AU12" s="416" t="s">
        <v>186</v>
      </c>
      <c r="AV12" s="639" t="str">
        <f>IF(Planung!$C7="","",Planung!$C7)</f>
        <v>1. FC Riedwald</v>
      </c>
      <c r="AW12" s="271"/>
      <c r="AX12" s="784"/>
      <c r="BA12" s="738" t="b">
        <f t="shared" ref="BA12:BA43" ca="1" si="1">OR(F12="",H12="",AND(OR(I12="",K12="",BB12),OR(L12="",N12="",BC12),OR(O12="",Q12="",BD12)))</f>
        <v>0</v>
      </c>
      <c r="BB12" s="738" t="b">
        <f>ABS(I12-K12)&lt;2*$BA$10</f>
        <v>0</v>
      </c>
      <c r="BC12" s="738" t="b">
        <f>ABS(L12-N12)&lt;2*$BA$10</f>
        <v>0</v>
      </c>
      <c r="BD12" s="738" t="b">
        <f>ABS(O12-Q12)&lt;2*$BA$10</f>
        <v>0</v>
      </c>
      <c r="BE12" s="738" t="b">
        <f t="shared" ref="BE12:BE43" si="2">AND(BB12,I12&lt;&gt;"",K12&lt;&gt;"")</f>
        <v>0</v>
      </c>
      <c r="BF12" s="738" t="b">
        <f t="shared" ref="BF12:BF43" si="3">AND(BC12,L12&lt;&gt;"",N12&lt;&gt;"")</f>
        <v>0</v>
      </c>
      <c r="BG12" s="738" t="b">
        <f t="shared" ref="BG12:BG43" si="4">AND(BD12,O12&lt;&gt;"",Q12&lt;&gt;"")</f>
        <v>0</v>
      </c>
    </row>
    <row r="13" spans="1:59" ht="24" customHeight="1" x14ac:dyDescent="0.2">
      <c r="B13" s="326">
        <f ca="1">Planung!$E7</f>
        <v>2</v>
      </c>
      <c r="C13" s="226">
        <f ca="1">Planung!$F7</f>
        <v>0.375</v>
      </c>
      <c r="D13" s="227">
        <f ca="1">Planung!$G7</f>
        <v>2</v>
      </c>
      <c r="E13" s="227" t="str">
        <f ca="1">Planung!$H7</f>
        <v>B</v>
      </c>
      <c r="F13" s="228" t="str">
        <f ca="1">Planung!$L7</f>
        <v>FC Grönlingen</v>
      </c>
      <c r="G13" s="229" t="s">
        <v>4</v>
      </c>
      <c r="H13" s="228" t="str">
        <f ca="1">Planung!$N7</f>
        <v>Inter Mailand</v>
      </c>
      <c r="I13" s="230">
        <v>16</v>
      </c>
      <c r="J13" s="829" t="str">
        <f>Sprache!$E$109</f>
        <v xml:space="preserve"> : </v>
      </c>
      <c r="K13" s="601">
        <v>25</v>
      </c>
      <c r="L13" s="230">
        <v>20</v>
      </c>
      <c r="M13" s="829" t="str">
        <f>Sprache!$E$109</f>
        <v xml:space="preserve"> : </v>
      </c>
      <c r="N13" s="601">
        <v>25</v>
      </c>
      <c r="O13" s="230"/>
      <c r="P13" s="736" t="str">
        <f>Sprache!$E$109</f>
        <v xml:space="preserve"> : </v>
      </c>
      <c r="Q13" s="601"/>
      <c r="R13" s="739">
        <f t="shared" ref="R13:R71" ca="1" si="5">IF(BA13,"",(I13&lt;&gt;"")*(K13&lt;&gt;"")*NOT(BB13)*((I13&gt;K13)+(I13=K13)*0.5)+(L13&lt;&gt;"")*(N13&lt;&gt;"")*NOT(BC13)*((L13&gt;N13)+(L13=N13)*0.5)+(O13&lt;&gt;"")*(Q13&lt;&gt;"")*NOT(BD13)*((O13&gt;Q13)+(O13=Q13)*0.5))</f>
        <v>0</v>
      </c>
      <c r="S13" s="732" t="str">
        <f>Sprache!$E$109</f>
        <v xml:space="preserve"> : </v>
      </c>
      <c r="T13" s="733">
        <f t="shared" ref="T13:T71" ca="1" si="6">IF(BA13,"",(I13&lt;&gt;"")*(K13&lt;&gt;"")*NOT(BB13)*((I13&lt;K13)+(I13=K13)*0.5)+(L13&lt;&gt;"")*(N13&lt;&gt;"")*NOT(BC13)*((L13&lt;N13)+(L13=N13)*0.5)+(O13&lt;&gt;"")*(Q13&lt;&gt;"")*NOT(BD13)*((O13&lt;Q13)+(O13=Q13)*0.5))</f>
        <v>2</v>
      </c>
      <c r="U13" s="690" t="str">
        <f>IF(Planung!$O7="","",Planung!$O7)</f>
        <v/>
      </c>
      <c r="W13" s="364">
        <f ca="1">IF(Calc1!$K$13=0,"",IF(VLOOKUP(Calc1!B5,Calc1!$C$4:$E$12,3,0)=MAX(W$12:W12),VLOOKUP(Calc1!B5,Calc1!$C$4:$E$12,3,0),Calc1!B5))</f>
        <v>2</v>
      </c>
      <c r="X13" s="365" t="str">
        <f ca="1">IF(Calc1!$F$14&lt;3,"",IF(Calc1!$K$13=0,Calc1!$Q65,VLOOKUP(Calc1!B5,Calc1!$C$4:$N$12,4,0)))</f>
        <v>FC Barcelona</v>
      </c>
      <c r="Y13" s="207">
        <f ca="1">IF(Calc1!$K$13=0,"",VLOOKUP(Calc1!B5,Calc1!$C$4:$N$12,9,0))</f>
        <v>4</v>
      </c>
      <c r="Z13" s="188">
        <f ca="1">IF(Calc1!$K$13=0,"",VLOOKUP(Calc1!B5,Calc1!$C$4:$N$12,10,0))</f>
        <v>2</v>
      </c>
      <c r="AA13" s="188">
        <f ca="1">IF(Calc1!$K$13=0,"",VLOOKUP(Calc1!B5,Calc1!$C$4:$N$12,11,0))</f>
        <v>1</v>
      </c>
      <c r="AB13" s="208">
        <f ca="1">IF(Calc1!$K$13=0,"",VLOOKUP(Calc1!B5,Calc1!$C$4:$N$12,12,0))</f>
        <v>1</v>
      </c>
      <c r="AC13" s="209">
        <f ca="1">IF(Calc1!$K$13=0,"",VLOOKUP(Calc1!B5,Calc1!$C$4:$AT$12,44,0))</f>
        <v>6</v>
      </c>
      <c r="AD13" s="806" t="str">
        <f>Sprache!$E$109</f>
        <v xml:space="preserve"> : </v>
      </c>
      <c r="AE13" s="211">
        <f ca="1">IF(Calc1!$K$13=0,"",VLOOKUP(Calc1!B5,Calc1!$C$4:$AS$12,43,0))</f>
        <v>4</v>
      </c>
      <c r="AF13" s="210">
        <f ca="1">IF(Calc1!$K$13=0,"",AC13-AE13)</f>
        <v>2</v>
      </c>
      <c r="AG13" s="209">
        <f ca="1">IF(Calc1!$K$13=0,"",VLOOKUP(Calc1!B5,Calc1!$C$4:$N$12,5,0))</f>
        <v>233</v>
      </c>
      <c r="AH13" s="806" t="str">
        <f>Sprache!$E$109</f>
        <v xml:space="preserve"> : </v>
      </c>
      <c r="AI13" s="211">
        <f ca="1">IF(Calc1!$K$13=0,"",VLOOKUP(Calc1!B5,Calc1!$C$4:$N$12,6,0))</f>
        <v>209</v>
      </c>
      <c r="AJ13" s="207">
        <f ca="1">IF(Calc1!$K$13=0,"",IF(VLOOKUP(Calc1!B5,Calc1!$C$4:$AV$12,46,0)=Einstellungen!$F$24,"max",VLOOKUP(Calc1!B5,Calc1!$C$4:$AV$12,46,0)))</f>
        <v>24</v>
      </c>
      <c r="AK13" s="212">
        <f ca="1">IF(Calc1!$K$13=0,"",VLOOKUP(Calc1!B5,Calc1!$C$4:$AT$12,Einstellungen!$H$9,0))</f>
        <v>5</v>
      </c>
      <c r="AL13" s="213" t="str">
        <f ca="1">IFERROR(VLOOKUP($X13&amp;AL$11,Calc1!$Z$64:$AC$207,Einstellungen!$G$29,0),"")</f>
        <v>69 : 72</v>
      </c>
      <c r="AM13" s="214"/>
      <c r="AN13" s="188" t="str">
        <f ca="1">IFERROR(VLOOKUP($X13&amp;AN$11,Calc1!$Z$64:$AC$207,Einstellungen!$G$29,0),"")</f>
        <v>50 : 35</v>
      </c>
      <c r="AO13" s="188" t="str">
        <f ca="1">IFERROR(VLOOKUP($X13&amp;AO$11,Calc1!$Z$64:$AC$207,Einstellungen!$G$29,0),"")</f>
        <v>69 : 57</v>
      </c>
      <c r="AP13" s="188" t="str">
        <f ca="1">IFERROR(VLOOKUP($X13&amp;AP$11,Calc1!$Z$64:$AC$207,Einstellungen!$G$29,0),"")</f>
        <v>45 : 45</v>
      </c>
      <c r="AQ13" s="215" t="str">
        <f ca="1">IFERROR(VLOOKUP($X13&amp;AQ$11,Calc1!$Z$64:$AC$207,Einstellungen!$G$29,0),"")</f>
        <v/>
      </c>
      <c r="AR13" s="216" t="str">
        <f t="shared" ca="1" si="0"/>
        <v>FC Barcelona</v>
      </c>
      <c r="AU13" s="417" t="s">
        <v>188</v>
      </c>
      <c r="AV13" s="365" t="str">
        <f>IF(Planung!$C9="","",Planung!$C9)</f>
        <v>FC Barcelona</v>
      </c>
      <c r="AW13" s="271"/>
      <c r="AX13" s="785"/>
      <c r="BA13" s="738" t="b">
        <f t="shared" ca="1" si="1"/>
        <v>0</v>
      </c>
      <c r="BB13" s="738" t="b">
        <f t="shared" ref="BB13:BB71" si="7">ABS(I13-K13)&lt;2*$BA$10</f>
        <v>0</v>
      </c>
      <c r="BC13" s="738" t="b">
        <f t="shared" ref="BC13:BC71" si="8">ABS(L13-N13)&lt;2*$BA$10</f>
        <v>0</v>
      </c>
      <c r="BD13" s="738" t="b">
        <f t="shared" ref="BD13:BD71" si="9">ABS(O13-Q13)&lt;2*$BA$10</f>
        <v>1</v>
      </c>
      <c r="BE13" s="738" t="b">
        <f t="shared" si="2"/>
        <v>0</v>
      </c>
      <c r="BF13" s="738" t="b">
        <f t="shared" si="3"/>
        <v>0</v>
      </c>
      <c r="BG13" s="738" t="b">
        <f t="shared" si="4"/>
        <v>0</v>
      </c>
    </row>
    <row r="14" spans="1:59" ht="24" customHeight="1" x14ac:dyDescent="0.2">
      <c r="B14" s="326">
        <f ca="1">Planung!$E8</f>
        <v>3</v>
      </c>
      <c r="C14" s="226">
        <f ca="1">Planung!$F8</f>
        <v>0.375</v>
      </c>
      <c r="D14" s="227">
        <f ca="1">Planung!$G8</f>
        <v>3</v>
      </c>
      <c r="E14" s="227" t="str">
        <f ca="1">Planung!$H8</f>
        <v>C</v>
      </c>
      <c r="F14" s="228" t="str">
        <f ca="1">Planung!$L8</f>
        <v>1. FC Nürnberg</v>
      </c>
      <c r="G14" s="229" t="s">
        <v>4</v>
      </c>
      <c r="H14" s="228" t="str">
        <f ca="1">Planung!$N8</f>
        <v>Real Madrid</v>
      </c>
      <c r="I14" s="230">
        <v>21</v>
      </c>
      <c r="J14" s="829" t="str">
        <f>Sprache!$E$109</f>
        <v xml:space="preserve"> : </v>
      </c>
      <c r="K14" s="601">
        <v>25</v>
      </c>
      <c r="L14" s="230">
        <v>19</v>
      </c>
      <c r="M14" s="829" t="str">
        <f>Sprache!$E$109</f>
        <v xml:space="preserve"> : </v>
      </c>
      <c r="N14" s="601">
        <v>25</v>
      </c>
      <c r="O14" s="230"/>
      <c r="P14" s="736" t="str">
        <f>Sprache!$E$109</f>
        <v xml:space="preserve"> : </v>
      </c>
      <c r="Q14" s="601"/>
      <c r="R14" s="739">
        <f t="shared" ca="1" si="5"/>
        <v>0</v>
      </c>
      <c r="S14" s="732" t="str">
        <f>Sprache!$E$109</f>
        <v xml:space="preserve"> : </v>
      </c>
      <c r="T14" s="733">
        <f t="shared" ca="1" si="6"/>
        <v>2</v>
      </c>
      <c r="U14" s="690" t="str">
        <f>IF(Planung!$O8="","",Planung!$O8)</f>
        <v/>
      </c>
      <c r="W14" s="364">
        <f ca="1">IF(Calc1!$K$13=0,"",IF(VLOOKUP(Calc1!B6,Calc1!$C$4:$E$12,3,0)=MAX(W$12:W13),VLOOKUP(Calc1!B6,Calc1!$C$4:$E$12,3,0),Calc1!B6))</f>
        <v>3</v>
      </c>
      <c r="X14" s="365" t="str">
        <f ca="1">IF(Calc1!$F$14&lt;3,"",IF(Calc1!$K$13=0,Calc1!$Q66,VLOOKUP(Calc1!B6,Calc1!$C$4:$N$12,4,0)))</f>
        <v>1. FC Riedwald</v>
      </c>
      <c r="Y14" s="207">
        <f ca="1">IF(Calc1!$K$13=0,"",VLOOKUP(Calc1!B6,Calc1!$C$4:$N$12,9,0))</f>
        <v>4</v>
      </c>
      <c r="Z14" s="188">
        <f ca="1">IF(Calc1!$K$13=0,"",VLOOKUP(Calc1!B6,Calc1!$C$4:$N$12,10,0))</f>
        <v>2</v>
      </c>
      <c r="AA14" s="188">
        <f ca="1">IF(Calc1!$K$13=0,"",VLOOKUP(Calc1!B6,Calc1!$C$4:$N$12,11,0))</f>
        <v>0</v>
      </c>
      <c r="AB14" s="208">
        <f ca="1">IF(Calc1!$K$13=0,"",VLOOKUP(Calc1!B6,Calc1!$C$4:$N$12,12,0))</f>
        <v>2</v>
      </c>
      <c r="AC14" s="209">
        <f ca="1">IF(Calc1!$K$13=0,"",VLOOKUP(Calc1!B6,Calc1!$C$4:$AT$12,44,0))</f>
        <v>4</v>
      </c>
      <c r="AD14" s="806" t="str">
        <f>Sprache!$E$109</f>
        <v xml:space="preserve"> : </v>
      </c>
      <c r="AE14" s="211">
        <f ca="1">IF(Calc1!$K$13=0,"",VLOOKUP(Calc1!B6,Calc1!$C$4:$AS$12,43,0))</f>
        <v>5</v>
      </c>
      <c r="AF14" s="210">
        <f ca="1">IF(Calc1!$K$13=0,"",AC14-AE14)</f>
        <v>-1</v>
      </c>
      <c r="AG14" s="209">
        <f ca="1">IF(Calc1!$K$13=0,"",VLOOKUP(Calc1!B6,Calc1!$C$4:$N$12,5,0))</f>
        <v>188</v>
      </c>
      <c r="AH14" s="806" t="str">
        <f>Sprache!$E$109</f>
        <v xml:space="preserve"> : </v>
      </c>
      <c r="AI14" s="211">
        <f ca="1">IF(Calc1!$K$13=0,"",VLOOKUP(Calc1!B6,Calc1!$C$4:$N$12,6,0))</f>
        <v>204</v>
      </c>
      <c r="AJ14" s="207">
        <f ca="1">IF(Calc1!$K$13=0,"",IF(VLOOKUP(Calc1!B6,Calc1!$C$4:$AV$12,46,0)=Einstellungen!$F$24,"max",VLOOKUP(Calc1!B6,Calc1!$C$4:$AV$12,46,0)))</f>
        <v>-16</v>
      </c>
      <c r="AK14" s="212">
        <f ca="1">IF(Calc1!$K$13=0,"",VLOOKUP(Calc1!B6,Calc1!$C$4:$AT$12,Einstellungen!$H$9,0))</f>
        <v>4</v>
      </c>
      <c r="AL14" s="213" t="str">
        <f ca="1">IFERROR(VLOOKUP($X14&amp;AL$11,Calc1!$Z$64:$AC$207,Einstellungen!$G$29,0),"")</f>
        <v>34 : 50</v>
      </c>
      <c r="AM14" s="391" t="str">
        <f ca="1">IFERROR(VLOOKUP($X14&amp;AM$11,Calc1!$Z$64:$AC$207,Einstellungen!$G$29,0),"")</f>
        <v>35 : 50</v>
      </c>
      <c r="AN14" s="214"/>
      <c r="AO14" s="188" t="str">
        <f ca="1">IFERROR(VLOOKUP($X14&amp;AO$11,Calc1!$Z$64:$AC$207,Einstellungen!$G$29,0),"")</f>
        <v>69 : 65</v>
      </c>
      <c r="AP14" s="188" t="str">
        <f ca="1">IFERROR(VLOOKUP($X14&amp;AP$11,Calc1!$Z$64:$AC$207,Einstellungen!$G$29,0),"")</f>
        <v>50 : 39</v>
      </c>
      <c r="AQ14" s="215" t="str">
        <f ca="1">IFERROR(VLOOKUP($X14&amp;AQ$11,Calc1!$Z$64:$AC$207,Einstellungen!$G$29,0),"")</f>
        <v/>
      </c>
      <c r="AR14" s="216" t="str">
        <f t="shared" ca="1" si="0"/>
        <v>1. FC Riedwald</v>
      </c>
      <c r="AU14" s="417" t="s">
        <v>184</v>
      </c>
      <c r="AV14" s="365" t="str">
        <f>IF(Planung!$C11="","",Planung!$C11)</f>
        <v>Eintracht Frankfurt</v>
      </c>
      <c r="AW14" s="271"/>
      <c r="AX14" s="785"/>
      <c r="BA14" s="738" t="b">
        <f t="shared" ca="1" si="1"/>
        <v>0</v>
      </c>
      <c r="BB14" s="738" t="b">
        <f t="shared" si="7"/>
        <v>0</v>
      </c>
      <c r="BC14" s="738" t="b">
        <f t="shared" si="8"/>
        <v>0</v>
      </c>
      <c r="BD14" s="738" t="b">
        <f t="shared" si="9"/>
        <v>1</v>
      </c>
      <c r="BE14" s="738" t="b">
        <f t="shared" si="2"/>
        <v>0</v>
      </c>
      <c r="BF14" s="738" t="b">
        <f t="shared" si="3"/>
        <v>0</v>
      </c>
      <c r="BG14" s="738" t="b">
        <f t="shared" si="4"/>
        <v>0</v>
      </c>
    </row>
    <row r="15" spans="1:59" ht="24" customHeight="1" x14ac:dyDescent="0.2">
      <c r="B15" s="326">
        <f ca="1">Planung!$E9</f>
        <v>4</v>
      </c>
      <c r="C15" s="226">
        <f ca="1">Planung!$F9</f>
        <v>0.375</v>
      </c>
      <c r="D15" s="227">
        <f ca="1">Planung!$G9</f>
        <v>4</v>
      </c>
      <c r="E15" s="227" t="str">
        <f ca="1">Planung!$H9</f>
        <v>D</v>
      </c>
      <c r="F15" s="228" t="str">
        <f ca="1">Planung!$L9</f>
        <v>SV Oberredenburg</v>
      </c>
      <c r="G15" s="229" t="s">
        <v>4</v>
      </c>
      <c r="H15" s="228" t="str">
        <f ca="1">Planung!$N9</f>
        <v>Paris St. Germain</v>
      </c>
      <c r="I15" s="230">
        <v>22</v>
      </c>
      <c r="J15" s="829" t="str">
        <f>Sprache!$E$109</f>
        <v xml:space="preserve"> : </v>
      </c>
      <c r="K15" s="601">
        <v>25</v>
      </c>
      <c r="L15" s="230">
        <v>17</v>
      </c>
      <c r="M15" s="829" t="str">
        <f>Sprache!$E$109</f>
        <v xml:space="preserve"> : </v>
      </c>
      <c r="N15" s="601">
        <v>25</v>
      </c>
      <c r="O15" s="230"/>
      <c r="P15" s="736" t="str">
        <f>Sprache!$E$109</f>
        <v xml:space="preserve"> : </v>
      </c>
      <c r="Q15" s="601"/>
      <c r="R15" s="739">
        <f t="shared" ca="1" si="5"/>
        <v>0</v>
      </c>
      <c r="S15" s="732" t="str">
        <f>Sprache!$E$109</f>
        <v xml:space="preserve"> : </v>
      </c>
      <c r="T15" s="733">
        <f t="shared" ca="1" si="6"/>
        <v>2</v>
      </c>
      <c r="U15" s="690" t="str">
        <f>IF(Planung!$O9="","",Planung!$O9)</f>
        <v/>
      </c>
      <c r="W15" s="364">
        <f ca="1">IF(Calc1!$K$13=0,"",IF(VLOOKUP(Calc1!B7,Calc1!$C$4:$E$12,3,0)=MAX(W$12:W14),VLOOKUP(Calc1!B7,Calc1!$C$4:$E$12,3,0),Calc1!B7))</f>
        <v>4</v>
      </c>
      <c r="X15" s="365" t="str">
        <f ca="1">IF(Calc1!$F$14&lt;3,"",IF(Calc1!$K$13=0,Calc1!$Q67,VLOOKUP(Calc1!B7,Calc1!$C$4:$N$12,4,0)))</f>
        <v>VFB Essenheim</v>
      </c>
      <c r="Y15" s="207">
        <f ca="1">IF(Calc1!$K$13=0,"",VLOOKUP(Calc1!B7,Calc1!$C$4:$N$12,9,0))</f>
        <v>4</v>
      </c>
      <c r="Z15" s="188">
        <f ca="1">IF(Calc1!$K$13=0,"",VLOOKUP(Calc1!B7,Calc1!$C$4:$N$12,10,0))</f>
        <v>0</v>
      </c>
      <c r="AA15" s="188">
        <f ca="1">IF(Calc1!$K$13=0,"",VLOOKUP(Calc1!B7,Calc1!$C$4:$N$12,11,0))</f>
        <v>2</v>
      </c>
      <c r="AB15" s="208">
        <f ca="1">IF(Calc1!$K$13=0,"",VLOOKUP(Calc1!B7,Calc1!$C$4:$N$12,12,0))</f>
        <v>2</v>
      </c>
      <c r="AC15" s="209">
        <f ca="1">IF(Calc1!$K$13=0,"",VLOOKUP(Calc1!B7,Calc1!$C$4:$AT$12,44,0))</f>
        <v>4</v>
      </c>
      <c r="AD15" s="806" t="str">
        <f>Sprache!$E$109</f>
        <v xml:space="preserve"> : </v>
      </c>
      <c r="AE15" s="211">
        <f ca="1">IF(Calc1!$K$13=0,"",VLOOKUP(Calc1!B7,Calc1!$C$4:$AS$12,43,0))</f>
        <v>6</v>
      </c>
      <c r="AF15" s="210">
        <f ca="1">IF(Calc1!$K$13=0,"",AC15-AE15)</f>
        <v>-2</v>
      </c>
      <c r="AG15" s="209">
        <f ca="1">IF(Calc1!$K$13=0,"",VLOOKUP(Calc1!B7,Calc1!$C$4:$N$12,5,0))</f>
        <v>205</v>
      </c>
      <c r="AH15" s="806" t="str">
        <f>Sprache!$E$109</f>
        <v xml:space="preserve"> : </v>
      </c>
      <c r="AI15" s="211">
        <f ca="1">IF(Calc1!$K$13=0,"",VLOOKUP(Calc1!B7,Calc1!$C$4:$N$12,6,0))</f>
        <v>217</v>
      </c>
      <c r="AJ15" s="207">
        <f ca="1">IF(Calc1!$K$13=0,"",IF(VLOOKUP(Calc1!B7,Calc1!$C$4:$AV$12,46,0)=Einstellungen!$F$24,"max",VLOOKUP(Calc1!B7,Calc1!$C$4:$AV$12,46,0)))</f>
        <v>-12</v>
      </c>
      <c r="AK15" s="212">
        <f ca="1">IF(Calc1!$K$13=0,"",VLOOKUP(Calc1!B7,Calc1!$C$4:$AT$12,Einstellungen!$H$9,0))</f>
        <v>2</v>
      </c>
      <c r="AL15" s="213" t="str">
        <f ca="1">IFERROR(VLOOKUP($X15&amp;AL$11,Calc1!$Z$64:$AC$207,Einstellungen!$G$29,0),"")</f>
        <v>37 : 37</v>
      </c>
      <c r="AM15" s="391" t="str">
        <f ca="1">IFERROR(VLOOKUP($X15&amp;AM$11,Calc1!$Z$64:$AC$207,Einstellungen!$G$29,0),"")</f>
        <v>57 : 69</v>
      </c>
      <c r="AN15" s="188" t="str">
        <f ca="1">IFERROR(VLOOKUP($X15&amp;AN$11,Calc1!$Z$64:$AC$207,Einstellungen!$G$29,0),"")</f>
        <v>65 : 69</v>
      </c>
      <c r="AO15" s="214"/>
      <c r="AP15" s="188" t="str">
        <f ca="1">IFERROR(VLOOKUP($X15&amp;AP$11,Calc1!$Z$64:$AC$207,Einstellungen!$G$29,0),"")</f>
        <v>46 : 42</v>
      </c>
      <c r="AQ15" s="215" t="str">
        <f ca="1">IFERROR(VLOOKUP($X15&amp;AQ$11,Calc1!$Z$64:$AC$207,Einstellungen!$G$29,0),"")</f>
        <v/>
      </c>
      <c r="AR15" s="216" t="str">
        <f t="shared" ca="1" si="0"/>
        <v>VFB Essenheim</v>
      </c>
      <c r="AU15" s="417" t="s">
        <v>190</v>
      </c>
      <c r="AV15" s="365" t="str">
        <f>IF(Planung!$C13="","",Planung!$C13)</f>
        <v>Maibach 1822 eV</v>
      </c>
      <c r="AW15" s="271"/>
      <c r="AX15" s="785"/>
      <c r="BA15" s="738" t="b">
        <f t="shared" ca="1" si="1"/>
        <v>0</v>
      </c>
      <c r="BB15" s="738" t="b">
        <f t="shared" si="7"/>
        <v>0</v>
      </c>
      <c r="BC15" s="738" t="b">
        <f t="shared" si="8"/>
        <v>0</v>
      </c>
      <c r="BD15" s="738" t="b">
        <f t="shared" si="9"/>
        <v>1</v>
      </c>
      <c r="BE15" s="738" t="b">
        <f t="shared" si="2"/>
        <v>0</v>
      </c>
      <c r="BF15" s="738" t="b">
        <f t="shared" si="3"/>
        <v>0</v>
      </c>
      <c r="BG15" s="738" t="b">
        <f t="shared" si="4"/>
        <v>0</v>
      </c>
    </row>
    <row r="16" spans="1:59" ht="24" customHeight="1" x14ac:dyDescent="0.2">
      <c r="B16" s="326">
        <f ca="1">Planung!$E10</f>
        <v>5</v>
      </c>
      <c r="C16" s="226">
        <f ca="1">Planung!$F10</f>
        <v>0.39930555555555558</v>
      </c>
      <c r="D16" s="227">
        <f ca="1">Planung!$G10</f>
        <v>1</v>
      </c>
      <c r="E16" s="227" t="str">
        <f ca="1">Planung!$H10</f>
        <v>A</v>
      </c>
      <c r="F16" s="228" t="str">
        <f ca="1">Planung!$L10</f>
        <v>Eintracht Frankfurt</v>
      </c>
      <c r="G16" s="229" t="s">
        <v>4</v>
      </c>
      <c r="H16" s="228" t="str">
        <f ca="1">Planung!$N10</f>
        <v>Maibach 1822 eV</v>
      </c>
      <c r="I16" s="230">
        <v>25</v>
      </c>
      <c r="J16" s="829" t="str">
        <f>Sprache!$E$109</f>
        <v xml:space="preserve"> : </v>
      </c>
      <c r="K16" s="601">
        <v>23</v>
      </c>
      <c r="L16" s="230">
        <v>25</v>
      </c>
      <c r="M16" s="829" t="str">
        <f>Sprache!$E$109</f>
        <v xml:space="preserve"> : </v>
      </c>
      <c r="N16" s="601">
        <v>21</v>
      </c>
      <c r="O16" s="230"/>
      <c r="P16" s="736" t="str">
        <f>Sprache!$E$109</f>
        <v xml:space="preserve"> : </v>
      </c>
      <c r="Q16" s="601"/>
      <c r="R16" s="739">
        <f t="shared" ca="1" si="5"/>
        <v>2</v>
      </c>
      <c r="S16" s="732" t="str">
        <f>Sprache!$E$109</f>
        <v xml:space="preserve"> : </v>
      </c>
      <c r="T16" s="733">
        <f t="shared" ca="1" si="6"/>
        <v>0</v>
      </c>
      <c r="U16" s="690" t="str">
        <f>IF(Planung!$O10="","",Planung!$O10)</f>
        <v/>
      </c>
      <c r="W16" s="364">
        <f ca="1">IF(Calc1!$K$13=0,"",IF(VLOOKUP(Calc1!B8,Calc1!$C$4:$E$12,3,0)=MAX(W$12:W15),VLOOKUP(Calc1!B8,Calc1!$C$4:$E$12,3,0),Calc1!B8))</f>
        <v>5</v>
      </c>
      <c r="X16" s="365" t="str">
        <f ca="1">IF(Calc1!$F$14&lt;3,"",IF(Calc1!$K$13=0,Calc1!$Q68,VLOOKUP(Calc1!B8,Calc1!$C$4:$N$12,4,0)))</f>
        <v>Maibach 1822 eV</v>
      </c>
      <c r="Y16" s="207">
        <f ca="1">IF(Calc1!$K$13=0,"",VLOOKUP(Calc1!B8,Calc1!$C$4:$N$12,9,0))</f>
        <v>4</v>
      </c>
      <c r="Z16" s="188">
        <f ca="1">IF(Calc1!$K$13=0,"",VLOOKUP(Calc1!B8,Calc1!$C$4:$N$12,10,0))</f>
        <v>0</v>
      </c>
      <c r="AA16" s="188">
        <f ca="1">IF(Calc1!$K$13=0,"",VLOOKUP(Calc1!B8,Calc1!$C$4:$N$12,11,0))</f>
        <v>2</v>
      </c>
      <c r="AB16" s="208">
        <f ca="1">IF(Calc1!$K$13=0,"",VLOOKUP(Calc1!B8,Calc1!$C$4:$N$12,12,0))</f>
        <v>2</v>
      </c>
      <c r="AC16" s="209">
        <f ca="1">IF(Calc1!$K$13=0,"",VLOOKUP(Calc1!B8,Calc1!$C$4:$AT$12,44,0))</f>
        <v>2</v>
      </c>
      <c r="AD16" s="806" t="str">
        <f>Sprache!$E$109</f>
        <v xml:space="preserve"> : </v>
      </c>
      <c r="AE16" s="211">
        <f ca="1">IF(Calc1!$K$13=0,"",VLOOKUP(Calc1!B8,Calc1!$C$4:$AS$12,43,0))</f>
        <v>6</v>
      </c>
      <c r="AF16" s="210">
        <f ca="1">IF(Calc1!$K$13=0,"",AC16-AE16)</f>
        <v>-4</v>
      </c>
      <c r="AG16" s="209">
        <f ca="1">IF(Calc1!$K$13=0,"",VLOOKUP(Calc1!B8,Calc1!$C$4:$N$12,5,0))</f>
        <v>170</v>
      </c>
      <c r="AH16" s="806" t="str">
        <f>Sprache!$E$109</f>
        <v xml:space="preserve"> : </v>
      </c>
      <c r="AI16" s="211">
        <f ca="1">IF(Calc1!$K$13=0,"",VLOOKUP(Calc1!B8,Calc1!$C$4:$N$12,6,0))</f>
        <v>191</v>
      </c>
      <c r="AJ16" s="207">
        <f ca="1">IF(Calc1!$K$13=0,"",IF(VLOOKUP(Calc1!B8,Calc1!$C$4:$AV$12,46,0)=Einstellungen!$F$24,"max",VLOOKUP(Calc1!B8,Calc1!$C$4:$AV$12,46,0)))</f>
        <v>-21</v>
      </c>
      <c r="AK16" s="212">
        <f ca="1">IF(Calc1!$K$13=0,"",VLOOKUP(Calc1!B8,Calc1!$C$4:$AT$12,Einstellungen!$H$9,0))</f>
        <v>2</v>
      </c>
      <c r="AL16" s="213" t="str">
        <f ca="1">IFERROR(VLOOKUP($X16&amp;AL$11,Calc1!$Z$64:$AC$207,Einstellungen!$G$29,0),"")</f>
        <v>44 : 50</v>
      </c>
      <c r="AM16" s="391" t="str">
        <f ca="1">IFERROR(VLOOKUP($X16&amp;AM$11,Calc1!$Z$64:$AC$207,Einstellungen!$G$29,0),"")</f>
        <v>45 : 45</v>
      </c>
      <c r="AN16" s="188" t="str">
        <f ca="1">IFERROR(VLOOKUP($X16&amp;AN$11,Calc1!$Z$64:$AC$207,Einstellungen!$G$29,0),"")</f>
        <v>39 : 50</v>
      </c>
      <c r="AO16" s="188" t="str">
        <f ca="1">IFERROR(VLOOKUP($X16&amp;AO$11,Calc1!$Z$64:$AC$207,Einstellungen!$G$29,0),"")</f>
        <v>42 : 46</v>
      </c>
      <c r="AP16" s="214"/>
      <c r="AQ16" s="215" t="str">
        <f ca="1">IFERROR(VLOOKUP($X16&amp;AQ$11,Calc1!$Z$64:$AC$207,Einstellungen!$G$29,0),"")</f>
        <v/>
      </c>
      <c r="AR16" s="216" t="str">
        <f t="shared" ca="1" si="0"/>
        <v>Maibach 1822 eV</v>
      </c>
      <c r="AU16" s="417" t="s">
        <v>192</v>
      </c>
      <c r="AV16" s="365" t="str">
        <f>IF(Planung!$C15="","",Planung!$C15)</f>
        <v>VFB Essenheim</v>
      </c>
      <c r="AW16" s="271"/>
      <c r="AX16" s="785"/>
      <c r="BA16" s="738" t="b">
        <f t="shared" ca="1" si="1"/>
        <v>0</v>
      </c>
      <c r="BB16" s="738" t="b">
        <f t="shared" si="7"/>
        <v>0</v>
      </c>
      <c r="BC16" s="738" t="b">
        <f t="shared" si="8"/>
        <v>0</v>
      </c>
      <c r="BD16" s="738" t="b">
        <f t="shared" si="9"/>
        <v>1</v>
      </c>
      <c r="BE16" s="738" t="b">
        <f t="shared" si="2"/>
        <v>0</v>
      </c>
      <c r="BF16" s="738" t="b">
        <f t="shared" si="3"/>
        <v>0</v>
      </c>
      <c r="BG16" s="738" t="b">
        <f t="shared" si="4"/>
        <v>0</v>
      </c>
    </row>
    <row r="17" spans="2:59" ht="24" customHeight="1" thickBot="1" x14ac:dyDescent="0.25">
      <c r="B17" s="326">
        <f ca="1">Planung!$E11</f>
        <v>6</v>
      </c>
      <c r="C17" s="226">
        <f ca="1">Planung!$F11</f>
        <v>0.39930555555555558</v>
      </c>
      <c r="D17" s="227">
        <f ca="1">Planung!$G11</f>
        <v>2</v>
      </c>
      <c r="E17" s="227" t="str">
        <f ca="1">Planung!$H11</f>
        <v>B</v>
      </c>
      <c r="F17" s="228" t="str">
        <f ca="1">Planung!$L11</f>
        <v>SSV Wildbach</v>
      </c>
      <c r="G17" s="229" t="s">
        <v>4</v>
      </c>
      <c r="H17" s="228" t="str">
        <f ca="1">Planung!$N11</f>
        <v>Manchester City</v>
      </c>
      <c r="I17" s="230">
        <v>18</v>
      </c>
      <c r="J17" s="829" t="str">
        <f>Sprache!$E$109</f>
        <v xml:space="preserve"> : </v>
      </c>
      <c r="K17" s="601">
        <v>25</v>
      </c>
      <c r="L17" s="230">
        <v>22</v>
      </c>
      <c r="M17" s="829" t="str">
        <f>Sprache!$E$109</f>
        <v xml:space="preserve"> : </v>
      </c>
      <c r="N17" s="601">
        <v>25</v>
      </c>
      <c r="O17" s="230"/>
      <c r="P17" s="736" t="str">
        <f>Sprache!$E$109</f>
        <v xml:space="preserve"> : </v>
      </c>
      <c r="Q17" s="601"/>
      <c r="R17" s="739">
        <f t="shared" ca="1" si="5"/>
        <v>0</v>
      </c>
      <c r="S17" s="732" t="str">
        <f>Sprache!$E$109</f>
        <v xml:space="preserve"> : </v>
      </c>
      <c r="T17" s="733">
        <f t="shared" ca="1" si="6"/>
        <v>2</v>
      </c>
      <c r="U17" s="690" t="str">
        <f>IF(Planung!$O11="","",Planung!$O11)</f>
        <v/>
      </c>
      <c r="W17" s="366">
        <f ca="1">IF(Calc1!$K$13=0,"",IF(VLOOKUP(Calc1!B9,Calc1!$C$4:$E$12,3,0)=MAX(W$12:W16),VLOOKUP(Calc1!B9,Calc1!$C$4:$E$12,3,0),Calc1!B9))</f>
        <v>6</v>
      </c>
      <c r="X17" s="367" t="str">
        <f ca="1">IF(Calc1!$F$14&lt;3,"",IF(Calc1!$K$13=0,Calc1!$Q69,VLOOKUP(Calc1!B9,Calc1!$C$4:$N$12,4,0)))</f>
        <v/>
      </c>
      <c r="Y17" s="217">
        <f ca="1">IF(Calc1!$K$13=0,"",VLOOKUP(Calc1!B9,Calc1!$C$4:$N$12,9,0))</f>
        <v>0</v>
      </c>
      <c r="Z17" s="218">
        <f ca="1">IF(Calc1!$K$13=0,"",VLOOKUP(Calc1!B9,Calc1!$C$4:$N$12,10,0))</f>
        <v>0</v>
      </c>
      <c r="AA17" s="218">
        <f ca="1">IF(Calc1!$K$13=0,"",VLOOKUP(Calc1!B9,Calc1!$C$4:$N$12,11,0))</f>
        <v>0</v>
      </c>
      <c r="AB17" s="219">
        <f ca="1">IF(Calc1!$K$13=0,"",VLOOKUP(Calc1!B9,Calc1!$C$4:$N$12,12,0))</f>
        <v>0</v>
      </c>
      <c r="AC17" s="220">
        <f ca="1">IF(Calc1!$K$13=0,"",VLOOKUP(Calc1!B9,Calc1!$C$4:$AT$12,44,0))</f>
        <v>0</v>
      </c>
      <c r="AD17" s="807" t="str">
        <f>Sprache!$E$109</f>
        <v xml:space="preserve"> : </v>
      </c>
      <c r="AE17" s="222">
        <f ca="1">IF(Calc1!$K$13=0,"",VLOOKUP(Calc1!B9,Calc1!$C$4:$AS$12,43,0))</f>
        <v>0</v>
      </c>
      <c r="AF17" s="221">
        <f ca="1">IF(Calc1!$K$13=0,"",AC17-AE17)</f>
        <v>0</v>
      </c>
      <c r="AG17" s="220">
        <f ca="1">IF(Calc1!$K$13=0,"",VLOOKUP(Calc1!B9,Calc1!$C$4:$N$12,5,0))</f>
        <v>0</v>
      </c>
      <c r="AH17" s="807" t="str">
        <f>Sprache!$E$109</f>
        <v xml:space="preserve"> : </v>
      </c>
      <c r="AI17" s="222">
        <f ca="1">IF(Calc1!$K$13=0,"",VLOOKUP(Calc1!B9,Calc1!$C$4:$N$12,6,0))</f>
        <v>0</v>
      </c>
      <c r="AJ17" s="217">
        <f ca="1">IF(Calc1!$K$13=0,"",IF(VLOOKUP(Calc1!B9,Calc1!$C$4:$AV$12,46,0)=Einstellungen!$F$24,"max",VLOOKUP(Calc1!B9,Calc1!$C$4:$AV$12,46,0)))</f>
        <v>0</v>
      </c>
      <c r="AK17" s="223">
        <f ca="1">IF(Calc1!$K$13=0,"",VLOOKUP(Calc1!B9,Calc1!$C$4:$AT$12,Einstellungen!$H$9,0))</f>
        <v>0</v>
      </c>
      <c r="AL17" s="224" t="str">
        <f ca="1">IFERROR(VLOOKUP($X17&amp;AL$11,Calc1!$Z$64:$AC$207,Einstellungen!$G$29,0),"")</f>
        <v/>
      </c>
      <c r="AM17" s="218" t="str">
        <f ca="1">IFERROR(VLOOKUP($X17&amp;AM$11,Calc1!$Z$64:$AC$207,Einstellungen!$G$29,0),"")</f>
        <v/>
      </c>
      <c r="AN17" s="218" t="str">
        <f ca="1">IFERROR(VLOOKUP($X17&amp;AN$11,Calc1!$Z$64:$AC$207,Einstellungen!$G$29,0),"")</f>
        <v/>
      </c>
      <c r="AO17" s="218" t="str">
        <f ca="1">IFERROR(VLOOKUP($X17&amp;AO$11,Calc1!$Z$64:$AC$207,Einstellungen!$G$29,0),"")</f>
        <v/>
      </c>
      <c r="AP17" s="218" t="str">
        <f ca="1">IFERROR(VLOOKUP($X17&amp;AP$11,Calc1!$Z$64:$AC$207,Einstellungen!$G$29,0),"")</f>
        <v/>
      </c>
      <c r="AQ17" s="225"/>
      <c r="AR17" s="295" t="str">
        <f t="shared" ca="1" si="0"/>
        <v/>
      </c>
      <c r="AU17" s="418" t="s">
        <v>194</v>
      </c>
      <c r="AV17" s="367" t="str">
        <f>IF(Planung!$C17="","",Planung!$C17)</f>
        <v/>
      </c>
      <c r="AW17" s="271"/>
      <c r="AX17" s="786"/>
      <c r="BA17" s="738" t="b">
        <f t="shared" ca="1" si="1"/>
        <v>0</v>
      </c>
      <c r="BB17" s="738" t="b">
        <f t="shared" si="7"/>
        <v>0</v>
      </c>
      <c r="BC17" s="738" t="b">
        <f t="shared" si="8"/>
        <v>0</v>
      </c>
      <c r="BD17" s="738" t="b">
        <f t="shared" si="9"/>
        <v>1</v>
      </c>
      <c r="BE17" s="738" t="b">
        <f t="shared" si="2"/>
        <v>0</v>
      </c>
      <c r="BF17" s="738" t="b">
        <f t="shared" si="3"/>
        <v>0</v>
      </c>
      <c r="BG17" s="738" t="b">
        <f t="shared" si="4"/>
        <v>0</v>
      </c>
    </row>
    <row r="18" spans="2:59" ht="24" customHeight="1" thickTop="1" x14ac:dyDescent="0.2">
      <c r="B18" s="326">
        <f ca="1">Planung!$E12</f>
        <v>7</v>
      </c>
      <c r="C18" s="226">
        <f ca="1">Planung!$F12</f>
        <v>0.39930555555555558</v>
      </c>
      <c r="D18" s="227">
        <f ca="1">Planung!$G12</f>
        <v>3</v>
      </c>
      <c r="E18" s="227" t="str">
        <f ca="1">Planung!$H12</f>
        <v>C</v>
      </c>
      <c r="F18" s="228" t="str">
        <f ca="1">Planung!$L12</f>
        <v>Borussia Dortmund</v>
      </c>
      <c r="G18" s="229" t="s">
        <v>4</v>
      </c>
      <c r="H18" s="228" t="str">
        <f ca="1">Planung!$N12</f>
        <v>FSV Rauen</v>
      </c>
      <c r="I18" s="230">
        <v>20</v>
      </c>
      <c r="J18" s="829" t="str">
        <f>Sprache!$E$109</f>
        <v xml:space="preserve"> : </v>
      </c>
      <c r="K18" s="601">
        <v>25</v>
      </c>
      <c r="L18" s="230">
        <v>25</v>
      </c>
      <c r="M18" s="829" t="str">
        <f>Sprache!$E$109</f>
        <v xml:space="preserve"> : </v>
      </c>
      <c r="N18" s="601">
        <v>23</v>
      </c>
      <c r="O18" s="230">
        <v>25</v>
      </c>
      <c r="P18" s="736" t="str">
        <f>Sprache!$E$109</f>
        <v xml:space="preserve"> : </v>
      </c>
      <c r="Q18" s="601">
        <v>13</v>
      </c>
      <c r="R18" s="739">
        <f t="shared" ca="1" si="5"/>
        <v>2</v>
      </c>
      <c r="S18" s="732" t="str">
        <f>Sprache!$E$109</f>
        <v xml:space="preserve"> : </v>
      </c>
      <c r="T18" s="733">
        <f t="shared" ca="1" si="6"/>
        <v>1</v>
      </c>
      <c r="U18" s="690" t="str">
        <f>IF(Planung!$O12="","",Planung!$O12)</f>
        <v/>
      </c>
      <c r="W18" s="294"/>
      <c r="X18" s="271"/>
      <c r="Y18" s="272"/>
      <c r="Z18" s="272"/>
      <c r="AA18" s="272"/>
      <c r="AB18" s="272"/>
      <c r="AC18" s="272"/>
      <c r="AD18" s="272"/>
      <c r="AE18" s="272"/>
      <c r="AF18" s="272"/>
      <c r="AG18" s="273"/>
      <c r="AH18" s="272"/>
      <c r="AI18" s="271"/>
      <c r="AJ18" s="272"/>
      <c r="AK18" s="274"/>
      <c r="AL18" s="272"/>
      <c r="AM18" s="272"/>
      <c r="AN18" s="272"/>
      <c r="AO18" s="272"/>
      <c r="AP18" s="272"/>
      <c r="AQ18" s="272"/>
      <c r="AR18" s="271"/>
      <c r="AU18" s="294"/>
      <c r="AV18" s="271"/>
      <c r="AW18" s="271"/>
      <c r="AX18" s="269"/>
      <c r="BA18" s="738" t="b">
        <f t="shared" ca="1" si="1"/>
        <v>0</v>
      </c>
      <c r="BB18" s="738" t="b">
        <f t="shared" si="7"/>
        <v>0</v>
      </c>
      <c r="BC18" s="738" t="b">
        <f t="shared" si="8"/>
        <v>0</v>
      </c>
      <c r="BD18" s="738" t="b">
        <f t="shared" si="9"/>
        <v>0</v>
      </c>
      <c r="BE18" s="738" t="b">
        <f t="shared" si="2"/>
        <v>0</v>
      </c>
      <c r="BF18" s="738" t="b">
        <f t="shared" si="3"/>
        <v>0</v>
      </c>
      <c r="BG18" s="738" t="b">
        <f t="shared" si="4"/>
        <v>0</v>
      </c>
    </row>
    <row r="19" spans="2:59" ht="24" customHeight="1" thickBot="1" x14ac:dyDescent="0.25">
      <c r="B19" s="326">
        <f ca="1">Planung!$E13</f>
        <v>8</v>
      </c>
      <c r="C19" s="226">
        <f ca="1">Planung!$F13</f>
        <v>0.39930555555555558</v>
      </c>
      <c r="D19" s="227">
        <f ca="1">Planung!$G13</f>
        <v>4</v>
      </c>
      <c r="E19" s="227" t="str">
        <f ca="1">Planung!$H13</f>
        <v>D</v>
      </c>
      <c r="F19" s="228" t="str">
        <f ca="1">Planung!$L13</f>
        <v>HSV</v>
      </c>
      <c r="G19" s="229" t="s">
        <v>4</v>
      </c>
      <c r="H19" s="228" t="str">
        <f ca="1">Planung!$N13</f>
        <v>RB Leipzig</v>
      </c>
      <c r="I19" s="230">
        <v>19</v>
      </c>
      <c r="J19" s="829" t="str">
        <f>Sprache!$E$109</f>
        <v xml:space="preserve"> : </v>
      </c>
      <c r="K19" s="601">
        <v>25</v>
      </c>
      <c r="L19" s="230">
        <v>25</v>
      </c>
      <c r="M19" s="829" t="str">
        <f>Sprache!$E$109</f>
        <v xml:space="preserve"> : </v>
      </c>
      <c r="N19" s="601">
        <v>17</v>
      </c>
      <c r="O19" s="230">
        <v>22</v>
      </c>
      <c r="P19" s="736" t="str">
        <f>Sprache!$E$109</f>
        <v xml:space="preserve"> : </v>
      </c>
      <c r="Q19" s="601">
        <v>25</v>
      </c>
      <c r="R19" s="739">
        <f t="shared" ca="1" si="5"/>
        <v>1</v>
      </c>
      <c r="S19" s="732" t="str">
        <f>Sprache!$E$109</f>
        <v xml:space="preserve"> : </v>
      </c>
      <c r="T19" s="733">
        <f t="shared" ca="1" si="6"/>
        <v>2</v>
      </c>
      <c r="U19" s="690" t="str">
        <f>IF(Planung!$O13="","",Planung!$O13)</f>
        <v/>
      </c>
      <c r="AL19" s="280"/>
      <c r="AM19" s="280"/>
      <c r="AN19" s="280"/>
      <c r="AO19" s="280"/>
      <c r="AP19" s="280"/>
      <c r="AQ19" s="280"/>
      <c r="AW19" s="269"/>
      <c r="AX19" s="269"/>
      <c r="BA19" s="738" t="b">
        <f t="shared" ca="1" si="1"/>
        <v>0</v>
      </c>
      <c r="BB19" s="738" t="b">
        <f t="shared" si="7"/>
        <v>0</v>
      </c>
      <c r="BC19" s="738" t="b">
        <f t="shared" si="8"/>
        <v>0</v>
      </c>
      <c r="BD19" s="738" t="b">
        <f t="shared" si="9"/>
        <v>0</v>
      </c>
      <c r="BE19" s="738" t="b">
        <f t="shared" si="2"/>
        <v>0</v>
      </c>
      <c r="BF19" s="738" t="b">
        <f t="shared" si="3"/>
        <v>0</v>
      </c>
      <c r="BG19" s="738" t="b">
        <f t="shared" si="4"/>
        <v>0</v>
      </c>
    </row>
    <row r="20" spans="2:59" ht="24" customHeight="1" thickBot="1" x14ac:dyDescent="0.45">
      <c r="B20" s="326">
        <f ca="1">Planung!$E14</f>
        <v>9</v>
      </c>
      <c r="C20" s="226">
        <f ca="1">Planung!$F14</f>
        <v>0.4236111111111111</v>
      </c>
      <c r="D20" s="227">
        <f ca="1">Planung!$G14</f>
        <v>1</v>
      </c>
      <c r="E20" s="227" t="str">
        <f ca="1">Planung!$H14</f>
        <v>A</v>
      </c>
      <c r="F20" s="228" t="str">
        <f ca="1">Planung!$L14</f>
        <v>VFB Essenheim</v>
      </c>
      <c r="G20" s="229" t="s">
        <v>4</v>
      </c>
      <c r="H20" s="228" t="str">
        <f ca="1">Planung!$N14</f>
        <v>1. FC Riedwald</v>
      </c>
      <c r="I20" s="230">
        <v>16</v>
      </c>
      <c r="J20" s="829" t="str">
        <f>Sprache!$E$109</f>
        <v xml:space="preserve"> : </v>
      </c>
      <c r="K20" s="601">
        <v>25</v>
      </c>
      <c r="L20" s="230">
        <v>25</v>
      </c>
      <c r="M20" s="829" t="str">
        <f>Sprache!$E$109</f>
        <v xml:space="preserve"> : </v>
      </c>
      <c r="N20" s="601">
        <v>18</v>
      </c>
      <c r="O20" s="230">
        <v>24</v>
      </c>
      <c r="P20" s="736" t="str">
        <f>Sprache!$E$109</f>
        <v xml:space="preserve"> : </v>
      </c>
      <c r="Q20" s="601">
        <v>26</v>
      </c>
      <c r="R20" s="739">
        <f t="shared" ca="1" si="5"/>
        <v>1</v>
      </c>
      <c r="S20" s="732" t="str">
        <f>Sprache!$E$109</f>
        <v xml:space="preserve"> : </v>
      </c>
      <c r="T20" s="733">
        <f t="shared" ca="1" si="6"/>
        <v>2</v>
      </c>
      <c r="U20" s="690" t="str">
        <f>IF(Planung!$O14="","",Planung!$O14)</f>
        <v/>
      </c>
      <c r="W20" s="878" t="str">
        <f>Sprache!$E$16&amp;" B"</f>
        <v>Gruppe B</v>
      </c>
      <c r="X20" s="878"/>
      <c r="Y20" s="189"/>
      <c r="Z20" s="189"/>
      <c r="AA20" s="189"/>
      <c r="AB20" s="189"/>
      <c r="AC20" s="189"/>
      <c r="AD20" s="189"/>
      <c r="AE20" s="189"/>
      <c r="AF20" s="189"/>
      <c r="AG20" s="189"/>
      <c r="AH20" s="189"/>
      <c r="AI20" s="189"/>
      <c r="AJ20" s="189"/>
      <c r="AK20" s="189"/>
      <c r="AL20" s="277" t="str">
        <f ca="1">IF(LEN(X22)&gt;Einstellungen!$C$33,LEFT(X22,Einstellungen!$C$33)&amp;".",X22)</f>
        <v>Inter M.</v>
      </c>
      <c r="AM20" s="278" t="str">
        <f ca="1">IF(LEN(X23)&gt;Einstellungen!$C$33,LEFT(X23,Einstellungen!$C$33)&amp;".",X23)</f>
        <v>Manches.</v>
      </c>
      <c r="AN20" s="278" t="str">
        <f ca="1">IF(LEN(X24)&gt;Einstellungen!$C$33,LEFT(X24,Einstellungen!$C$33)&amp;".",X24)</f>
        <v>Mainz 0.</v>
      </c>
      <c r="AO20" s="278" t="str">
        <f ca="1">IF(LEN(X25)&gt;Einstellungen!$C$33,LEFT(X25,Einstellungen!$C$33)&amp;".",X25)</f>
        <v>SSV Wil.</v>
      </c>
      <c r="AP20" s="278" t="str">
        <f ca="1">IF(LEN(X26)&gt;Einstellungen!$C$33,LEFT(X26,Einstellungen!$C$33)&amp;".",X26)</f>
        <v>FC Grön.</v>
      </c>
      <c r="AQ20" s="279" t="str">
        <f ca="1">IF(LEN(X27)&gt;Einstellungen!$C$33,LEFT(X27,Einstellungen!$C$33)&amp;".",X27)</f>
        <v/>
      </c>
      <c r="AR20" s="190"/>
      <c r="AU20" s="878" t="str">
        <f>Sprache!$E$16&amp;" B"</f>
        <v>Gruppe B</v>
      </c>
      <c r="AV20" s="878"/>
      <c r="AW20" s="640"/>
      <c r="AX20" s="269"/>
      <c r="BA20" s="738" t="b">
        <f t="shared" ca="1" si="1"/>
        <v>0</v>
      </c>
      <c r="BB20" s="738" t="b">
        <f t="shared" si="7"/>
        <v>0</v>
      </c>
      <c r="BC20" s="738" t="b">
        <f t="shared" si="8"/>
        <v>0</v>
      </c>
      <c r="BD20" s="738" t="b">
        <f t="shared" si="9"/>
        <v>0</v>
      </c>
      <c r="BE20" s="738" t="b">
        <f t="shared" si="2"/>
        <v>0</v>
      </c>
      <c r="BF20" s="738" t="b">
        <f t="shared" si="3"/>
        <v>0</v>
      </c>
      <c r="BG20" s="738" t="b">
        <f t="shared" si="4"/>
        <v>0</v>
      </c>
    </row>
    <row r="21" spans="2:59" ht="24" customHeight="1" thickTop="1" thickBot="1" x14ac:dyDescent="0.25">
      <c r="B21" s="326">
        <f ca="1">Planung!$E15</f>
        <v>10</v>
      </c>
      <c r="C21" s="226">
        <f ca="1">Planung!$F15</f>
        <v>0.4236111111111111</v>
      </c>
      <c r="D21" s="227">
        <f ca="1">Planung!$G15</f>
        <v>2</v>
      </c>
      <c r="E21" s="227" t="str">
        <f ca="1">Planung!$H15</f>
        <v>B</v>
      </c>
      <c r="F21" s="228" t="str">
        <f ca="1">Planung!$L15</f>
        <v>FC Grönlingen</v>
      </c>
      <c r="G21" s="229" t="s">
        <v>4</v>
      </c>
      <c r="H21" s="228" t="str">
        <f ca="1">Planung!$N15</f>
        <v>Mainz 05</v>
      </c>
      <c r="I21" s="230">
        <v>14</v>
      </c>
      <c r="J21" s="829" t="str">
        <f>Sprache!$E$109</f>
        <v xml:space="preserve"> : </v>
      </c>
      <c r="K21" s="601">
        <v>25</v>
      </c>
      <c r="L21" s="230">
        <v>19</v>
      </c>
      <c r="M21" s="829" t="str">
        <f>Sprache!$E$109</f>
        <v xml:space="preserve"> : </v>
      </c>
      <c r="N21" s="601">
        <v>25</v>
      </c>
      <c r="O21" s="230"/>
      <c r="P21" s="736" t="str">
        <f>Sprache!$E$109</f>
        <v xml:space="preserve"> : </v>
      </c>
      <c r="Q21" s="601"/>
      <c r="R21" s="739">
        <f t="shared" ca="1" si="5"/>
        <v>0</v>
      </c>
      <c r="S21" s="732" t="str">
        <f>Sprache!$E$109</f>
        <v xml:space="preserve"> : </v>
      </c>
      <c r="T21" s="733">
        <f t="shared" ca="1" si="6"/>
        <v>2</v>
      </c>
      <c r="U21" s="690" t="str">
        <f>IF(Planung!$O15="","",Planung!$O15)</f>
        <v/>
      </c>
      <c r="W21" s="879"/>
      <c r="X21" s="880"/>
      <c r="Y21" s="191" t="str">
        <f>Sprache!$E$21</f>
        <v>SP</v>
      </c>
      <c r="Z21" s="192" t="str">
        <f>Sprache!$E$22</f>
        <v>G</v>
      </c>
      <c r="AA21" s="192" t="str">
        <f>Sprache!$E$23</f>
        <v>U</v>
      </c>
      <c r="AB21" s="266" t="str">
        <f>Sprache!$E$24</f>
        <v>V</v>
      </c>
      <c r="AC21" s="884" t="str">
        <f>Sprache!$E$25</f>
        <v>Sätze</v>
      </c>
      <c r="AD21" s="885"/>
      <c r="AE21" s="886"/>
      <c r="AF21" s="731" t="str">
        <f>Sprache!$E$26</f>
        <v>Diff.</v>
      </c>
      <c r="AG21" s="881" t="str">
        <f>Sprache!$E$74</f>
        <v>Bälle</v>
      </c>
      <c r="AH21" s="882"/>
      <c r="AI21" s="883"/>
      <c r="AJ21" s="192" t="str">
        <f>IF(Einstellungen!$G$24,Sprache!$E$26,Sprache!$E$80)</f>
        <v>Diff.</v>
      </c>
      <c r="AK21" s="194" t="str">
        <f>IF(Einstellungen!$G$9,Sprache!$E$27,Sprache!$E$91)</f>
        <v>Pkt</v>
      </c>
      <c r="AL21" s="195" t="str">
        <f ca="1">X22</f>
        <v>Inter Mailand</v>
      </c>
      <c r="AM21" s="196" t="str">
        <f ca="1">X23</f>
        <v>Manchester City</v>
      </c>
      <c r="AN21" s="196" t="str">
        <f ca="1">X24</f>
        <v>Mainz 05</v>
      </c>
      <c r="AO21" s="196" t="str">
        <f ca="1">X25</f>
        <v>SSV Wildbach</v>
      </c>
      <c r="AP21" s="196" t="str">
        <f ca="1">X26</f>
        <v>FC Grönlingen</v>
      </c>
      <c r="AQ21" s="585" t="str">
        <f ca="1">X27</f>
        <v/>
      </c>
      <c r="AR21" s="190"/>
      <c r="AU21" s="415" t="str">
        <f>Sprache!$E$9</f>
        <v>Nr.</v>
      </c>
      <c r="AV21" s="638" t="str">
        <f>Sprache!$E$10</f>
        <v>Teilnehmer bzw. Mannschaft</v>
      </c>
      <c r="AW21" s="641"/>
      <c r="AX21" s="446"/>
      <c r="BA21" s="738" t="b">
        <f t="shared" ca="1" si="1"/>
        <v>0</v>
      </c>
      <c r="BB21" s="738" t="b">
        <f t="shared" si="7"/>
        <v>0</v>
      </c>
      <c r="BC21" s="738" t="b">
        <f t="shared" si="8"/>
        <v>0</v>
      </c>
      <c r="BD21" s="738" t="b">
        <f t="shared" si="9"/>
        <v>1</v>
      </c>
      <c r="BE21" s="738" t="b">
        <f t="shared" si="2"/>
        <v>0</v>
      </c>
      <c r="BF21" s="738" t="b">
        <f t="shared" si="3"/>
        <v>0</v>
      </c>
      <c r="BG21" s="738" t="b">
        <f t="shared" si="4"/>
        <v>0</v>
      </c>
    </row>
    <row r="22" spans="2:59" ht="24" customHeight="1" x14ac:dyDescent="0.2">
      <c r="B22" s="326">
        <f ca="1">Planung!$E16</f>
        <v>11</v>
      </c>
      <c r="C22" s="226">
        <f ca="1">Planung!$F16</f>
        <v>0.4236111111111111</v>
      </c>
      <c r="D22" s="227">
        <f ca="1">Planung!$G16</f>
        <v>3</v>
      </c>
      <c r="E22" s="227" t="str">
        <f ca="1">Planung!$H16</f>
        <v>C</v>
      </c>
      <c r="F22" s="228" t="str">
        <f ca="1">Planung!$L16</f>
        <v>1. FC Nürnberg</v>
      </c>
      <c r="G22" s="229" t="s">
        <v>4</v>
      </c>
      <c r="H22" s="228" t="str">
        <f ca="1">Planung!$N16</f>
        <v>Kickers Rodendorf</v>
      </c>
      <c r="I22" s="230">
        <v>25</v>
      </c>
      <c r="J22" s="829" t="str">
        <f>Sprache!$E$109</f>
        <v xml:space="preserve"> : </v>
      </c>
      <c r="K22" s="601">
        <v>22</v>
      </c>
      <c r="L22" s="230">
        <v>25</v>
      </c>
      <c r="M22" s="829" t="str">
        <f>Sprache!$E$109</f>
        <v xml:space="preserve"> : </v>
      </c>
      <c r="N22" s="601">
        <v>20</v>
      </c>
      <c r="O22" s="230"/>
      <c r="P22" s="736" t="str">
        <f>Sprache!$E$109</f>
        <v xml:space="preserve"> : </v>
      </c>
      <c r="Q22" s="601"/>
      <c r="R22" s="739">
        <f t="shared" ca="1" si="5"/>
        <v>2</v>
      </c>
      <c r="S22" s="732" t="str">
        <f>Sprache!$E$109</f>
        <v xml:space="preserve"> : </v>
      </c>
      <c r="T22" s="733">
        <f t="shared" ca="1" si="6"/>
        <v>0</v>
      </c>
      <c r="U22" s="690" t="str">
        <f>IF(Planung!$O16="","",Planung!$O16)</f>
        <v/>
      </c>
      <c r="W22" s="362">
        <f ca="1">IF(Calc2!$K$13=0,"",1)</f>
        <v>1</v>
      </c>
      <c r="X22" s="363" t="str">
        <f ca="1">IF(Calc1!$F$14&lt;3,"",IF(Calc2!$K$13=0,Calc2!$Q64,VLOOKUP(Calc2!B4,Calc2!$C$4:$N$12,4,0)))</f>
        <v>Inter Mailand</v>
      </c>
      <c r="Y22" s="197">
        <f ca="1">IF(Calc2!$K$13=0,"",VLOOKUP(Calc2!B4,Calc2!$C$4:$N$12,9,0))</f>
        <v>4</v>
      </c>
      <c r="Z22" s="198">
        <f ca="1">IF(Calc2!$K$13=0,"",VLOOKUP(Calc2!B4,Calc2!$C$4:$N$12,10,0))</f>
        <v>3</v>
      </c>
      <c r="AA22" s="198">
        <f ca="1">IF(Calc2!$K$13=0,"",VLOOKUP(Calc2!B4,Calc2!$C$4:$N$12,11,0))</f>
        <v>1</v>
      </c>
      <c r="AB22" s="199">
        <f ca="1">IF(Calc2!$K$13=0,"",VLOOKUP(Calc2!B4,Calc2!$C$4:$N$12,12,0))</f>
        <v>0</v>
      </c>
      <c r="AC22" s="200">
        <f ca="1">IF(Calc2!$K$13=0,"",VLOOKUP(Calc2!B4,Calc2!$C$4:$AT$12,44,0))</f>
        <v>7</v>
      </c>
      <c r="AD22" s="805" t="str">
        <f>Sprache!$E$109</f>
        <v xml:space="preserve"> : </v>
      </c>
      <c r="AE22" s="202">
        <f ca="1">IF(Calc2!$K$13=0,"",VLOOKUP(Calc2!B4,Calc2!$C$4:$AS$12,43,0))</f>
        <v>1</v>
      </c>
      <c r="AF22" s="201">
        <f ca="1">IF(Calc2!$K$13=0,"",AC22-AE22)</f>
        <v>6</v>
      </c>
      <c r="AG22" s="200">
        <f ca="1">IF(Calc2!$K$13=0,"",VLOOKUP(Calc2!B4,Calc2!$C$4:$N$12,5,0))</f>
        <v>194</v>
      </c>
      <c r="AH22" s="805" t="str">
        <f>Sprache!$E$109</f>
        <v xml:space="preserve"> : </v>
      </c>
      <c r="AI22" s="202">
        <f ca="1">IF(Calc2!$K$13=0,"",VLOOKUP(Calc2!B4,Calc2!$C$4:$N$12,6,0))</f>
        <v>152</v>
      </c>
      <c r="AJ22" s="197">
        <f ca="1">IF(Calc2!$K$13=0,"",IF(VLOOKUP(Calc2!B4,Calc2!$C$4:$AV$12,46,0)=Einstellungen!$F$24,"max",VLOOKUP(Calc2!B4,Calc2!$C$4:$AV$12,46,0)))</f>
        <v>42</v>
      </c>
      <c r="AK22" s="203">
        <f ca="1">IF(Calc2!$K$13=0,"",VLOOKUP(Calc2!B4,Calc2!$C$4:$AT$12,Einstellungen!$H$9,0))</f>
        <v>7</v>
      </c>
      <c r="AL22" s="204"/>
      <c r="AM22" s="198" t="str">
        <f ca="1">IFERROR(VLOOKUP($X22&amp;AM$21,Calc2!$Z$64:$AC$207,Einstellungen!$G$29,0),"")</f>
        <v>44 : 46</v>
      </c>
      <c r="AN22" s="198" t="str">
        <f ca="1">IFERROR(VLOOKUP($X22&amp;AN$21,Calc2!$Z$64:$AC$207,Einstellungen!$G$29,0),"")</f>
        <v>50 : 33</v>
      </c>
      <c r="AO22" s="198" t="str">
        <f ca="1">IFERROR(VLOOKUP($X22&amp;AO$21,Calc2!$Z$64:$AC$207,Einstellungen!$G$29,0),"")</f>
        <v>50 : 37</v>
      </c>
      <c r="AP22" s="198" t="str">
        <f ca="1">IFERROR(VLOOKUP($X22&amp;AP$21,Calc2!$Z$64:$AC$207,Einstellungen!$G$29,0),"")</f>
        <v>50 : 36</v>
      </c>
      <c r="AQ22" s="205" t="str">
        <f ca="1">IFERROR(VLOOKUP($X22&amp;AQ$21,Calc2!$Z$64:$AC$207,Einstellungen!$G$29,0),"")</f>
        <v/>
      </c>
      <c r="AR22" s="206" t="str">
        <f t="shared" ref="AR22:AR27" ca="1" si="10">X22</f>
        <v>Inter Mailand</v>
      </c>
      <c r="AU22" s="416" t="s">
        <v>187</v>
      </c>
      <c r="AV22" s="639" t="str">
        <f>IF(Planung!$C24="","",Planung!$C24)</f>
        <v>Mainz 05</v>
      </c>
      <c r="AW22" s="271"/>
      <c r="AX22" s="784"/>
      <c r="BA22" s="738" t="b">
        <f t="shared" ca="1" si="1"/>
        <v>0</v>
      </c>
      <c r="BB22" s="738" t="b">
        <f t="shared" si="7"/>
        <v>0</v>
      </c>
      <c r="BC22" s="738" t="b">
        <f t="shared" si="8"/>
        <v>0</v>
      </c>
      <c r="BD22" s="738" t="b">
        <f t="shared" si="9"/>
        <v>1</v>
      </c>
      <c r="BE22" s="738" t="b">
        <f t="shared" si="2"/>
        <v>0</v>
      </c>
      <c r="BF22" s="738" t="b">
        <f t="shared" si="3"/>
        <v>0</v>
      </c>
      <c r="BG22" s="738" t="b">
        <f t="shared" si="4"/>
        <v>0</v>
      </c>
    </row>
    <row r="23" spans="2:59" ht="24" customHeight="1" x14ac:dyDescent="0.2">
      <c r="B23" s="326">
        <f ca="1">Planung!$E17</f>
        <v>12</v>
      </c>
      <c r="C23" s="226">
        <f ca="1">Planung!$F17</f>
        <v>0.4236111111111111</v>
      </c>
      <c r="D23" s="227">
        <f ca="1">Planung!$G17</f>
        <v>4</v>
      </c>
      <c r="E23" s="227" t="str">
        <f ca="1">Planung!$H17</f>
        <v>D</v>
      </c>
      <c r="F23" s="228" t="str">
        <f ca="1">Planung!$L17</f>
        <v>SV Oberredenburg</v>
      </c>
      <c r="G23" s="229" t="s">
        <v>4</v>
      </c>
      <c r="H23" s="228" t="str">
        <f ca="1">Planung!$N17</f>
        <v>TSG Saalberg eV</v>
      </c>
      <c r="I23" s="230">
        <v>19</v>
      </c>
      <c r="J23" s="829" t="str">
        <f>Sprache!$E$109</f>
        <v xml:space="preserve"> : </v>
      </c>
      <c r="K23" s="601">
        <v>25</v>
      </c>
      <c r="L23" s="230">
        <v>23</v>
      </c>
      <c r="M23" s="829" t="str">
        <f>Sprache!$E$109</f>
        <v xml:space="preserve"> : </v>
      </c>
      <c r="N23" s="601">
        <v>25</v>
      </c>
      <c r="O23" s="230"/>
      <c r="P23" s="736" t="str">
        <f>Sprache!$E$109</f>
        <v xml:space="preserve"> : </v>
      </c>
      <c r="Q23" s="601"/>
      <c r="R23" s="739">
        <f t="shared" ca="1" si="5"/>
        <v>0</v>
      </c>
      <c r="S23" s="732" t="str">
        <f>Sprache!$E$109</f>
        <v xml:space="preserve"> : </v>
      </c>
      <c r="T23" s="733">
        <f t="shared" ca="1" si="6"/>
        <v>2</v>
      </c>
      <c r="U23" s="690" t="str">
        <f>IF(Planung!$O17="","",Planung!$O17)</f>
        <v/>
      </c>
      <c r="W23" s="364">
        <f ca="1">IF(Calc2!$K$13=0,"",IF(VLOOKUP(Calc2!B5,Calc2!$C$4:$E$12,3,0)=MAX(W$22:W22),VLOOKUP(Calc2!B5,Calc2!$C$4:$E$12,3,0),Calc2!B5))</f>
        <v>2</v>
      </c>
      <c r="X23" s="365" t="str">
        <f ca="1">IF(Calc1!$F$14&lt;3,"",IF(Calc2!$K$13=0,Calc2!$Q65,VLOOKUP(Calc2!B5,Calc2!$C$4:$N$12,4,0)))</f>
        <v>Manchester City</v>
      </c>
      <c r="Y23" s="207">
        <f ca="1">IF(Calc2!$K$13=0,"",VLOOKUP(Calc2!B5,Calc2!$C$4:$N$12,9,0))</f>
        <v>4</v>
      </c>
      <c r="Z23" s="188">
        <f ca="1">IF(Calc2!$K$13=0,"",VLOOKUP(Calc2!B5,Calc2!$C$4:$N$12,10,0))</f>
        <v>2</v>
      </c>
      <c r="AA23" s="188">
        <f ca="1">IF(Calc2!$K$13=0,"",VLOOKUP(Calc2!B5,Calc2!$C$4:$N$12,11,0))</f>
        <v>2</v>
      </c>
      <c r="AB23" s="208">
        <f ca="1">IF(Calc2!$K$13=0,"",VLOOKUP(Calc2!B5,Calc2!$C$4:$N$12,12,0))</f>
        <v>0</v>
      </c>
      <c r="AC23" s="209">
        <f ca="1">IF(Calc2!$K$13=0,"",VLOOKUP(Calc2!B5,Calc2!$C$4:$AT$12,44,0))</f>
        <v>6</v>
      </c>
      <c r="AD23" s="806" t="str">
        <f>Sprache!$E$109</f>
        <v xml:space="preserve"> : </v>
      </c>
      <c r="AE23" s="211">
        <f ca="1">IF(Calc2!$K$13=0,"",VLOOKUP(Calc2!B5,Calc2!$C$4:$AS$12,43,0))</f>
        <v>2</v>
      </c>
      <c r="AF23" s="210">
        <f ca="1">IF(Calc2!$K$13=0,"",AC23-AE23)</f>
        <v>4</v>
      </c>
      <c r="AG23" s="209">
        <f ca="1">IF(Calc2!$K$13=0,"",VLOOKUP(Calc2!B5,Calc2!$C$4:$N$12,5,0))</f>
        <v>185</v>
      </c>
      <c r="AH23" s="806" t="str">
        <f>Sprache!$E$109</f>
        <v xml:space="preserve"> : </v>
      </c>
      <c r="AI23" s="211">
        <f ca="1">IF(Calc2!$K$13=0,"",VLOOKUP(Calc2!B5,Calc2!$C$4:$N$12,6,0))</f>
        <v>154</v>
      </c>
      <c r="AJ23" s="207">
        <f ca="1">IF(Calc2!$K$13=0,"",IF(VLOOKUP(Calc2!B5,Calc2!$C$4:$AV$12,46,0)=Einstellungen!$F$24,"max",VLOOKUP(Calc2!B5,Calc2!$C$4:$AV$12,46,0)))</f>
        <v>31</v>
      </c>
      <c r="AK23" s="212">
        <f ca="1">IF(Calc2!$K$13=0,"",VLOOKUP(Calc2!B5,Calc2!$C$4:$AT$12,Einstellungen!$H$9,0))</f>
        <v>6</v>
      </c>
      <c r="AL23" s="213" t="str">
        <f ca="1">IFERROR(VLOOKUP($X23&amp;AL$21,Calc2!$Z$64:$AC$207,Einstellungen!$G$29,0),"")</f>
        <v>46 : 44</v>
      </c>
      <c r="AM23" s="214"/>
      <c r="AN23" s="188" t="str">
        <f ca="1">IFERROR(VLOOKUP($X23&amp;AN$21,Calc2!$Z$64:$AC$207,Einstellungen!$G$29,0),"")</f>
        <v>50 : 23</v>
      </c>
      <c r="AO23" s="188" t="str">
        <f ca="1">IFERROR(VLOOKUP($X23&amp;AO$21,Calc2!$Z$64:$AC$207,Einstellungen!$G$29,0),"")</f>
        <v>50 : 40</v>
      </c>
      <c r="AP23" s="188" t="str">
        <f ca="1">IFERROR(VLOOKUP($X23&amp;AP$21,Calc2!$Z$64:$AC$207,Einstellungen!$G$29,0),"")</f>
        <v>39 : 47</v>
      </c>
      <c r="AQ23" s="215" t="str">
        <f ca="1">IFERROR(VLOOKUP($X23&amp;AQ$21,Calc2!$Z$64:$AC$207,Einstellungen!$G$29,0),"")</f>
        <v/>
      </c>
      <c r="AR23" s="216" t="str">
        <f t="shared" ca="1" si="10"/>
        <v>Manchester City</v>
      </c>
      <c r="AU23" s="417" t="s">
        <v>189</v>
      </c>
      <c r="AV23" s="365" t="str">
        <f>IF(Planung!$C26="","",Planung!$C26)</f>
        <v>Inter Mailand</v>
      </c>
      <c r="AW23" s="271"/>
      <c r="AX23" s="785"/>
      <c r="BA23" s="738" t="b">
        <f t="shared" ca="1" si="1"/>
        <v>0</v>
      </c>
      <c r="BB23" s="738" t="b">
        <f t="shared" si="7"/>
        <v>0</v>
      </c>
      <c r="BC23" s="738" t="b">
        <f t="shared" si="8"/>
        <v>0</v>
      </c>
      <c r="BD23" s="738" t="b">
        <f t="shared" si="9"/>
        <v>1</v>
      </c>
      <c r="BE23" s="738" t="b">
        <f t="shared" si="2"/>
        <v>0</v>
      </c>
      <c r="BF23" s="738" t="b">
        <f t="shared" si="3"/>
        <v>0</v>
      </c>
      <c r="BG23" s="738" t="b">
        <f t="shared" si="4"/>
        <v>0</v>
      </c>
    </row>
    <row r="24" spans="2:59" ht="24" customHeight="1" x14ac:dyDescent="0.2">
      <c r="B24" s="326">
        <f ca="1">Planung!$E18</f>
        <v>13</v>
      </c>
      <c r="C24" s="226">
        <f ca="1">Planung!$F18</f>
        <v>0.44791666666666669</v>
      </c>
      <c r="D24" s="227">
        <f ca="1">Planung!$G18</f>
        <v>1</v>
      </c>
      <c r="E24" s="227" t="str">
        <f ca="1">Planung!$H18</f>
        <v>A</v>
      </c>
      <c r="F24" s="228" t="str">
        <f ca="1">Planung!$L18</f>
        <v>FC Barcelona</v>
      </c>
      <c r="G24" s="229" t="s">
        <v>4</v>
      </c>
      <c r="H24" s="228" t="str">
        <f ca="1">Planung!$N18</f>
        <v>Eintracht Frankfurt</v>
      </c>
      <c r="I24" s="230">
        <v>23</v>
      </c>
      <c r="J24" s="829" t="str">
        <f>Sprache!$E$109</f>
        <v xml:space="preserve"> : </v>
      </c>
      <c r="K24" s="601">
        <v>25</v>
      </c>
      <c r="L24" s="230">
        <v>25</v>
      </c>
      <c r="M24" s="829" t="str">
        <f>Sprache!$E$109</f>
        <v xml:space="preserve"> : </v>
      </c>
      <c r="N24" s="601">
        <v>22</v>
      </c>
      <c r="O24" s="230">
        <v>21</v>
      </c>
      <c r="P24" s="736" t="str">
        <f>Sprache!$E$109</f>
        <v xml:space="preserve"> : </v>
      </c>
      <c r="Q24" s="601">
        <v>25</v>
      </c>
      <c r="R24" s="739">
        <f t="shared" ca="1" si="5"/>
        <v>1</v>
      </c>
      <c r="S24" s="732" t="str">
        <f>Sprache!$E$109</f>
        <v xml:space="preserve"> : </v>
      </c>
      <c r="T24" s="733">
        <f t="shared" ca="1" si="6"/>
        <v>2</v>
      </c>
      <c r="U24" s="690" t="str">
        <f>IF(Planung!$O18="","",Planung!$O18)</f>
        <v/>
      </c>
      <c r="W24" s="364">
        <f ca="1">IF(Calc2!$K$13=0,"",IF(VLOOKUP(Calc2!B6,Calc2!$C$4:$E$12,3,0)=MAX(W$22:W23),VLOOKUP(Calc2!B6,Calc2!$C$4:$E$12,3,0),Calc2!B6))</f>
        <v>3</v>
      </c>
      <c r="X24" s="365" t="str">
        <f ca="1">IF(Calc1!$F$14&lt;3,"",IF(Calc2!$K$13=0,Calc2!$Q66,VLOOKUP(Calc2!B6,Calc2!$C$4:$N$12,4,0)))</f>
        <v>Mainz 05</v>
      </c>
      <c r="Y24" s="207">
        <f ca="1">IF(Calc2!$K$13=0,"",VLOOKUP(Calc2!B6,Calc2!$C$4:$N$12,9,0))</f>
        <v>4</v>
      </c>
      <c r="Z24" s="188">
        <f ca="1">IF(Calc2!$K$13=0,"",VLOOKUP(Calc2!B6,Calc2!$C$4:$N$12,10,0))</f>
        <v>1</v>
      </c>
      <c r="AA24" s="188">
        <f ca="1">IF(Calc2!$K$13=0,"",VLOOKUP(Calc2!B6,Calc2!$C$4:$N$12,11,0))</f>
        <v>1</v>
      </c>
      <c r="AB24" s="208">
        <f ca="1">IF(Calc2!$K$13=0,"",VLOOKUP(Calc2!B6,Calc2!$C$4:$N$12,12,0))</f>
        <v>2</v>
      </c>
      <c r="AC24" s="209">
        <f ca="1">IF(Calc2!$K$13=0,"",VLOOKUP(Calc2!B6,Calc2!$C$4:$AT$12,44,0))</f>
        <v>3</v>
      </c>
      <c r="AD24" s="806" t="str">
        <f>Sprache!$E$109</f>
        <v xml:space="preserve"> : </v>
      </c>
      <c r="AE24" s="211">
        <f ca="1">IF(Calc2!$K$13=0,"",VLOOKUP(Calc2!B6,Calc2!$C$4:$AS$12,43,0))</f>
        <v>5</v>
      </c>
      <c r="AF24" s="210">
        <f ca="1">IF(Calc2!$K$13=0,"",AC24-AE24)</f>
        <v>-2</v>
      </c>
      <c r="AG24" s="209">
        <f ca="1">IF(Calc2!$K$13=0,"",VLOOKUP(Calc2!B6,Calc2!$C$4:$N$12,5,0))</f>
        <v>149</v>
      </c>
      <c r="AH24" s="806" t="str">
        <f>Sprache!$E$109</f>
        <v xml:space="preserve"> : </v>
      </c>
      <c r="AI24" s="211">
        <f ca="1">IF(Calc2!$K$13=0,"",VLOOKUP(Calc2!B6,Calc2!$C$4:$N$12,6,0))</f>
        <v>172</v>
      </c>
      <c r="AJ24" s="207">
        <f ca="1">IF(Calc2!$K$13=0,"",IF(VLOOKUP(Calc2!B6,Calc2!$C$4:$AV$12,46,0)=Einstellungen!$F$24,"max",VLOOKUP(Calc2!B6,Calc2!$C$4:$AV$12,46,0)))</f>
        <v>-23</v>
      </c>
      <c r="AK24" s="212">
        <f ca="1">IF(Calc2!$K$13=0,"",VLOOKUP(Calc2!B6,Calc2!$C$4:$AT$12,Einstellungen!$H$9,0))</f>
        <v>3</v>
      </c>
      <c r="AL24" s="213" t="str">
        <f ca="1">IFERROR(VLOOKUP($X24&amp;AL$21,Calc2!$Z$64:$AC$207,Einstellungen!$G$29,0),"")</f>
        <v>33 : 50</v>
      </c>
      <c r="AM24" s="391" t="str">
        <f ca="1">IFERROR(VLOOKUP($X24&amp;AM$21,Calc2!$Z$64:$AC$207,Einstellungen!$G$29,0),"")</f>
        <v>23 : 50</v>
      </c>
      <c r="AN24" s="214"/>
      <c r="AO24" s="188" t="str">
        <f ca="1">IFERROR(VLOOKUP($X24&amp;AO$21,Calc2!$Z$64:$AC$207,Einstellungen!$G$29,0),"")</f>
        <v>43 : 39</v>
      </c>
      <c r="AP24" s="188" t="str">
        <f ca="1">IFERROR(VLOOKUP($X24&amp;AP$21,Calc2!$Z$64:$AC$207,Einstellungen!$G$29,0),"")</f>
        <v>50 : 33</v>
      </c>
      <c r="AQ24" s="215" t="str">
        <f ca="1">IFERROR(VLOOKUP($X24&amp;AQ$21,Calc2!$Z$64:$AC$207,Einstellungen!$G$29,0),"")</f>
        <v/>
      </c>
      <c r="AR24" s="216" t="str">
        <f t="shared" ca="1" si="10"/>
        <v>Mainz 05</v>
      </c>
      <c r="AU24" s="417" t="s">
        <v>185</v>
      </c>
      <c r="AV24" s="365" t="str">
        <f>IF(Planung!$C28="","",Planung!$C28)</f>
        <v>SSV Wildbach</v>
      </c>
      <c r="AW24" s="271"/>
      <c r="AX24" s="785"/>
      <c r="BA24" s="738" t="b">
        <f t="shared" ca="1" si="1"/>
        <v>0</v>
      </c>
      <c r="BB24" s="738" t="b">
        <f t="shared" si="7"/>
        <v>0</v>
      </c>
      <c r="BC24" s="738" t="b">
        <f t="shared" si="8"/>
        <v>0</v>
      </c>
      <c r="BD24" s="738" t="b">
        <f t="shared" si="9"/>
        <v>0</v>
      </c>
      <c r="BE24" s="738" t="b">
        <f t="shared" si="2"/>
        <v>0</v>
      </c>
      <c r="BF24" s="738" t="b">
        <f t="shared" si="3"/>
        <v>0</v>
      </c>
      <c r="BG24" s="738" t="b">
        <f t="shared" si="4"/>
        <v>0</v>
      </c>
    </row>
    <row r="25" spans="2:59" ht="24" customHeight="1" x14ac:dyDescent="0.2">
      <c r="B25" s="326">
        <f ca="1">Planung!$E19</f>
        <v>14</v>
      </c>
      <c r="C25" s="226">
        <f ca="1">Planung!$F19</f>
        <v>0.44791666666666669</v>
      </c>
      <c r="D25" s="227">
        <f ca="1">Planung!$G19</f>
        <v>2</v>
      </c>
      <c r="E25" s="227" t="str">
        <f ca="1">Planung!$H19</f>
        <v>B</v>
      </c>
      <c r="F25" s="228" t="str">
        <f ca="1">Planung!$L19</f>
        <v>Inter Mailand</v>
      </c>
      <c r="G25" s="229" t="s">
        <v>4</v>
      </c>
      <c r="H25" s="228" t="str">
        <f ca="1">Planung!$N19</f>
        <v>SSV Wildbach</v>
      </c>
      <c r="I25" s="230">
        <v>25</v>
      </c>
      <c r="J25" s="829" t="str">
        <f>Sprache!$E$109</f>
        <v xml:space="preserve"> : </v>
      </c>
      <c r="K25" s="601">
        <v>14</v>
      </c>
      <c r="L25" s="230">
        <v>25</v>
      </c>
      <c r="M25" s="829" t="str">
        <f>Sprache!$E$109</f>
        <v xml:space="preserve"> : </v>
      </c>
      <c r="N25" s="601">
        <v>23</v>
      </c>
      <c r="O25" s="230"/>
      <c r="P25" s="736" t="str">
        <f>Sprache!$E$109</f>
        <v xml:space="preserve"> : </v>
      </c>
      <c r="Q25" s="601"/>
      <c r="R25" s="739">
        <f t="shared" ca="1" si="5"/>
        <v>2</v>
      </c>
      <c r="S25" s="732" t="str">
        <f>Sprache!$E$109</f>
        <v xml:space="preserve"> : </v>
      </c>
      <c r="T25" s="733">
        <f t="shared" ca="1" si="6"/>
        <v>0</v>
      </c>
      <c r="U25" s="690" t="str">
        <f>IF(Planung!$O19="","",Planung!$O19)</f>
        <v/>
      </c>
      <c r="W25" s="364">
        <f ca="1">IF(Calc2!$K$13=0,"",IF(VLOOKUP(Calc2!B7,Calc2!$C$4:$E$12,3,0)=MAX(W$22:W24),VLOOKUP(Calc2!B7,Calc2!$C$4:$E$12,3,0),Calc2!B7))</f>
        <v>4</v>
      </c>
      <c r="X25" s="365" t="str">
        <f ca="1">IF(Calc1!$F$14&lt;3,"",IF(Calc2!$K$13=0,Calc2!$Q67,VLOOKUP(Calc2!B7,Calc2!$C$4:$N$12,4,0)))</f>
        <v>SSV Wildbach</v>
      </c>
      <c r="Y25" s="207">
        <f ca="1">IF(Calc2!$K$13=0,"",VLOOKUP(Calc2!B7,Calc2!$C$4:$N$12,9,0))</f>
        <v>4</v>
      </c>
      <c r="Z25" s="188">
        <f ca="1">IF(Calc2!$K$13=0,"",VLOOKUP(Calc2!B7,Calc2!$C$4:$N$12,10,0))</f>
        <v>0</v>
      </c>
      <c r="AA25" s="188">
        <f ca="1">IF(Calc2!$K$13=0,"",VLOOKUP(Calc2!B7,Calc2!$C$4:$N$12,11,0))</f>
        <v>2</v>
      </c>
      <c r="AB25" s="208">
        <f ca="1">IF(Calc2!$K$13=0,"",VLOOKUP(Calc2!B7,Calc2!$C$4:$N$12,12,0))</f>
        <v>2</v>
      </c>
      <c r="AC25" s="209">
        <f ca="1">IF(Calc2!$K$13=0,"",VLOOKUP(Calc2!B7,Calc2!$C$4:$AT$12,44,0))</f>
        <v>2</v>
      </c>
      <c r="AD25" s="806" t="str">
        <f>Sprache!$E$109</f>
        <v xml:space="preserve"> : </v>
      </c>
      <c r="AE25" s="211">
        <f ca="1">IF(Calc2!$K$13=0,"",VLOOKUP(Calc2!B7,Calc2!$C$4:$AS$12,43,0))</f>
        <v>6</v>
      </c>
      <c r="AF25" s="210">
        <f ca="1">IF(Calc2!$K$13=0,"",AC25-AE25)</f>
        <v>-4</v>
      </c>
      <c r="AG25" s="209">
        <f ca="1">IF(Calc2!$K$13=0,"",VLOOKUP(Calc2!B7,Calc2!$C$4:$N$12,5,0))</f>
        <v>160</v>
      </c>
      <c r="AH25" s="806" t="str">
        <f>Sprache!$E$109</f>
        <v xml:space="preserve"> : </v>
      </c>
      <c r="AI25" s="211">
        <f ca="1">IF(Calc2!$K$13=0,"",VLOOKUP(Calc2!B7,Calc2!$C$4:$N$12,6,0))</f>
        <v>185</v>
      </c>
      <c r="AJ25" s="207">
        <f ca="1">IF(Calc2!$K$13=0,"",IF(VLOOKUP(Calc2!B7,Calc2!$C$4:$AV$12,46,0)=Einstellungen!$F$24,"max",VLOOKUP(Calc2!B7,Calc2!$C$4:$AV$12,46,0)))</f>
        <v>-25</v>
      </c>
      <c r="AK25" s="212">
        <f ca="1">IF(Calc2!$K$13=0,"",VLOOKUP(Calc2!B7,Calc2!$C$4:$AT$12,Einstellungen!$H$9,0))</f>
        <v>2</v>
      </c>
      <c r="AL25" s="213" t="str">
        <f ca="1">IFERROR(VLOOKUP($X25&amp;AL$21,Calc2!$Z$64:$AC$207,Einstellungen!$G$29,0),"")</f>
        <v>37 : 50</v>
      </c>
      <c r="AM25" s="391" t="str">
        <f ca="1">IFERROR(VLOOKUP($X25&amp;AM$21,Calc2!$Z$64:$AC$207,Einstellungen!$G$29,0),"")</f>
        <v>40 : 50</v>
      </c>
      <c r="AN25" s="188" t="str">
        <f ca="1">IFERROR(VLOOKUP($X25&amp;AN$21,Calc2!$Z$64:$AC$207,Einstellungen!$G$29,0),"")</f>
        <v>39 : 43</v>
      </c>
      <c r="AO25" s="214"/>
      <c r="AP25" s="188" t="str">
        <f ca="1">IFERROR(VLOOKUP($X25&amp;AP$21,Calc2!$Z$64:$AC$207,Einstellungen!$G$29,0),"")</f>
        <v>44 : 42</v>
      </c>
      <c r="AQ25" s="215" t="str">
        <f ca="1">IFERROR(VLOOKUP($X25&amp;AQ$21,Calc2!$Z$64:$AC$207,Einstellungen!$G$29,0),"")</f>
        <v/>
      </c>
      <c r="AR25" s="216" t="str">
        <f t="shared" ca="1" si="10"/>
        <v>SSV Wildbach</v>
      </c>
      <c r="AU25" s="417" t="s">
        <v>191</v>
      </c>
      <c r="AV25" s="365" t="str">
        <f>IF(Planung!$C30="","",Planung!$C30)</f>
        <v>Manchester City</v>
      </c>
      <c r="AW25" s="271"/>
      <c r="AX25" s="785"/>
      <c r="BA25" s="738" t="b">
        <f t="shared" ca="1" si="1"/>
        <v>0</v>
      </c>
      <c r="BB25" s="738" t="b">
        <f t="shared" si="7"/>
        <v>0</v>
      </c>
      <c r="BC25" s="738" t="b">
        <f t="shared" si="8"/>
        <v>0</v>
      </c>
      <c r="BD25" s="738" t="b">
        <f t="shared" si="9"/>
        <v>1</v>
      </c>
      <c r="BE25" s="738" t="b">
        <f t="shared" si="2"/>
        <v>0</v>
      </c>
      <c r="BF25" s="738" t="b">
        <f t="shared" si="3"/>
        <v>0</v>
      </c>
      <c r="BG25" s="738" t="b">
        <f t="shared" si="4"/>
        <v>0</v>
      </c>
    </row>
    <row r="26" spans="2:59" ht="24" customHeight="1" x14ac:dyDescent="0.2">
      <c r="B26" s="326">
        <f ca="1">Planung!$E20</f>
        <v>15</v>
      </c>
      <c r="C26" s="226">
        <f ca="1">Planung!$F20</f>
        <v>0.44791666666666669</v>
      </c>
      <c r="D26" s="227">
        <f ca="1">Planung!$G20</f>
        <v>3</v>
      </c>
      <c r="E26" s="227" t="str">
        <f ca="1">Planung!$H20</f>
        <v>C</v>
      </c>
      <c r="F26" s="228" t="str">
        <f ca="1">Planung!$L20</f>
        <v>Real Madrid</v>
      </c>
      <c r="G26" s="229" t="s">
        <v>4</v>
      </c>
      <c r="H26" s="228" t="str">
        <f ca="1">Planung!$N20</f>
        <v>Borussia Dortmund</v>
      </c>
      <c r="I26" s="230">
        <v>21</v>
      </c>
      <c r="J26" s="829" t="str">
        <f>Sprache!$E$109</f>
        <v xml:space="preserve"> : </v>
      </c>
      <c r="K26" s="601">
        <v>25</v>
      </c>
      <c r="L26" s="230">
        <v>25</v>
      </c>
      <c r="M26" s="829" t="str">
        <f>Sprache!$E$109</f>
        <v xml:space="preserve"> : </v>
      </c>
      <c r="N26" s="601">
        <v>17</v>
      </c>
      <c r="O26" s="230">
        <v>25</v>
      </c>
      <c r="P26" s="736" t="str">
        <f>Sprache!$E$109</f>
        <v xml:space="preserve"> : </v>
      </c>
      <c r="Q26" s="601">
        <v>20</v>
      </c>
      <c r="R26" s="739">
        <f t="shared" ca="1" si="5"/>
        <v>2</v>
      </c>
      <c r="S26" s="732" t="str">
        <f>Sprache!$E$109</f>
        <v xml:space="preserve"> : </v>
      </c>
      <c r="T26" s="733">
        <f t="shared" ca="1" si="6"/>
        <v>1</v>
      </c>
      <c r="U26" s="690" t="str">
        <f>IF(Planung!$O20="","",Planung!$O20)</f>
        <v/>
      </c>
      <c r="W26" s="364">
        <f ca="1">IF(Calc2!$K$13=0,"",IF(VLOOKUP(Calc2!B8,Calc2!$C$4:$E$12,3,0)=MAX(W$22:W25),VLOOKUP(Calc2!B8,Calc2!$C$4:$E$12,3,0),Calc2!B8))</f>
        <v>5</v>
      </c>
      <c r="X26" s="365" t="str">
        <f ca="1">IF(Calc1!$F$14&lt;3,"",IF(Calc2!$K$13=0,Calc2!$Q68,VLOOKUP(Calc2!B8,Calc2!$C$4:$N$12,4,0)))</f>
        <v>FC Grönlingen</v>
      </c>
      <c r="Y26" s="207">
        <f ca="1">IF(Calc2!$K$13=0,"",VLOOKUP(Calc2!B8,Calc2!$C$4:$N$12,9,0))</f>
        <v>4</v>
      </c>
      <c r="Z26" s="188">
        <f ca="1">IF(Calc2!$K$13=0,"",VLOOKUP(Calc2!B8,Calc2!$C$4:$N$12,10,0))</f>
        <v>0</v>
      </c>
      <c r="AA26" s="188">
        <f ca="1">IF(Calc2!$K$13=0,"",VLOOKUP(Calc2!B8,Calc2!$C$4:$N$12,11,0))</f>
        <v>2</v>
      </c>
      <c r="AB26" s="208">
        <f ca="1">IF(Calc2!$K$13=0,"",VLOOKUP(Calc2!B8,Calc2!$C$4:$N$12,12,0))</f>
        <v>2</v>
      </c>
      <c r="AC26" s="209">
        <f ca="1">IF(Calc2!$K$13=0,"",VLOOKUP(Calc2!B8,Calc2!$C$4:$AT$12,44,0))</f>
        <v>2</v>
      </c>
      <c r="AD26" s="806" t="str">
        <f>Sprache!$E$109</f>
        <v xml:space="preserve"> : </v>
      </c>
      <c r="AE26" s="211">
        <f ca="1">IF(Calc2!$K$13=0,"",VLOOKUP(Calc2!B8,Calc2!$C$4:$AS$12,43,0))</f>
        <v>6</v>
      </c>
      <c r="AF26" s="210">
        <f ca="1">IF(Calc2!$K$13=0,"",AC26-AE26)</f>
        <v>-4</v>
      </c>
      <c r="AG26" s="209">
        <f ca="1">IF(Calc2!$K$13=0,"",VLOOKUP(Calc2!B8,Calc2!$C$4:$N$12,5,0))</f>
        <v>158</v>
      </c>
      <c r="AH26" s="806" t="str">
        <f>Sprache!$E$109</f>
        <v xml:space="preserve"> : </v>
      </c>
      <c r="AI26" s="211">
        <f ca="1">IF(Calc2!$K$13=0,"",VLOOKUP(Calc2!B8,Calc2!$C$4:$N$12,6,0))</f>
        <v>183</v>
      </c>
      <c r="AJ26" s="207">
        <f ca="1">IF(Calc2!$K$13=0,"",IF(VLOOKUP(Calc2!B8,Calc2!$C$4:$AV$12,46,0)=Einstellungen!$F$24,"max",VLOOKUP(Calc2!B8,Calc2!$C$4:$AV$12,46,0)))</f>
        <v>-25</v>
      </c>
      <c r="AK26" s="212">
        <f ca="1">IF(Calc2!$K$13=0,"",VLOOKUP(Calc2!B8,Calc2!$C$4:$AT$12,Einstellungen!$H$9,0))</f>
        <v>2</v>
      </c>
      <c r="AL26" s="213" t="str">
        <f ca="1">IFERROR(VLOOKUP($X26&amp;AL$21,Calc2!$Z$64:$AC$207,Einstellungen!$G$29,0),"")</f>
        <v>36 : 50</v>
      </c>
      <c r="AM26" s="391" t="str">
        <f ca="1">IFERROR(VLOOKUP($X26&amp;AM$21,Calc2!$Z$64:$AC$207,Einstellungen!$G$29,0),"")</f>
        <v>47 : 39</v>
      </c>
      <c r="AN26" s="188" t="str">
        <f ca="1">IFERROR(VLOOKUP($X26&amp;AN$21,Calc2!$Z$64:$AC$207,Einstellungen!$G$29,0),"")</f>
        <v>33 : 50</v>
      </c>
      <c r="AO26" s="188" t="str">
        <f ca="1">IFERROR(VLOOKUP($X26&amp;AO$21,Calc2!$Z$64:$AC$207,Einstellungen!$G$29,0),"")</f>
        <v>42 : 44</v>
      </c>
      <c r="AP26" s="214"/>
      <c r="AQ26" s="215" t="str">
        <f ca="1">IFERROR(VLOOKUP($X26&amp;AQ$21,Calc2!$Z$64:$AC$207,Einstellungen!$G$29,0),"")</f>
        <v/>
      </c>
      <c r="AR26" s="216" t="str">
        <f t="shared" ca="1" si="10"/>
        <v>FC Grönlingen</v>
      </c>
      <c r="AU26" s="417" t="s">
        <v>193</v>
      </c>
      <c r="AV26" s="365" t="str">
        <f>IF(Planung!$C32="","",Planung!$C32)</f>
        <v>FC Grönlingen</v>
      </c>
      <c r="AW26" s="271"/>
      <c r="AX26" s="785"/>
      <c r="BA26" s="738" t="b">
        <f t="shared" ca="1" si="1"/>
        <v>0</v>
      </c>
      <c r="BB26" s="738" t="b">
        <f t="shared" si="7"/>
        <v>0</v>
      </c>
      <c r="BC26" s="738" t="b">
        <f t="shared" si="8"/>
        <v>0</v>
      </c>
      <c r="BD26" s="738" t="b">
        <f t="shared" si="9"/>
        <v>0</v>
      </c>
      <c r="BE26" s="738" t="b">
        <f t="shared" si="2"/>
        <v>0</v>
      </c>
      <c r="BF26" s="738" t="b">
        <f t="shared" si="3"/>
        <v>0</v>
      </c>
      <c r="BG26" s="738" t="b">
        <f t="shared" si="4"/>
        <v>0</v>
      </c>
    </row>
    <row r="27" spans="2:59" ht="24" customHeight="1" thickBot="1" x14ac:dyDescent="0.25">
      <c r="B27" s="326">
        <f ca="1">Planung!$E21</f>
        <v>16</v>
      </c>
      <c r="C27" s="226">
        <f ca="1">Planung!$F21</f>
        <v>0.44791666666666669</v>
      </c>
      <c r="D27" s="227">
        <f ca="1">Planung!$G21</f>
        <v>4</v>
      </c>
      <c r="E27" s="227" t="str">
        <f ca="1">Planung!$H21</f>
        <v>D</v>
      </c>
      <c r="F27" s="228" t="str">
        <f ca="1">Planung!$L21</f>
        <v>Paris St. Germain</v>
      </c>
      <c r="G27" s="229" t="s">
        <v>4</v>
      </c>
      <c r="H27" s="228" t="str">
        <f ca="1">Planung!$N21</f>
        <v>HSV</v>
      </c>
      <c r="I27" s="230">
        <v>25</v>
      </c>
      <c r="J27" s="829" t="str">
        <f>Sprache!$E$109</f>
        <v xml:space="preserve"> : </v>
      </c>
      <c r="K27" s="601">
        <v>12</v>
      </c>
      <c r="L27" s="230">
        <v>25</v>
      </c>
      <c r="M27" s="829" t="str">
        <f>Sprache!$E$109</f>
        <v xml:space="preserve"> : </v>
      </c>
      <c r="N27" s="601">
        <v>18</v>
      </c>
      <c r="O27" s="230"/>
      <c r="P27" s="736" t="str">
        <f>Sprache!$E$109</f>
        <v xml:space="preserve"> : </v>
      </c>
      <c r="Q27" s="601"/>
      <c r="R27" s="739">
        <f t="shared" ca="1" si="5"/>
        <v>2</v>
      </c>
      <c r="S27" s="732" t="str">
        <f>Sprache!$E$109</f>
        <v xml:space="preserve"> : </v>
      </c>
      <c r="T27" s="733">
        <f t="shared" ca="1" si="6"/>
        <v>0</v>
      </c>
      <c r="U27" s="690" t="str">
        <f>IF(Planung!$O21="","",Planung!$O21)</f>
        <v/>
      </c>
      <c r="W27" s="366">
        <f ca="1">IF(Calc2!$K$13=0,"",IF(VLOOKUP(Calc2!B9,Calc2!$C$4:$E$12,3,0)=MAX(W$22:W26),VLOOKUP(Calc2!B9,Calc2!$C$4:$E$12,3,0),Calc2!B9))</f>
        <v>6</v>
      </c>
      <c r="X27" s="367" t="str">
        <f ca="1">IF(Calc1!$F$14&lt;3,"",IF(Calc2!$K$13=0,Calc2!$Q69,VLOOKUP(Calc2!B9,Calc2!$C$4:$N$12,4,0)))</f>
        <v/>
      </c>
      <c r="Y27" s="217">
        <f ca="1">IF(Calc2!$K$13=0,"",VLOOKUP(Calc2!B9,Calc2!$C$4:$N$12,9,0))</f>
        <v>0</v>
      </c>
      <c r="Z27" s="218">
        <f ca="1">IF(Calc2!$K$13=0,"",VLOOKUP(Calc2!B9,Calc2!$C$4:$N$12,10,0))</f>
        <v>0</v>
      </c>
      <c r="AA27" s="218">
        <f ca="1">IF(Calc2!$K$13=0,"",VLOOKUP(Calc2!B9,Calc2!$C$4:$N$12,11,0))</f>
        <v>0</v>
      </c>
      <c r="AB27" s="219">
        <f ca="1">IF(Calc2!$K$13=0,"",VLOOKUP(Calc2!B9,Calc2!$C$4:$N$12,12,0))</f>
        <v>0</v>
      </c>
      <c r="AC27" s="220">
        <f ca="1">IF(Calc2!$K$13=0,"",VLOOKUP(Calc2!B9,Calc2!$C$4:$AT$12,44,0))</f>
        <v>0</v>
      </c>
      <c r="AD27" s="807" t="str">
        <f>Sprache!$E$109</f>
        <v xml:space="preserve"> : </v>
      </c>
      <c r="AE27" s="222">
        <f ca="1">IF(Calc2!$K$13=0,"",VLOOKUP(Calc2!B9,Calc2!$C$4:$AS$12,43,0))</f>
        <v>0</v>
      </c>
      <c r="AF27" s="221">
        <f ca="1">IF(Calc2!$K$13=0,"",AC27-AE27)</f>
        <v>0</v>
      </c>
      <c r="AG27" s="220">
        <f ca="1">IF(Calc2!$K$13=0,"",VLOOKUP(Calc2!B9,Calc2!$C$4:$N$12,5,0))</f>
        <v>0</v>
      </c>
      <c r="AH27" s="807" t="str">
        <f>Sprache!$E$109</f>
        <v xml:space="preserve"> : </v>
      </c>
      <c r="AI27" s="222">
        <f ca="1">IF(Calc2!$K$13=0,"",VLOOKUP(Calc2!B9,Calc2!$C$4:$N$12,6,0))</f>
        <v>0</v>
      </c>
      <c r="AJ27" s="217">
        <f ca="1">IF(Calc2!$K$13=0,"",IF(VLOOKUP(Calc2!B9,Calc2!$C$4:$AV$12,46,0)=Einstellungen!$F$24,"max",VLOOKUP(Calc2!B9,Calc2!$C$4:$AV$12,46,0)))</f>
        <v>0</v>
      </c>
      <c r="AK27" s="223">
        <f ca="1">IF(Calc2!$K$13=0,"",VLOOKUP(Calc2!B9,Calc2!$C$4:$AT$12,Einstellungen!$H$9,0))</f>
        <v>0</v>
      </c>
      <c r="AL27" s="224" t="str">
        <f ca="1">IFERROR(VLOOKUP($X27&amp;AL$21,Calc2!$Z$64:$AC$207,Einstellungen!$G$29,0),"")</f>
        <v/>
      </c>
      <c r="AM27" s="218" t="str">
        <f ca="1">IFERROR(VLOOKUP($X27&amp;AM$21,Calc2!$Z$64:$AC$207,Einstellungen!$G$29,0),"")</f>
        <v/>
      </c>
      <c r="AN27" s="218" t="str">
        <f ca="1">IFERROR(VLOOKUP($X27&amp;AN$21,Calc2!$Z$64:$AC$207,Einstellungen!$G$29,0),"")</f>
        <v/>
      </c>
      <c r="AO27" s="218" t="str">
        <f ca="1">IFERROR(VLOOKUP($X27&amp;AO$21,Calc2!$Z$64:$AC$207,Einstellungen!$G$29,0),"")</f>
        <v/>
      </c>
      <c r="AP27" s="218" t="str">
        <f ca="1">IFERROR(VLOOKUP($X27&amp;AP$21,Calc2!$Z$64:$AC$207,Einstellungen!$G$29,0),"")</f>
        <v/>
      </c>
      <c r="AQ27" s="225"/>
      <c r="AR27" s="295" t="str">
        <f t="shared" ca="1" si="10"/>
        <v/>
      </c>
      <c r="AU27" s="418" t="s">
        <v>195</v>
      </c>
      <c r="AV27" s="367" t="str">
        <f>IF(Planung!$C34="","",Planung!$C34)</f>
        <v/>
      </c>
      <c r="AW27" s="271"/>
      <c r="AX27" s="786"/>
      <c r="BA27" s="738" t="b">
        <f t="shared" ca="1" si="1"/>
        <v>0</v>
      </c>
      <c r="BB27" s="738" t="b">
        <f t="shared" si="7"/>
        <v>0</v>
      </c>
      <c r="BC27" s="738" t="b">
        <f t="shared" si="8"/>
        <v>0</v>
      </c>
      <c r="BD27" s="738" t="b">
        <f t="shared" si="9"/>
        <v>1</v>
      </c>
      <c r="BE27" s="738" t="b">
        <f t="shared" si="2"/>
        <v>0</v>
      </c>
      <c r="BF27" s="738" t="b">
        <f t="shared" si="3"/>
        <v>0</v>
      </c>
      <c r="BG27" s="738" t="b">
        <f t="shared" si="4"/>
        <v>0</v>
      </c>
    </row>
    <row r="28" spans="2:59" ht="24" customHeight="1" thickTop="1" x14ac:dyDescent="0.2">
      <c r="B28" s="326">
        <f ca="1">Planung!$E22</f>
        <v>17</v>
      </c>
      <c r="C28" s="226">
        <f ca="1">Planung!$F22</f>
        <v>0.47222222222222221</v>
      </c>
      <c r="D28" s="227">
        <f ca="1">Planung!$G22</f>
        <v>1</v>
      </c>
      <c r="E28" s="227" t="str">
        <f ca="1">Planung!$H22</f>
        <v>A</v>
      </c>
      <c r="F28" s="228" t="str">
        <f ca="1">Planung!$L22</f>
        <v>1. FC Riedwald</v>
      </c>
      <c r="G28" s="229" t="s">
        <v>4</v>
      </c>
      <c r="H28" s="228" t="str">
        <f ca="1">Planung!$N22</f>
        <v>Maibach 1822 eV</v>
      </c>
      <c r="I28" s="230">
        <v>25</v>
      </c>
      <c r="J28" s="829" t="str">
        <f>Sprache!$E$109</f>
        <v xml:space="preserve"> : </v>
      </c>
      <c r="K28" s="601">
        <v>20</v>
      </c>
      <c r="L28" s="230">
        <v>25</v>
      </c>
      <c r="M28" s="829" t="str">
        <f>Sprache!$E$109</f>
        <v xml:space="preserve"> : </v>
      </c>
      <c r="N28" s="601">
        <v>19</v>
      </c>
      <c r="O28" s="230"/>
      <c r="P28" s="736" t="str">
        <f>Sprache!$E$109</f>
        <v xml:space="preserve"> : </v>
      </c>
      <c r="Q28" s="601"/>
      <c r="R28" s="739">
        <f t="shared" ca="1" si="5"/>
        <v>2</v>
      </c>
      <c r="S28" s="732" t="str">
        <f>Sprache!$E$109</f>
        <v xml:space="preserve"> : </v>
      </c>
      <c r="T28" s="733">
        <f t="shared" ca="1" si="6"/>
        <v>0</v>
      </c>
      <c r="U28" s="690" t="str">
        <f>IF(Planung!$O22="","",Planung!$O22)</f>
        <v/>
      </c>
      <c r="AW28" s="269"/>
      <c r="AX28" s="269"/>
      <c r="BA28" s="738" t="b">
        <f t="shared" ca="1" si="1"/>
        <v>0</v>
      </c>
      <c r="BB28" s="738" t="b">
        <f t="shared" si="7"/>
        <v>0</v>
      </c>
      <c r="BC28" s="738" t="b">
        <f t="shared" si="8"/>
        <v>0</v>
      </c>
      <c r="BD28" s="738" t="b">
        <f t="shared" si="9"/>
        <v>1</v>
      </c>
      <c r="BE28" s="738" t="b">
        <f t="shared" si="2"/>
        <v>0</v>
      </c>
      <c r="BF28" s="738" t="b">
        <f t="shared" si="3"/>
        <v>0</v>
      </c>
      <c r="BG28" s="738" t="b">
        <f t="shared" si="4"/>
        <v>0</v>
      </c>
    </row>
    <row r="29" spans="2:59" ht="24" customHeight="1" thickBot="1" x14ac:dyDescent="0.25">
      <c r="B29" s="326">
        <f ca="1">Planung!$E23</f>
        <v>18</v>
      </c>
      <c r="C29" s="226">
        <f ca="1">Planung!$F23</f>
        <v>0.47222222222222221</v>
      </c>
      <c r="D29" s="227">
        <f ca="1">Planung!$G23</f>
        <v>2</v>
      </c>
      <c r="E29" s="227" t="str">
        <f ca="1">Planung!$H23</f>
        <v>B</v>
      </c>
      <c r="F29" s="228" t="str">
        <f ca="1">Planung!$L23</f>
        <v>Mainz 05</v>
      </c>
      <c r="G29" s="229" t="s">
        <v>4</v>
      </c>
      <c r="H29" s="228" t="str">
        <f ca="1">Planung!$N23</f>
        <v>Manchester City</v>
      </c>
      <c r="I29" s="230">
        <v>9</v>
      </c>
      <c r="J29" s="829" t="str">
        <f>Sprache!$E$109</f>
        <v xml:space="preserve"> : </v>
      </c>
      <c r="K29" s="601">
        <v>25</v>
      </c>
      <c r="L29" s="230">
        <v>14</v>
      </c>
      <c r="M29" s="829" t="str">
        <f>Sprache!$E$109</f>
        <v xml:space="preserve"> : </v>
      </c>
      <c r="N29" s="601">
        <v>25</v>
      </c>
      <c r="O29" s="230"/>
      <c r="P29" s="736" t="str">
        <f>Sprache!$E$109</f>
        <v xml:space="preserve"> : </v>
      </c>
      <c r="Q29" s="601"/>
      <c r="R29" s="739">
        <f t="shared" ca="1" si="5"/>
        <v>0</v>
      </c>
      <c r="S29" s="732" t="str">
        <f>Sprache!$E$109</f>
        <v xml:space="preserve"> : </v>
      </c>
      <c r="T29" s="733">
        <f t="shared" ca="1" si="6"/>
        <v>2</v>
      </c>
      <c r="U29" s="690" t="str">
        <f>IF(Planung!$O23="","",Planung!$O23)</f>
        <v/>
      </c>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W29" s="269"/>
      <c r="AX29" s="269"/>
      <c r="BA29" s="738" t="b">
        <f t="shared" ca="1" si="1"/>
        <v>0</v>
      </c>
      <c r="BB29" s="738" t="b">
        <f t="shared" si="7"/>
        <v>0</v>
      </c>
      <c r="BC29" s="738" t="b">
        <f t="shared" si="8"/>
        <v>0</v>
      </c>
      <c r="BD29" s="738" t="b">
        <f t="shared" si="9"/>
        <v>1</v>
      </c>
      <c r="BE29" s="738" t="b">
        <f t="shared" si="2"/>
        <v>0</v>
      </c>
      <c r="BF29" s="738" t="b">
        <f t="shared" si="3"/>
        <v>0</v>
      </c>
      <c r="BG29" s="738" t="b">
        <f t="shared" si="4"/>
        <v>0</v>
      </c>
    </row>
    <row r="30" spans="2:59" ht="24" customHeight="1" thickBot="1" x14ac:dyDescent="0.45">
      <c r="B30" s="326">
        <f ca="1">Planung!$E24</f>
        <v>19</v>
      </c>
      <c r="C30" s="226">
        <f ca="1">Planung!$F24</f>
        <v>0.47222222222222221</v>
      </c>
      <c r="D30" s="227">
        <f ca="1">Planung!$G24</f>
        <v>3</v>
      </c>
      <c r="E30" s="227" t="str">
        <f ca="1">Planung!$H24</f>
        <v>C</v>
      </c>
      <c r="F30" s="228" t="str">
        <f ca="1">Planung!$L24</f>
        <v>Kickers Rodendorf</v>
      </c>
      <c r="G30" s="229" t="s">
        <v>4</v>
      </c>
      <c r="H30" s="228" t="str">
        <f ca="1">Planung!$N24</f>
        <v>FSV Rauen</v>
      </c>
      <c r="I30" s="230">
        <v>25</v>
      </c>
      <c r="J30" s="829" t="str">
        <f>Sprache!$E$109</f>
        <v xml:space="preserve"> : </v>
      </c>
      <c r="K30" s="601">
        <v>2</v>
      </c>
      <c r="L30" s="230">
        <v>25</v>
      </c>
      <c r="M30" s="829" t="str">
        <f>Sprache!$E$109</f>
        <v xml:space="preserve"> : </v>
      </c>
      <c r="N30" s="601">
        <v>21</v>
      </c>
      <c r="O30" s="230"/>
      <c r="P30" s="736" t="str">
        <f>Sprache!$E$109</f>
        <v xml:space="preserve"> : </v>
      </c>
      <c r="Q30" s="601"/>
      <c r="R30" s="739">
        <f t="shared" ca="1" si="5"/>
        <v>2</v>
      </c>
      <c r="S30" s="732" t="str">
        <f>Sprache!$E$109</f>
        <v xml:space="preserve"> : </v>
      </c>
      <c r="T30" s="733">
        <f t="shared" ca="1" si="6"/>
        <v>0</v>
      </c>
      <c r="U30" s="690" t="str">
        <f>IF(Planung!$O24="","",Planung!$O24)</f>
        <v/>
      </c>
      <c r="W30" s="878" t="str">
        <f>Sprache!$E$16&amp;" C"</f>
        <v>Gruppe C</v>
      </c>
      <c r="X30" s="878"/>
      <c r="Y30" s="189"/>
      <c r="Z30" s="189"/>
      <c r="AA30" s="189"/>
      <c r="AB30" s="189"/>
      <c r="AC30" s="189"/>
      <c r="AD30" s="189"/>
      <c r="AE30" s="189"/>
      <c r="AF30" s="189"/>
      <c r="AG30" s="189"/>
      <c r="AH30" s="189"/>
      <c r="AI30" s="189"/>
      <c r="AJ30" s="189"/>
      <c r="AK30" s="189"/>
      <c r="AL30" s="277" t="str">
        <f ca="1">IF(LEN(X32)&gt;Einstellungen!$C$33,LEFT(X32,Einstellungen!$C$33)&amp;".",X32)</f>
        <v>Real Ma.</v>
      </c>
      <c r="AM30" s="278" t="str">
        <f ca="1">IF(LEN(X33)&gt;Einstellungen!$C$33,LEFT(X33,Einstellungen!$C$33)&amp;".",X33)</f>
        <v>Kickers.</v>
      </c>
      <c r="AN30" s="278" t="str">
        <f ca="1">IF(LEN(X34)&gt;Einstellungen!$C$33,LEFT(X34,Einstellungen!$C$33)&amp;".",X34)</f>
        <v>Borussi.</v>
      </c>
      <c r="AO30" s="278" t="str">
        <f ca="1">IF(LEN(X35)&gt;Einstellungen!$C$33,LEFT(X35,Einstellungen!$C$33)&amp;".",X35)</f>
        <v>FSV Rau.</v>
      </c>
      <c r="AP30" s="278" t="str">
        <f ca="1">IF(LEN(X36)&gt;Einstellungen!$C$33,LEFT(X36,Einstellungen!$C$33)&amp;".",X36)</f>
        <v>1. FC N.</v>
      </c>
      <c r="AQ30" s="279" t="str">
        <f ca="1">IF(LEN(X37)&gt;Einstellungen!$C$33,LEFT(X37,Einstellungen!$C$33)&amp;".",X37)</f>
        <v/>
      </c>
      <c r="AR30" s="190"/>
      <c r="AU30" s="878" t="str">
        <f>Sprache!$E$16&amp;" C"</f>
        <v>Gruppe C</v>
      </c>
      <c r="AV30" s="878"/>
      <c r="AW30" s="640"/>
      <c r="AX30" s="269"/>
      <c r="BA30" s="738" t="b">
        <f t="shared" ca="1" si="1"/>
        <v>0</v>
      </c>
      <c r="BB30" s="738" t="b">
        <f t="shared" si="7"/>
        <v>0</v>
      </c>
      <c r="BC30" s="738" t="b">
        <f t="shared" si="8"/>
        <v>0</v>
      </c>
      <c r="BD30" s="738" t="b">
        <f t="shared" si="9"/>
        <v>1</v>
      </c>
      <c r="BE30" s="738" t="b">
        <f t="shared" si="2"/>
        <v>0</v>
      </c>
      <c r="BF30" s="738" t="b">
        <f t="shared" si="3"/>
        <v>0</v>
      </c>
      <c r="BG30" s="738" t="b">
        <f t="shared" si="4"/>
        <v>0</v>
      </c>
    </row>
    <row r="31" spans="2:59" ht="24" customHeight="1" thickTop="1" thickBot="1" x14ac:dyDescent="0.25">
      <c r="B31" s="326">
        <f ca="1">Planung!$E25</f>
        <v>20</v>
      </c>
      <c r="C31" s="226">
        <f ca="1">Planung!$F25</f>
        <v>0.47222222222222221</v>
      </c>
      <c r="D31" s="227">
        <f ca="1">Planung!$G25</f>
        <v>4</v>
      </c>
      <c r="E31" s="227" t="str">
        <f ca="1">Planung!$H25</f>
        <v>D</v>
      </c>
      <c r="F31" s="228" t="str">
        <f ca="1">Planung!$L25</f>
        <v>TSG Saalberg eV</v>
      </c>
      <c r="G31" s="229" t="s">
        <v>4</v>
      </c>
      <c r="H31" s="228" t="str">
        <f ca="1">Planung!$N25</f>
        <v>RB Leipzig</v>
      </c>
      <c r="I31" s="230">
        <v>25</v>
      </c>
      <c r="J31" s="829" t="str">
        <f>Sprache!$E$109</f>
        <v xml:space="preserve"> : </v>
      </c>
      <c r="K31" s="601">
        <v>2</v>
      </c>
      <c r="L31" s="230">
        <v>25</v>
      </c>
      <c r="M31" s="829" t="str">
        <f>Sprache!$E$109</f>
        <v xml:space="preserve"> : </v>
      </c>
      <c r="N31" s="601">
        <v>22</v>
      </c>
      <c r="O31" s="230"/>
      <c r="P31" s="736" t="str">
        <f>Sprache!$E$109</f>
        <v xml:space="preserve"> : </v>
      </c>
      <c r="Q31" s="601"/>
      <c r="R31" s="739">
        <f t="shared" ca="1" si="5"/>
        <v>2</v>
      </c>
      <c r="S31" s="732" t="str">
        <f>Sprache!$E$109</f>
        <v xml:space="preserve"> : </v>
      </c>
      <c r="T31" s="733">
        <f t="shared" ca="1" si="6"/>
        <v>0</v>
      </c>
      <c r="U31" s="690" t="str">
        <f>IF(Planung!$O25="","",Planung!$O25)</f>
        <v/>
      </c>
      <c r="W31" s="879"/>
      <c r="X31" s="880"/>
      <c r="Y31" s="191" t="str">
        <f>Sprache!$E$21</f>
        <v>SP</v>
      </c>
      <c r="Z31" s="192" t="str">
        <f>Sprache!$E$22</f>
        <v>G</v>
      </c>
      <c r="AA31" s="192" t="str">
        <f>Sprache!$E$23</f>
        <v>U</v>
      </c>
      <c r="AB31" s="390" t="str">
        <f>Sprache!$E$24</f>
        <v>V</v>
      </c>
      <c r="AC31" s="884" t="str">
        <f>Sprache!$E$25</f>
        <v>Sätze</v>
      </c>
      <c r="AD31" s="885"/>
      <c r="AE31" s="886"/>
      <c r="AF31" s="731" t="str">
        <f>Sprache!$E$26</f>
        <v>Diff.</v>
      </c>
      <c r="AG31" s="881" t="str">
        <f>Sprache!$E$74</f>
        <v>Bälle</v>
      </c>
      <c r="AH31" s="882"/>
      <c r="AI31" s="883"/>
      <c r="AJ31" s="192" t="str">
        <f>IF(Einstellungen!$G$24,Sprache!$E$26,Sprache!$E$80)</f>
        <v>Diff.</v>
      </c>
      <c r="AK31" s="194" t="str">
        <f>IF(Einstellungen!$G$9,Sprache!$E$27,Sprache!$E$91)</f>
        <v>Pkt</v>
      </c>
      <c r="AL31" s="195" t="str">
        <f ca="1">X32</f>
        <v>Real Madrid</v>
      </c>
      <c r="AM31" s="196" t="str">
        <f ca="1">X33</f>
        <v>Kickers Rodendorf</v>
      </c>
      <c r="AN31" s="196" t="str">
        <f ca="1">X34</f>
        <v>Borussia Dortmund</v>
      </c>
      <c r="AO31" s="196" t="str">
        <f ca="1">X35</f>
        <v>FSV Rauen</v>
      </c>
      <c r="AP31" s="196" t="str">
        <f ca="1">X36</f>
        <v>1. FC Nürnberg</v>
      </c>
      <c r="AQ31" s="585" t="str">
        <f ca="1">X37</f>
        <v/>
      </c>
      <c r="AR31" s="190"/>
      <c r="AU31" s="415" t="str">
        <f>Sprache!$E$9</f>
        <v>Nr.</v>
      </c>
      <c r="AV31" s="638" t="str">
        <f>Sprache!$E$10</f>
        <v>Teilnehmer bzw. Mannschaft</v>
      </c>
      <c r="AW31" s="641"/>
      <c r="AX31" s="446"/>
      <c r="BA31" s="738" t="b">
        <f t="shared" ca="1" si="1"/>
        <v>0</v>
      </c>
      <c r="BB31" s="738" t="b">
        <f t="shared" si="7"/>
        <v>0</v>
      </c>
      <c r="BC31" s="738" t="b">
        <f t="shared" si="8"/>
        <v>0</v>
      </c>
      <c r="BD31" s="738" t="b">
        <f t="shared" si="9"/>
        <v>1</v>
      </c>
      <c r="BE31" s="738" t="b">
        <f t="shared" si="2"/>
        <v>0</v>
      </c>
      <c r="BF31" s="738" t="b">
        <f t="shared" si="3"/>
        <v>0</v>
      </c>
      <c r="BG31" s="738" t="b">
        <f t="shared" si="4"/>
        <v>0</v>
      </c>
    </row>
    <row r="32" spans="2:59" ht="24" customHeight="1" x14ac:dyDescent="0.2">
      <c r="B32" s="326">
        <f ca="1">Planung!$E26</f>
        <v>21</v>
      </c>
      <c r="C32" s="226">
        <f ca="1">Planung!$F26</f>
        <v>0.49652777777777779</v>
      </c>
      <c r="D32" s="227">
        <f ca="1">Planung!$G26</f>
        <v>1</v>
      </c>
      <c r="E32" s="227" t="str">
        <f ca="1">Planung!$H26</f>
        <v>A</v>
      </c>
      <c r="F32" s="228" t="str">
        <f ca="1">Planung!$L26</f>
        <v>Eintracht Frankfurt</v>
      </c>
      <c r="G32" s="229" t="s">
        <v>4</v>
      </c>
      <c r="H32" s="228" t="str">
        <f ca="1">Planung!$N26</f>
        <v>VFB Essenheim</v>
      </c>
      <c r="I32" s="230">
        <v>12</v>
      </c>
      <c r="J32" s="829" t="str">
        <f>Sprache!$E$109</f>
        <v xml:space="preserve"> : </v>
      </c>
      <c r="K32" s="601">
        <v>25</v>
      </c>
      <c r="L32" s="230">
        <v>25</v>
      </c>
      <c r="M32" s="829" t="str">
        <f>Sprache!$E$109</f>
        <v xml:space="preserve"> : </v>
      </c>
      <c r="N32" s="601">
        <v>12</v>
      </c>
      <c r="O32" s="230"/>
      <c r="P32" s="736" t="str">
        <f>Sprache!$E$109</f>
        <v xml:space="preserve"> : </v>
      </c>
      <c r="Q32" s="601"/>
      <c r="R32" s="739">
        <f t="shared" ca="1" si="5"/>
        <v>1</v>
      </c>
      <c r="S32" s="732" t="str">
        <f>Sprache!$E$109</f>
        <v xml:space="preserve"> : </v>
      </c>
      <c r="T32" s="733">
        <f t="shared" ca="1" si="6"/>
        <v>1</v>
      </c>
      <c r="U32" s="690" t="str">
        <f>IF(Planung!$O26="","",Planung!$O26)</f>
        <v/>
      </c>
      <c r="W32" s="362">
        <f ca="1">IF(Calc3!$K$13=0,"",1)</f>
        <v>1</v>
      </c>
      <c r="X32" s="363" t="str">
        <f ca="1">IF(Calc1!$F$14&lt;3,"",IF(Calc3!$K$13=0,Calc3!$Q64,VLOOKUP(Calc3!B4,Calc3!$C$4:$N$12,4,0)))</f>
        <v>Real Madrid</v>
      </c>
      <c r="Y32" s="197">
        <f ca="1">IF(Calc3!$K$13=0,"",VLOOKUP(Calc3!B4,Calc3!$C$4:$N$12,9,0))</f>
        <v>4</v>
      </c>
      <c r="Z32" s="198">
        <f ca="1">IF(Calc3!$K$13=0,"",VLOOKUP(Calc3!B4,Calc3!$C$4:$N$12,10,0))</f>
        <v>2</v>
      </c>
      <c r="AA32" s="198">
        <f ca="1">IF(Calc3!$K$13=0,"",VLOOKUP(Calc3!B4,Calc3!$C$4:$N$12,11,0))</f>
        <v>2</v>
      </c>
      <c r="AB32" s="199">
        <f ca="1">IF(Calc3!$K$13=0,"",VLOOKUP(Calc3!B4,Calc3!$C$4:$N$12,12,0))</f>
        <v>0</v>
      </c>
      <c r="AC32" s="200">
        <f ca="1">IF(Calc3!$K$13=0,"",VLOOKUP(Calc3!B4,Calc3!$C$4:$AT$12,44,0))</f>
        <v>6</v>
      </c>
      <c r="AD32" s="805" t="str">
        <f>Sprache!$E$109</f>
        <v xml:space="preserve"> : </v>
      </c>
      <c r="AE32" s="202">
        <f ca="1">IF(Calc3!$K$13=0,"",VLOOKUP(Calc3!B4,Calc3!$C$4:$AS$12,43,0))</f>
        <v>3</v>
      </c>
      <c r="AF32" s="201">
        <f ca="1">IF(Calc3!$K$13=0,"",AC32-AE32)</f>
        <v>3</v>
      </c>
      <c r="AG32" s="200">
        <f ca="1">IF(Calc3!$K$13=0,"",VLOOKUP(Calc3!B4,Calc3!$C$4:$N$12,5,0))</f>
        <v>183</v>
      </c>
      <c r="AH32" s="805" t="str">
        <f>Sprache!$E$109</f>
        <v xml:space="preserve"> : </v>
      </c>
      <c r="AI32" s="202">
        <f ca="1">IF(Calc3!$K$13=0,"",VLOOKUP(Calc3!B4,Calc3!$C$4:$N$12,6,0))</f>
        <v>167</v>
      </c>
      <c r="AJ32" s="197">
        <f ca="1">IF(Calc3!$K$13=0,"",IF(VLOOKUP(Calc3!B4,Calc3!$C$4:$AV$12,46,0)=Einstellungen!$F$24,"max",VLOOKUP(Calc3!B4,Calc3!$C$4:$AV$12,46,0)))</f>
        <v>16</v>
      </c>
      <c r="AK32" s="203">
        <f ca="1">IF(Calc3!$K$13=0,"",VLOOKUP(Calc3!B4,Calc3!$C$4:$AT$12,Einstellungen!$H$9,0))</f>
        <v>6</v>
      </c>
      <c r="AL32" s="204"/>
      <c r="AM32" s="198" t="str">
        <f ca="1">IFERROR(VLOOKUP($X32&amp;AM$31,Calc3!$Z$64:$AC$207,Einstellungen!$G$29,0),"")</f>
        <v>45 : 38</v>
      </c>
      <c r="AN32" s="198" t="str">
        <f ca="1">IFERROR(VLOOKUP($X32&amp;AN$31,Calc3!$Z$64:$AC$207,Einstellungen!$G$29,0),"")</f>
        <v>71 : 62</v>
      </c>
      <c r="AO32" s="198" t="str">
        <f ca="1">IFERROR(VLOOKUP($X32&amp;AO$31,Calc3!$Z$64:$AC$207,Einstellungen!$G$29,0),"")</f>
        <v>42 : 47</v>
      </c>
      <c r="AP32" s="198" t="str">
        <f ca="1">IFERROR(VLOOKUP($X32&amp;AP$31,Calc3!$Z$64:$AC$207,Einstellungen!$G$29,0),"")</f>
        <v>50 : 40</v>
      </c>
      <c r="AQ32" s="205" t="str">
        <f ca="1">IFERROR(VLOOKUP($X32&amp;AQ$31,Calc3!$Z$64:$AC$207,Einstellungen!$G$29,0),"")</f>
        <v/>
      </c>
      <c r="AR32" s="206" t="str">
        <f t="shared" ref="AR32:AR37" ca="1" si="11">X32</f>
        <v>Real Madrid</v>
      </c>
      <c r="AU32" s="416" t="s">
        <v>260</v>
      </c>
      <c r="AV32" s="639" t="str">
        <f>IF(Planung!$C41="","",Planung!$C41)</f>
        <v>Kickers Rodendorf</v>
      </c>
      <c r="AW32" s="271"/>
      <c r="AX32" s="784"/>
      <c r="BA32" s="738" t="b">
        <f t="shared" ca="1" si="1"/>
        <v>0</v>
      </c>
      <c r="BB32" s="738" t="b">
        <f t="shared" si="7"/>
        <v>0</v>
      </c>
      <c r="BC32" s="738" t="b">
        <f t="shared" si="8"/>
        <v>0</v>
      </c>
      <c r="BD32" s="738" t="b">
        <f t="shared" si="9"/>
        <v>1</v>
      </c>
      <c r="BE32" s="738" t="b">
        <f t="shared" si="2"/>
        <v>0</v>
      </c>
      <c r="BF32" s="738" t="b">
        <f t="shared" si="3"/>
        <v>0</v>
      </c>
      <c r="BG32" s="738" t="b">
        <f t="shared" si="4"/>
        <v>0</v>
      </c>
    </row>
    <row r="33" spans="2:59" ht="24" customHeight="1" x14ac:dyDescent="0.2">
      <c r="B33" s="326">
        <f ca="1">Planung!$E27</f>
        <v>22</v>
      </c>
      <c r="C33" s="226">
        <f ca="1">Planung!$F27</f>
        <v>0.49652777777777779</v>
      </c>
      <c r="D33" s="227">
        <f ca="1">Planung!$G27</f>
        <v>2</v>
      </c>
      <c r="E33" s="227" t="str">
        <f ca="1">Planung!$H27</f>
        <v>B</v>
      </c>
      <c r="F33" s="228" t="str">
        <f ca="1">Planung!$L27</f>
        <v>SSV Wildbach</v>
      </c>
      <c r="G33" s="229" t="s">
        <v>4</v>
      </c>
      <c r="H33" s="228" t="str">
        <f ca="1">Planung!$N27</f>
        <v>FC Grönlingen</v>
      </c>
      <c r="I33" s="230">
        <v>19</v>
      </c>
      <c r="J33" s="829" t="str">
        <f>Sprache!$E$109</f>
        <v xml:space="preserve"> : </v>
      </c>
      <c r="K33" s="601">
        <v>25</v>
      </c>
      <c r="L33" s="230">
        <v>25</v>
      </c>
      <c r="M33" s="829" t="str">
        <f>Sprache!$E$109</f>
        <v xml:space="preserve"> : </v>
      </c>
      <c r="N33" s="601">
        <v>17</v>
      </c>
      <c r="O33" s="230"/>
      <c r="P33" s="736" t="str">
        <f>Sprache!$E$109</f>
        <v xml:space="preserve"> : </v>
      </c>
      <c r="Q33" s="601"/>
      <c r="R33" s="739">
        <f t="shared" ca="1" si="5"/>
        <v>1</v>
      </c>
      <c r="S33" s="732" t="str">
        <f>Sprache!$E$109</f>
        <v xml:space="preserve"> : </v>
      </c>
      <c r="T33" s="733">
        <f t="shared" ca="1" si="6"/>
        <v>1</v>
      </c>
      <c r="U33" s="690" t="str">
        <f>IF(Planung!$O27="","",Planung!$O27)</f>
        <v/>
      </c>
      <c r="W33" s="364">
        <f ca="1">IF(Calc3!$K$13=0,"",IF(VLOOKUP(Calc3!B5,Calc3!$C$4:$E$12,3,0)=MAX(W$32:W32),VLOOKUP(Calc3!B5,Calc3!$C$4:$E$12,3,0),Calc3!B5))</f>
        <v>2</v>
      </c>
      <c r="X33" s="365" t="str">
        <f ca="1">IF(Calc1!$F$14&lt;3,"",IF(Calc3!$K$13=0,Calc3!$Q65,VLOOKUP(Calc3!B5,Calc3!$C$4:$N$12,4,0)))</f>
        <v>Kickers Rodendorf</v>
      </c>
      <c r="Y33" s="207">
        <f ca="1">IF(Calc3!$K$13=0,"",VLOOKUP(Calc3!B5,Calc3!$C$4:$N$12,9,0))</f>
        <v>4</v>
      </c>
      <c r="Z33" s="188">
        <f ca="1">IF(Calc3!$K$13=0,"",VLOOKUP(Calc3!B5,Calc3!$C$4:$N$12,10,0))</f>
        <v>1</v>
      </c>
      <c r="AA33" s="188">
        <f ca="1">IF(Calc3!$K$13=0,"",VLOOKUP(Calc3!B5,Calc3!$C$4:$N$12,11,0))</f>
        <v>2</v>
      </c>
      <c r="AB33" s="208">
        <f ca="1">IF(Calc3!$K$13=0,"",VLOOKUP(Calc3!B5,Calc3!$C$4:$N$12,12,0))</f>
        <v>1</v>
      </c>
      <c r="AC33" s="209">
        <f ca="1">IF(Calc3!$K$13=0,"",VLOOKUP(Calc3!B5,Calc3!$C$4:$AT$12,44,0))</f>
        <v>4</v>
      </c>
      <c r="AD33" s="806" t="str">
        <f>Sprache!$E$109</f>
        <v xml:space="preserve"> : </v>
      </c>
      <c r="AE33" s="211">
        <f ca="1">IF(Calc3!$K$13=0,"",VLOOKUP(Calc3!B5,Calc3!$C$4:$AS$12,43,0))</f>
        <v>4</v>
      </c>
      <c r="AF33" s="210">
        <f ca="1">IF(Calc3!$K$13=0,"",AC33-AE33)</f>
        <v>0</v>
      </c>
      <c r="AG33" s="209">
        <f ca="1">IF(Calc3!$K$13=0,"",VLOOKUP(Calc3!B5,Calc3!$C$4:$N$12,5,0))</f>
        <v>174</v>
      </c>
      <c r="AH33" s="806" t="str">
        <f>Sprache!$E$109</f>
        <v xml:space="preserve"> : </v>
      </c>
      <c r="AI33" s="211">
        <f ca="1">IF(Calc3!$K$13=0,"",VLOOKUP(Calc3!B5,Calc3!$C$4:$N$12,6,0))</f>
        <v>163</v>
      </c>
      <c r="AJ33" s="207">
        <f ca="1">IF(Calc3!$K$13=0,"",IF(VLOOKUP(Calc3!B5,Calc3!$C$4:$AV$12,46,0)=Einstellungen!$F$24,"max",VLOOKUP(Calc3!B5,Calc3!$C$4:$AV$12,46,0)))</f>
        <v>11</v>
      </c>
      <c r="AK33" s="212">
        <f ca="1">IF(Calc3!$K$13=0,"",VLOOKUP(Calc3!B5,Calc3!$C$4:$AT$12,Einstellungen!$H$9,0))</f>
        <v>4</v>
      </c>
      <c r="AL33" s="213" t="str">
        <f ca="1">IFERROR(VLOOKUP($X33&amp;AL$31,Calc3!$Z$64:$AC$207,Einstellungen!$G$29,0),"")</f>
        <v>38 : 45</v>
      </c>
      <c r="AM33" s="214"/>
      <c r="AN33" s="188" t="str">
        <f ca="1">IFERROR(VLOOKUP($X33&amp;AN$31,Calc3!$Z$64:$AC$207,Einstellungen!$G$29,0),"")</f>
        <v>44 : 45</v>
      </c>
      <c r="AO33" s="188" t="str">
        <f ca="1">IFERROR(VLOOKUP($X33&amp;AO$31,Calc3!$Z$64:$AC$207,Einstellungen!$G$29,0),"")</f>
        <v>50 : 23</v>
      </c>
      <c r="AP33" s="188" t="str">
        <f ca="1">IFERROR(VLOOKUP($X33&amp;AP$31,Calc3!$Z$64:$AC$207,Einstellungen!$G$29,0),"")</f>
        <v>42 : 50</v>
      </c>
      <c r="AQ33" s="215" t="str">
        <f ca="1">IFERROR(VLOOKUP($X33&amp;AQ$31,Calc3!$Z$64:$AC$207,Einstellungen!$G$29,0),"")</f>
        <v/>
      </c>
      <c r="AR33" s="216" t="str">
        <f t="shared" ca="1" si="11"/>
        <v>Kickers Rodendorf</v>
      </c>
      <c r="AU33" s="417" t="s">
        <v>259</v>
      </c>
      <c r="AV33" s="365" t="str">
        <f>IF(Planung!$C43="","",Planung!$C43)</f>
        <v>Real Madrid</v>
      </c>
      <c r="AW33" s="271"/>
      <c r="AX33" s="785"/>
      <c r="BA33" s="738" t="b">
        <f t="shared" ca="1" si="1"/>
        <v>0</v>
      </c>
      <c r="BB33" s="738" t="b">
        <f t="shared" si="7"/>
        <v>0</v>
      </c>
      <c r="BC33" s="738" t="b">
        <f t="shared" si="8"/>
        <v>0</v>
      </c>
      <c r="BD33" s="738" t="b">
        <f t="shared" si="9"/>
        <v>1</v>
      </c>
      <c r="BE33" s="738" t="b">
        <f t="shared" si="2"/>
        <v>0</v>
      </c>
      <c r="BF33" s="738" t="b">
        <f t="shared" si="3"/>
        <v>0</v>
      </c>
      <c r="BG33" s="738" t="b">
        <f t="shared" si="4"/>
        <v>0</v>
      </c>
    </row>
    <row r="34" spans="2:59" ht="24" customHeight="1" x14ac:dyDescent="0.2">
      <c r="B34" s="326">
        <f ca="1">Planung!$E28</f>
        <v>23</v>
      </c>
      <c r="C34" s="226">
        <f ca="1">Planung!$F28</f>
        <v>0.49652777777777779</v>
      </c>
      <c r="D34" s="227">
        <f ca="1">Planung!$G28</f>
        <v>3</v>
      </c>
      <c r="E34" s="227" t="str">
        <f ca="1">Planung!$H28</f>
        <v>C</v>
      </c>
      <c r="F34" s="228" t="str">
        <f ca="1">Planung!$L28</f>
        <v>Borussia Dortmund</v>
      </c>
      <c r="G34" s="229" t="s">
        <v>4</v>
      </c>
      <c r="H34" s="228" t="str">
        <f ca="1">Planung!$N28</f>
        <v>1. FC Nürnberg</v>
      </c>
      <c r="I34" s="230">
        <v>17</v>
      </c>
      <c r="J34" s="829" t="str">
        <f>Sprache!$E$109</f>
        <v xml:space="preserve"> : </v>
      </c>
      <c r="K34" s="601">
        <v>25</v>
      </c>
      <c r="L34" s="230">
        <v>25</v>
      </c>
      <c r="M34" s="829" t="str">
        <f>Sprache!$E$109</f>
        <v xml:space="preserve"> : </v>
      </c>
      <c r="N34" s="601">
        <v>16</v>
      </c>
      <c r="O34" s="230"/>
      <c r="P34" s="736" t="str">
        <f>Sprache!$E$109</f>
        <v xml:space="preserve"> : </v>
      </c>
      <c r="Q34" s="601"/>
      <c r="R34" s="739">
        <f t="shared" ca="1" si="5"/>
        <v>1</v>
      </c>
      <c r="S34" s="732" t="str">
        <f>Sprache!$E$109</f>
        <v xml:space="preserve"> : </v>
      </c>
      <c r="T34" s="733">
        <f t="shared" ca="1" si="6"/>
        <v>1</v>
      </c>
      <c r="U34" s="690" t="str">
        <f>IF(Planung!$O28="","",Planung!$O28)</f>
        <v/>
      </c>
      <c r="W34" s="364">
        <f ca="1">IF(Calc3!$K$13=0,"",IF(VLOOKUP(Calc3!B6,Calc3!$C$4:$E$12,3,0)=MAX(W$32:W33),VLOOKUP(Calc3!B6,Calc3!$C$4:$E$12,3,0),Calc3!B6))</f>
        <v>3</v>
      </c>
      <c r="X34" s="365" t="str">
        <f ca="1">IF(Calc1!$F$14&lt;3,"",IF(Calc3!$K$13=0,Calc3!$Q66,VLOOKUP(Calc3!B6,Calc3!$C$4:$N$12,4,0)))</f>
        <v>Borussia Dortmund</v>
      </c>
      <c r="Y34" s="207">
        <f ca="1">IF(Calc3!$K$13=0,"",VLOOKUP(Calc3!B6,Calc3!$C$4:$N$12,9,0))</f>
        <v>4</v>
      </c>
      <c r="Z34" s="188">
        <f ca="1">IF(Calc3!$K$13=0,"",VLOOKUP(Calc3!B6,Calc3!$C$4:$N$12,10,0))</f>
        <v>1</v>
      </c>
      <c r="AA34" s="188">
        <f ca="1">IF(Calc3!$K$13=0,"",VLOOKUP(Calc3!B6,Calc3!$C$4:$N$12,11,0))</f>
        <v>2</v>
      </c>
      <c r="AB34" s="208">
        <f ca="1">IF(Calc3!$K$13=0,"",VLOOKUP(Calc3!B6,Calc3!$C$4:$N$12,12,0))</f>
        <v>1</v>
      </c>
      <c r="AC34" s="209">
        <f ca="1">IF(Calc3!$K$13=0,"",VLOOKUP(Calc3!B6,Calc3!$C$4:$AT$12,44,0))</f>
        <v>5</v>
      </c>
      <c r="AD34" s="806" t="str">
        <f>Sprache!$E$109</f>
        <v xml:space="preserve"> : </v>
      </c>
      <c r="AE34" s="211">
        <f ca="1">IF(Calc3!$K$13=0,"",VLOOKUP(Calc3!B6,Calc3!$C$4:$AS$12,43,0))</f>
        <v>5</v>
      </c>
      <c r="AF34" s="210">
        <f ca="1">IF(Calc3!$K$13=0,"",AC34-AE34)</f>
        <v>0</v>
      </c>
      <c r="AG34" s="209">
        <f ca="1">IF(Calc3!$K$13=0,"",VLOOKUP(Calc3!B6,Calc3!$C$4:$N$12,5,0))</f>
        <v>174</v>
      </c>
      <c r="AH34" s="806" t="str">
        <f>Sprache!$E$109</f>
        <v xml:space="preserve"> : </v>
      </c>
      <c r="AI34" s="211">
        <f ca="1">IF(Calc3!$K$13=0,"",VLOOKUP(Calc3!B6,Calc3!$C$4:$N$12,6,0))</f>
        <v>179</v>
      </c>
      <c r="AJ34" s="207">
        <f ca="1">IF(Calc3!$K$13=0,"",IF(VLOOKUP(Calc3!B6,Calc3!$C$4:$AV$12,46,0)=Einstellungen!$F$24,"max",VLOOKUP(Calc3!B6,Calc3!$C$4:$AV$12,46,0)))</f>
        <v>-5</v>
      </c>
      <c r="AK34" s="212">
        <f ca="1">IF(Calc3!$K$13=0,"",VLOOKUP(Calc3!B6,Calc3!$C$4:$AT$12,Einstellungen!$H$9,0))</f>
        <v>4</v>
      </c>
      <c r="AL34" s="213" t="str">
        <f ca="1">IFERROR(VLOOKUP($X34&amp;AL$31,Calc3!$Z$64:$AC$207,Einstellungen!$G$29,0),"")</f>
        <v>62 : 71</v>
      </c>
      <c r="AM34" s="391" t="str">
        <f ca="1">IFERROR(VLOOKUP($X34&amp;AM$31,Calc3!$Z$64:$AC$207,Einstellungen!$G$29,0),"")</f>
        <v>45 : 44</v>
      </c>
      <c r="AN34" s="214"/>
      <c r="AO34" s="188" t="str">
        <f ca="1">IFERROR(VLOOKUP($X34&amp;AO$31,Calc3!$Z$64:$AC$207,Einstellungen!$G$29,0),"")</f>
        <v>70 : 61</v>
      </c>
      <c r="AP34" s="188" t="str">
        <f ca="1">IFERROR(VLOOKUP($X34&amp;AP$31,Calc3!$Z$64:$AC$207,Einstellungen!$G$29,0),"")</f>
        <v>42 : 41</v>
      </c>
      <c r="AQ34" s="215" t="str">
        <f ca="1">IFERROR(VLOOKUP($X34&amp;AQ$31,Calc3!$Z$64:$AC$207,Einstellungen!$G$29,0),"")</f>
        <v/>
      </c>
      <c r="AR34" s="216" t="str">
        <f t="shared" ca="1" si="11"/>
        <v>Borussia Dortmund</v>
      </c>
      <c r="AU34" s="417" t="s">
        <v>258</v>
      </c>
      <c r="AV34" s="365" t="str">
        <f>IF(Planung!$C45="","",Planung!$C45)</f>
        <v>Borussia Dortmund</v>
      </c>
      <c r="AW34" s="271"/>
      <c r="AX34" s="785"/>
      <c r="BA34" s="738" t="b">
        <f t="shared" ca="1" si="1"/>
        <v>0</v>
      </c>
      <c r="BB34" s="738" t="b">
        <f t="shared" si="7"/>
        <v>0</v>
      </c>
      <c r="BC34" s="738" t="b">
        <f t="shared" si="8"/>
        <v>0</v>
      </c>
      <c r="BD34" s="738" t="b">
        <f t="shared" si="9"/>
        <v>1</v>
      </c>
      <c r="BE34" s="738" t="b">
        <f t="shared" si="2"/>
        <v>0</v>
      </c>
      <c r="BF34" s="738" t="b">
        <f t="shared" si="3"/>
        <v>0</v>
      </c>
      <c r="BG34" s="738" t="b">
        <f t="shared" si="4"/>
        <v>0</v>
      </c>
    </row>
    <row r="35" spans="2:59" ht="24" customHeight="1" x14ac:dyDescent="0.2">
      <c r="B35" s="326">
        <f ca="1">Planung!$E29</f>
        <v>24</v>
      </c>
      <c r="C35" s="226">
        <f ca="1">Planung!$F29</f>
        <v>0.49652777777777779</v>
      </c>
      <c r="D35" s="227">
        <f ca="1">Planung!$G29</f>
        <v>4</v>
      </c>
      <c r="E35" s="227" t="str">
        <f ca="1">Planung!$H29</f>
        <v>D</v>
      </c>
      <c r="F35" s="228" t="str">
        <f ca="1">Planung!$L29</f>
        <v>HSV</v>
      </c>
      <c r="G35" s="229" t="s">
        <v>4</v>
      </c>
      <c r="H35" s="228" t="str">
        <f ca="1">Planung!$N29</f>
        <v>SV Oberredenburg</v>
      </c>
      <c r="I35" s="230">
        <v>14</v>
      </c>
      <c r="J35" s="829" t="str">
        <f>Sprache!$E$109</f>
        <v xml:space="preserve"> : </v>
      </c>
      <c r="K35" s="601">
        <v>25</v>
      </c>
      <c r="L35" s="230">
        <v>25</v>
      </c>
      <c r="M35" s="829" t="str">
        <f>Sprache!$E$109</f>
        <v xml:space="preserve"> : </v>
      </c>
      <c r="N35" s="601">
        <v>19</v>
      </c>
      <c r="O35" s="230"/>
      <c r="P35" s="736" t="str">
        <f>Sprache!$E$109</f>
        <v xml:space="preserve"> : </v>
      </c>
      <c r="Q35" s="601"/>
      <c r="R35" s="739">
        <f t="shared" ca="1" si="5"/>
        <v>1</v>
      </c>
      <c r="S35" s="732" t="str">
        <f>Sprache!$E$109</f>
        <v xml:space="preserve"> : </v>
      </c>
      <c r="T35" s="733">
        <f t="shared" ca="1" si="6"/>
        <v>1</v>
      </c>
      <c r="U35" s="690" t="str">
        <f>IF(Planung!$O29="","",Planung!$O29)</f>
        <v/>
      </c>
      <c r="W35" s="364">
        <f ca="1">IF(Calc3!$K$13=0,"",IF(VLOOKUP(Calc3!B7,Calc3!$C$4:$E$12,3,0)=MAX(W$32:W34),VLOOKUP(Calc3!B7,Calc3!$C$4:$E$12,3,0),Calc3!B7))</f>
        <v>4</v>
      </c>
      <c r="X35" s="365" t="str">
        <f ca="1">IF(Calc1!$F$14&lt;3,"",IF(Calc3!$K$13=0,Calc3!$Q67,VLOOKUP(Calc3!B7,Calc3!$C$4:$N$12,4,0)))</f>
        <v>FSV Rauen</v>
      </c>
      <c r="Y35" s="207">
        <f ca="1">IF(Calc3!$K$13=0,"",VLOOKUP(Calc3!B7,Calc3!$C$4:$N$12,9,0))</f>
        <v>4</v>
      </c>
      <c r="Z35" s="188">
        <f ca="1">IF(Calc3!$K$13=0,"",VLOOKUP(Calc3!B7,Calc3!$C$4:$N$12,10,0))</f>
        <v>1</v>
      </c>
      <c r="AA35" s="188">
        <f ca="1">IF(Calc3!$K$13=0,"",VLOOKUP(Calc3!B7,Calc3!$C$4:$N$12,11,0))</f>
        <v>1</v>
      </c>
      <c r="AB35" s="208">
        <f ca="1">IF(Calc3!$K$13=0,"",VLOOKUP(Calc3!B7,Calc3!$C$4:$N$12,12,0))</f>
        <v>2</v>
      </c>
      <c r="AC35" s="209">
        <f ca="1">IF(Calc3!$K$13=0,"",VLOOKUP(Calc3!B7,Calc3!$C$4:$AT$12,44,0))</f>
        <v>4</v>
      </c>
      <c r="AD35" s="806" t="str">
        <f>Sprache!$E$109</f>
        <v xml:space="preserve"> : </v>
      </c>
      <c r="AE35" s="211">
        <f ca="1">IF(Calc3!$K$13=0,"",VLOOKUP(Calc3!B7,Calc3!$C$4:$AS$12,43,0))</f>
        <v>5</v>
      </c>
      <c r="AF35" s="210">
        <f ca="1">IF(Calc3!$K$13=0,"",AC35-AE35)</f>
        <v>-1</v>
      </c>
      <c r="AG35" s="209">
        <f ca="1">IF(Calc3!$K$13=0,"",VLOOKUP(Calc3!B7,Calc3!$C$4:$N$12,5,0))</f>
        <v>168</v>
      </c>
      <c r="AH35" s="806" t="str">
        <f>Sprache!$E$109</f>
        <v xml:space="preserve"> : </v>
      </c>
      <c r="AI35" s="211">
        <f ca="1">IF(Calc3!$K$13=0,"",VLOOKUP(Calc3!B7,Calc3!$C$4:$N$12,6,0))</f>
        <v>171</v>
      </c>
      <c r="AJ35" s="207">
        <f ca="1">IF(Calc3!$K$13=0,"",IF(VLOOKUP(Calc3!B7,Calc3!$C$4:$AV$12,46,0)=Einstellungen!$F$24,"max",VLOOKUP(Calc3!B7,Calc3!$C$4:$AV$12,46,0)))</f>
        <v>-3</v>
      </c>
      <c r="AK35" s="212">
        <f ca="1">IF(Calc3!$K$13=0,"",VLOOKUP(Calc3!B7,Calc3!$C$4:$AT$12,Einstellungen!$H$9,0))</f>
        <v>3</v>
      </c>
      <c r="AL35" s="213" t="str">
        <f ca="1">IFERROR(VLOOKUP($X35&amp;AL$31,Calc3!$Z$64:$AC$207,Einstellungen!$G$29,0),"")</f>
        <v>47 : 42</v>
      </c>
      <c r="AM35" s="391" t="str">
        <f ca="1">IFERROR(VLOOKUP($X35&amp;AM$31,Calc3!$Z$64:$AC$207,Einstellungen!$G$29,0),"")</f>
        <v>23 : 50</v>
      </c>
      <c r="AN35" s="188" t="str">
        <f ca="1">IFERROR(VLOOKUP($X35&amp;AN$31,Calc3!$Z$64:$AC$207,Einstellungen!$G$29,0),"")</f>
        <v>61 : 70</v>
      </c>
      <c r="AO35" s="214"/>
      <c r="AP35" s="188" t="str">
        <f ca="1">IFERROR(VLOOKUP($X35&amp;AP$31,Calc3!$Z$64:$AC$207,Einstellungen!$G$29,0),"")</f>
        <v>50 : 34</v>
      </c>
      <c r="AQ35" s="215" t="str">
        <f ca="1">IFERROR(VLOOKUP($X35&amp;AQ$31,Calc3!$Z$64:$AC$207,Einstellungen!$G$29,0),"")</f>
        <v/>
      </c>
      <c r="AR35" s="216" t="str">
        <f t="shared" ca="1" si="11"/>
        <v>FSV Rauen</v>
      </c>
      <c r="AU35" s="417" t="s">
        <v>261</v>
      </c>
      <c r="AV35" s="365" t="str">
        <f>IF(Planung!$C47="","",Planung!$C47)</f>
        <v>FSV Rauen</v>
      </c>
      <c r="AW35" s="271"/>
      <c r="AX35" s="785"/>
      <c r="BA35" s="738" t="b">
        <f t="shared" ca="1" si="1"/>
        <v>0</v>
      </c>
      <c r="BB35" s="738" t="b">
        <f t="shared" si="7"/>
        <v>0</v>
      </c>
      <c r="BC35" s="738" t="b">
        <f t="shared" si="8"/>
        <v>0</v>
      </c>
      <c r="BD35" s="738" t="b">
        <f t="shared" si="9"/>
        <v>1</v>
      </c>
      <c r="BE35" s="738" t="b">
        <f t="shared" si="2"/>
        <v>0</v>
      </c>
      <c r="BF35" s="738" t="b">
        <f t="shared" si="3"/>
        <v>0</v>
      </c>
      <c r="BG35" s="738" t="b">
        <f t="shared" si="4"/>
        <v>0</v>
      </c>
    </row>
    <row r="36" spans="2:59" ht="24" customHeight="1" x14ac:dyDescent="0.2">
      <c r="B36" s="326">
        <f ca="1">Planung!$E30</f>
        <v>25</v>
      </c>
      <c r="C36" s="226">
        <f ca="1">Planung!$F30</f>
        <v>0.52083333333333337</v>
      </c>
      <c r="D36" s="227">
        <f ca="1">Planung!$G30</f>
        <v>1</v>
      </c>
      <c r="E36" s="227" t="str">
        <f ca="1">Planung!$H30</f>
        <v>A</v>
      </c>
      <c r="F36" s="228" t="str">
        <f ca="1">Planung!$L30</f>
        <v>FC Barcelona</v>
      </c>
      <c r="G36" s="229" t="s">
        <v>4</v>
      </c>
      <c r="H36" s="228" t="str">
        <f ca="1">Planung!$N30</f>
        <v>Maibach 1822 eV</v>
      </c>
      <c r="I36" s="230">
        <v>20</v>
      </c>
      <c r="J36" s="829" t="str">
        <f>Sprache!$E$109</f>
        <v xml:space="preserve"> : </v>
      </c>
      <c r="K36" s="601">
        <v>25</v>
      </c>
      <c r="L36" s="230">
        <v>25</v>
      </c>
      <c r="M36" s="829" t="str">
        <f>Sprache!$E$109</f>
        <v xml:space="preserve"> : </v>
      </c>
      <c r="N36" s="601">
        <v>20</v>
      </c>
      <c r="O36" s="230"/>
      <c r="P36" s="736" t="str">
        <f>Sprache!$E$109</f>
        <v xml:space="preserve"> : </v>
      </c>
      <c r="Q36" s="601"/>
      <c r="R36" s="739">
        <f t="shared" ca="1" si="5"/>
        <v>1</v>
      </c>
      <c r="S36" s="732" t="str">
        <f>Sprache!$E$109</f>
        <v xml:space="preserve"> : </v>
      </c>
      <c r="T36" s="733">
        <f t="shared" ca="1" si="6"/>
        <v>1</v>
      </c>
      <c r="U36" s="690" t="str">
        <f>IF(Planung!$O30="","",Planung!$O30)</f>
        <v/>
      </c>
      <c r="W36" s="364">
        <f ca="1">IF(Calc3!$K$13=0,"",IF(VLOOKUP(Calc3!B8,Calc3!$C$4:$E$12,3,0)=MAX(W$32:W35),VLOOKUP(Calc3!B8,Calc3!$C$4:$E$12,3,0),Calc3!B8))</f>
        <v>5</v>
      </c>
      <c r="X36" s="365" t="str">
        <f ca="1">IF(Calc1!$F$14&lt;3,"",IF(Calc3!$K$13=0,Calc3!$Q68,VLOOKUP(Calc3!B8,Calc3!$C$4:$N$12,4,0)))</f>
        <v>1. FC Nürnberg</v>
      </c>
      <c r="Y36" s="207">
        <f ca="1">IF(Calc3!$K$13=0,"",VLOOKUP(Calc3!B8,Calc3!$C$4:$N$12,9,0))</f>
        <v>4</v>
      </c>
      <c r="Z36" s="188">
        <f ca="1">IF(Calc3!$K$13=0,"",VLOOKUP(Calc3!B8,Calc3!$C$4:$N$12,10,0))</f>
        <v>1</v>
      </c>
      <c r="AA36" s="188">
        <f ca="1">IF(Calc3!$K$13=0,"",VLOOKUP(Calc3!B8,Calc3!$C$4:$N$12,11,0))</f>
        <v>1</v>
      </c>
      <c r="AB36" s="208">
        <f ca="1">IF(Calc3!$K$13=0,"",VLOOKUP(Calc3!B8,Calc3!$C$4:$N$12,12,0))</f>
        <v>2</v>
      </c>
      <c r="AC36" s="209">
        <f ca="1">IF(Calc3!$K$13=0,"",VLOOKUP(Calc3!B8,Calc3!$C$4:$AT$12,44,0))</f>
        <v>3</v>
      </c>
      <c r="AD36" s="806" t="str">
        <f>Sprache!$E$109</f>
        <v xml:space="preserve"> : </v>
      </c>
      <c r="AE36" s="211">
        <f ca="1">IF(Calc3!$K$13=0,"",VLOOKUP(Calc3!B8,Calc3!$C$4:$AS$12,43,0))</f>
        <v>5</v>
      </c>
      <c r="AF36" s="210">
        <f ca="1">IF(Calc3!$K$13=0,"",AC36-AE36)</f>
        <v>-2</v>
      </c>
      <c r="AG36" s="209">
        <f ca="1">IF(Calc3!$K$13=0,"",VLOOKUP(Calc3!B8,Calc3!$C$4:$N$12,5,0))</f>
        <v>165</v>
      </c>
      <c r="AH36" s="806" t="str">
        <f>Sprache!$E$109</f>
        <v xml:space="preserve"> : </v>
      </c>
      <c r="AI36" s="211">
        <f ca="1">IF(Calc3!$K$13=0,"",VLOOKUP(Calc3!B8,Calc3!$C$4:$N$12,6,0))</f>
        <v>184</v>
      </c>
      <c r="AJ36" s="207">
        <f ca="1">IF(Calc3!$K$13=0,"",IF(VLOOKUP(Calc3!B8,Calc3!$C$4:$AV$12,46,0)=Einstellungen!$F$24,"max",VLOOKUP(Calc3!B8,Calc3!$C$4:$AV$12,46,0)))</f>
        <v>-19</v>
      </c>
      <c r="AK36" s="212">
        <f ca="1">IF(Calc3!$K$13=0,"",VLOOKUP(Calc3!B8,Calc3!$C$4:$AT$12,Einstellungen!$H$9,0))</f>
        <v>3</v>
      </c>
      <c r="AL36" s="213" t="str">
        <f ca="1">IFERROR(VLOOKUP($X36&amp;AL$31,Calc3!$Z$64:$AC$207,Einstellungen!$G$29,0),"")</f>
        <v>40 : 50</v>
      </c>
      <c r="AM36" s="391" t="str">
        <f ca="1">IFERROR(VLOOKUP($X36&amp;AM$31,Calc3!$Z$64:$AC$207,Einstellungen!$G$29,0),"")</f>
        <v>50 : 42</v>
      </c>
      <c r="AN36" s="188" t="str">
        <f ca="1">IFERROR(VLOOKUP($X36&amp;AN$31,Calc3!$Z$64:$AC$207,Einstellungen!$G$29,0),"")</f>
        <v>41 : 42</v>
      </c>
      <c r="AO36" s="188" t="str">
        <f ca="1">IFERROR(VLOOKUP($X36&amp;AO$31,Calc3!$Z$64:$AC$207,Einstellungen!$G$29,0),"")</f>
        <v>34 : 50</v>
      </c>
      <c r="AP36" s="214"/>
      <c r="AQ36" s="215" t="str">
        <f ca="1">IFERROR(VLOOKUP($X36&amp;AQ$31,Calc3!$Z$64:$AC$207,Einstellungen!$G$29,0),"")</f>
        <v/>
      </c>
      <c r="AR36" s="216" t="str">
        <f t="shared" ca="1" si="11"/>
        <v>1. FC Nürnberg</v>
      </c>
      <c r="AU36" s="417" t="s">
        <v>262</v>
      </c>
      <c r="AV36" s="365" t="str">
        <f>IF(Planung!$C49="","",Planung!$C49)</f>
        <v>1. FC Nürnberg</v>
      </c>
      <c r="AW36" s="271"/>
      <c r="AX36" s="785"/>
      <c r="BA36" s="738" t="b">
        <f t="shared" ca="1" si="1"/>
        <v>0</v>
      </c>
      <c r="BB36" s="738" t="b">
        <f t="shared" si="7"/>
        <v>0</v>
      </c>
      <c r="BC36" s="738" t="b">
        <f t="shared" si="8"/>
        <v>0</v>
      </c>
      <c r="BD36" s="738" t="b">
        <f t="shared" si="9"/>
        <v>1</v>
      </c>
      <c r="BE36" s="738" t="b">
        <f t="shared" si="2"/>
        <v>0</v>
      </c>
      <c r="BF36" s="738" t="b">
        <f t="shared" si="3"/>
        <v>0</v>
      </c>
      <c r="BG36" s="738" t="b">
        <f t="shared" si="4"/>
        <v>0</v>
      </c>
    </row>
    <row r="37" spans="2:59" ht="24" customHeight="1" thickBot="1" x14ac:dyDescent="0.25">
      <c r="B37" s="326">
        <f ca="1">Planung!$E31</f>
        <v>26</v>
      </c>
      <c r="C37" s="226">
        <f ca="1">Planung!$F31</f>
        <v>0.52083333333333337</v>
      </c>
      <c r="D37" s="227">
        <f ca="1">Planung!$G31</f>
        <v>2</v>
      </c>
      <c r="E37" s="227" t="str">
        <f ca="1">Planung!$H31</f>
        <v>B</v>
      </c>
      <c r="F37" s="228" t="str">
        <f ca="1">Planung!$L31</f>
        <v>Inter Mailand</v>
      </c>
      <c r="G37" s="229" t="s">
        <v>4</v>
      </c>
      <c r="H37" s="228" t="str">
        <f ca="1">Planung!$N31</f>
        <v>Manchester City</v>
      </c>
      <c r="I37" s="230">
        <v>19</v>
      </c>
      <c r="J37" s="829" t="str">
        <f>Sprache!$E$109</f>
        <v xml:space="preserve"> : </v>
      </c>
      <c r="K37" s="601">
        <v>25</v>
      </c>
      <c r="L37" s="230">
        <v>25</v>
      </c>
      <c r="M37" s="829" t="str">
        <f>Sprache!$E$109</f>
        <v xml:space="preserve"> : </v>
      </c>
      <c r="N37" s="601">
        <v>21</v>
      </c>
      <c r="O37" s="230"/>
      <c r="P37" s="736" t="str">
        <f>Sprache!$E$109</f>
        <v xml:space="preserve"> : </v>
      </c>
      <c r="Q37" s="601"/>
      <c r="R37" s="739">
        <f t="shared" ca="1" si="5"/>
        <v>1</v>
      </c>
      <c r="S37" s="732" t="str">
        <f>Sprache!$E$109</f>
        <v xml:space="preserve"> : </v>
      </c>
      <c r="T37" s="733">
        <f t="shared" ca="1" si="6"/>
        <v>1</v>
      </c>
      <c r="U37" s="690" t="str">
        <f>IF(Planung!$O31="","",Planung!$O31)</f>
        <v/>
      </c>
      <c r="W37" s="366">
        <f ca="1">IF(Calc3!$K$13=0,"",IF(VLOOKUP(Calc3!B9,Calc3!$C$4:$E$12,3,0)=MAX(W$32:W36),VLOOKUP(Calc3!B9,Calc3!$C$4:$E$12,3,0),Calc3!B9))</f>
        <v>6</v>
      </c>
      <c r="X37" s="367" t="str">
        <f ca="1">IF(Calc1!$F$14&lt;3,"",IF(Calc3!$K$13=0,Calc3!$Q69,VLOOKUP(Calc3!B9,Calc3!$C$4:$N$12,4,0)))</f>
        <v/>
      </c>
      <c r="Y37" s="217">
        <f ca="1">IF(Calc3!$K$13=0,"",VLOOKUP(Calc3!B9,Calc3!$C$4:$N$12,9,0))</f>
        <v>0</v>
      </c>
      <c r="Z37" s="218">
        <f ca="1">IF(Calc3!$K$13=0,"",VLOOKUP(Calc3!B9,Calc3!$C$4:$N$12,10,0))</f>
        <v>0</v>
      </c>
      <c r="AA37" s="218">
        <f ca="1">IF(Calc3!$K$13=0,"",VLOOKUP(Calc3!B9,Calc3!$C$4:$N$12,11,0))</f>
        <v>0</v>
      </c>
      <c r="AB37" s="219">
        <f ca="1">IF(Calc3!$K$13=0,"",VLOOKUP(Calc3!B9,Calc3!$C$4:$N$12,12,0))</f>
        <v>0</v>
      </c>
      <c r="AC37" s="220">
        <f ca="1">IF(Calc3!$K$13=0,"",VLOOKUP(Calc3!B9,Calc3!$C$4:$AT$12,44,0))</f>
        <v>0</v>
      </c>
      <c r="AD37" s="807" t="str">
        <f>Sprache!$E$109</f>
        <v xml:space="preserve"> : </v>
      </c>
      <c r="AE37" s="222">
        <f ca="1">IF(Calc3!$K$13=0,"",VLOOKUP(Calc3!B9,Calc3!$C$4:$AS$12,43,0))</f>
        <v>0</v>
      </c>
      <c r="AF37" s="221">
        <f ca="1">IF(Calc3!$K$13=0,"",AC37-AE37)</f>
        <v>0</v>
      </c>
      <c r="AG37" s="220">
        <f ca="1">IF(Calc3!$K$13=0,"",VLOOKUP(Calc3!B9,Calc3!$C$4:$N$12,5,0))</f>
        <v>0</v>
      </c>
      <c r="AH37" s="807" t="str">
        <f>Sprache!$E$109</f>
        <v xml:space="preserve"> : </v>
      </c>
      <c r="AI37" s="222">
        <f ca="1">IF(Calc3!$K$13=0,"",VLOOKUP(Calc3!B9,Calc3!$C$4:$N$12,6,0))</f>
        <v>0</v>
      </c>
      <c r="AJ37" s="217">
        <f ca="1">IF(Calc3!$K$13=0,"",IF(VLOOKUP(Calc3!B9,Calc3!$C$4:$AV$12,46,0)=Einstellungen!$F$24,"max",VLOOKUP(Calc3!B9,Calc3!$C$4:$AV$12,46,0)))</f>
        <v>0</v>
      </c>
      <c r="AK37" s="223">
        <f ca="1">IF(Calc3!$K$13=0,"",VLOOKUP(Calc3!B9,Calc3!$C$4:$AT$12,Einstellungen!$H$9,0))</f>
        <v>0</v>
      </c>
      <c r="AL37" s="224" t="str">
        <f ca="1">IFERROR(VLOOKUP($X37&amp;AL$31,Calc3!$Z$64:$AC$207,Einstellungen!$G$29,0),"")</f>
        <v/>
      </c>
      <c r="AM37" s="218" t="str">
        <f ca="1">IFERROR(VLOOKUP($X37&amp;AM$31,Calc3!$Z$64:$AC$207,Einstellungen!$G$29,0),"")</f>
        <v/>
      </c>
      <c r="AN37" s="218" t="str">
        <f ca="1">IFERROR(VLOOKUP($X37&amp;AN$31,Calc3!$Z$64:$AC$207,Einstellungen!$G$29,0),"")</f>
        <v/>
      </c>
      <c r="AO37" s="218" t="str">
        <f ca="1">IFERROR(VLOOKUP($X37&amp;AO$31,Calc3!$Z$64:$AC$207,Einstellungen!$G$29,0),"")</f>
        <v/>
      </c>
      <c r="AP37" s="218" t="str">
        <f ca="1">IFERROR(VLOOKUP($X37&amp;AP$31,Calc3!$Z$64:$AC$207,Einstellungen!$G$29,0),"")</f>
        <v/>
      </c>
      <c r="AQ37" s="225"/>
      <c r="AR37" s="295" t="str">
        <f t="shared" ca="1" si="11"/>
        <v/>
      </c>
      <c r="AU37" s="418" t="s">
        <v>263</v>
      </c>
      <c r="AV37" s="367" t="str">
        <f>IF(Planung!$C51="","",Planung!$C51)</f>
        <v/>
      </c>
      <c r="AW37" s="271"/>
      <c r="AX37" s="786"/>
      <c r="BA37" s="738" t="b">
        <f t="shared" ca="1" si="1"/>
        <v>0</v>
      </c>
      <c r="BB37" s="738" t="b">
        <f t="shared" si="7"/>
        <v>0</v>
      </c>
      <c r="BC37" s="738" t="b">
        <f t="shared" si="8"/>
        <v>0</v>
      </c>
      <c r="BD37" s="738" t="b">
        <f t="shared" si="9"/>
        <v>1</v>
      </c>
      <c r="BE37" s="738" t="b">
        <f t="shared" si="2"/>
        <v>0</v>
      </c>
      <c r="BF37" s="738" t="b">
        <f t="shared" si="3"/>
        <v>0</v>
      </c>
      <c r="BG37" s="738" t="b">
        <f t="shared" si="4"/>
        <v>0</v>
      </c>
    </row>
    <row r="38" spans="2:59" ht="24" customHeight="1" thickTop="1" x14ac:dyDescent="0.2">
      <c r="B38" s="326">
        <f ca="1">Planung!$E32</f>
        <v>27</v>
      </c>
      <c r="C38" s="226">
        <f ca="1">Planung!$F32</f>
        <v>0.52083333333333337</v>
      </c>
      <c r="D38" s="227">
        <f ca="1">Planung!$G32</f>
        <v>3</v>
      </c>
      <c r="E38" s="227" t="str">
        <f ca="1">Planung!$H32</f>
        <v>C</v>
      </c>
      <c r="F38" s="228" t="str">
        <f ca="1">Planung!$L32</f>
        <v>Real Madrid</v>
      </c>
      <c r="G38" s="229" t="s">
        <v>4</v>
      </c>
      <c r="H38" s="228" t="str">
        <f ca="1">Planung!$N32</f>
        <v>FSV Rauen</v>
      </c>
      <c r="I38" s="230">
        <v>17</v>
      </c>
      <c r="J38" s="829" t="str">
        <f>Sprache!$E$109</f>
        <v xml:space="preserve"> : </v>
      </c>
      <c r="K38" s="601">
        <v>25</v>
      </c>
      <c r="L38" s="230">
        <v>25</v>
      </c>
      <c r="M38" s="829" t="str">
        <f>Sprache!$E$109</f>
        <v xml:space="preserve"> : </v>
      </c>
      <c r="N38" s="601">
        <v>22</v>
      </c>
      <c r="O38" s="230"/>
      <c r="P38" s="736" t="str">
        <f>Sprache!$E$109</f>
        <v xml:space="preserve"> : </v>
      </c>
      <c r="Q38" s="601"/>
      <c r="R38" s="739">
        <f t="shared" ca="1" si="5"/>
        <v>1</v>
      </c>
      <c r="S38" s="732" t="str">
        <f>Sprache!$E$109</f>
        <v xml:space="preserve"> : </v>
      </c>
      <c r="T38" s="733">
        <f t="shared" ca="1" si="6"/>
        <v>1</v>
      </c>
      <c r="U38" s="690" t="str">
        <f>IF(Planung!$O32="","",Planung!$O32)</f>
        <v/>
      </c>
      <c r="W38" s="270"/>
      <c r="X38" s="271"/>
      <c r="Y38" s="272"/>
      <c r="Z38" s="272"/>
      <c r="AA38" s="272"/>
      <c r="AB38" s="272"/>
      <c r="AC38" s="272"/>
      <c r="AD38" s="272"/>
      <c r="AE38" s="272"/>
      <c r="AF38" s="272"/>
      <c r="AG38" s="273"/>
      <c r="AH38" s="272"/>
      <c r="AI38" s="271"/>
      <c r="AJ38" s="272"/>
      <c r="AK38" s="274"/>
      <c r="AL38" s="272"/>
      <c r="AM38" s="272"/>
      <c r="AN38" s="272"/>
      <c r="AO38" s="272"/>
      <c r="AP38" s="272"/>
      <c r="AQ38" s="272"/>
      <c r="AR38" s="271"/>
      <c r="AW38" s="269"/>
      <c r="AX38" s="269"/>
      <c r="BA38" s="738" t="b">
        <f t="shared" ca="1" si="1"/>
        <v>0</v>
      </c>
      <c r="BB38" s="738" t="b">
        <f t="shared" si="7"/>
        <v>0</v>
      </c>
      <c r="BC38" s="738" t="b">
        <f t="shared" si="8"/>
        <v>0</v>
      </c>
      <c r="BD38" s="738" t="b">
        <f t="shared" si="9"/>
        <v>1</v>
      </c>
      <c r="BE38" s="738" t="b">
        <f t="shared" si="2"/>
        <v>0</v>
      </c>
      <c r="BF38" s="738" t="b">
        <f t="shared" si="3"/>
        <v>0</v>
      </c>
      <c r="BG38" s="738" t="b">
        <f t="shared" si="4"/>
        <v>0</v>
      </c>
    </row>
    <row r="39" spans="2:59" ht="24" customHeight="1" thickBot="1" x14ac:dyDescent="0.25">
      <c r="B39" s="326">
        <f ca="1">Planung!$E33</f>
        <v>28</v>
      </c>
      <c r="C39" s="226">
        <f ca="1">Planung!$F33</f>
        <v>0.52083333333333337</v>
      </c>
      <c r="D39" s="227">
        <f ca="1">Planung!$G33</f>
        <v>4</v>
      </c>
      <c r="E39" s="227" t="str">
        <f ca="1">Planung!$H33</f>
        <v>D</v>
      </c>
      <c r="F39" s="228" t="str">
        <f ca="1">Planung!$L33</f>
        <v>Paris St. Germain</v>
      </c>
      <c r="G39" s="229" t="s">
        <v>4</v>
      </c>
      <c r="H39" s="228" t="str">
        <f ca="1">Planung!$N33</f>
        <v>RB Leipzig</v>
      </c>
      <c r="I39" s="230">
        <v>19</v>
      </c>
      <c r="J39" s="829" t="str">
        <f>Sprache!$E$109</f>
        <v xml:space="preserve"> : </v>
      </c>
      <c r="K39" s="601">
        <v>25</v>
      </c>
      <c r="L39" s="230">
        <v>25</v>
      </c>
      <c r="M39" s="829" t="str">
        <f>Sprache!$E$109</f>
        <v xml:space="preserve"> : </v>
      </c>
      <c r="N39" s="601">
        <v>23</v>
      </c>
      <c r="O39" s="230"/>
      <c r="P39" s="736" t="str">
        <f>Sprache!$E$109</f>
        <v xml:space="preserve"> : </v>
      </c>
      <c r="Q39" s="601"/>
      <c r="R39" s="739">
        <f t="shared" ca="1" si="5"/>
        <v>1</v>
      </c>
      <c r="S39" s="732" t="str">
        <f>Sprache!$E$109</f>
        <v xml:space="preserve"> : </v>
      </c>
      <c r="T39" s="733">
        <f t="shared" ca="1" si="6"/>
        <v>1</v>
      </c>
      <c r="U39" s="690" t="str">
        <f>IF(Planung!$O33="","",Planung!$O33)</f>
        <v/>
      </c>
      <c r="W39" s="270"/>
      <c r="X39" s="271"/>
      <c r="Y39" s="272"/>
      <c r="Z39" s="272"/>
      <c r="AA39" s="272"/>
      <c r="AB39" s="272"/>
      <c r="AC39" s="272"/>
      <c r="AD39" s="272"/>
      <c r="AE39" s="272"/>
      <c r="AF39" s="272"/>
      <c r="AG39" s="273"/>
      <c r="AH39" s="272"/>
      <c r="AI39" s="271"/>
      <c r="AJ39" s="272"/>
      <c r="AK39" s="274"/>
      <c r="AL39" s="272"/>
      <c r="AM39" s="272"/>
      <c r="AN39" s="272"/>
      <c r="AO39" s="272"/>
      <c r="AP39" s="272"/>
      <c r="AQ39" s="272"/>
      <c r="AR39" s="271"/>
      <c r="AW39" s="269"/>
      <c r="AX39" s="269"/>
      <c r="BA39" s="738" t="b">
        <f t="shared" ca="1" si="1"/>
        <v>0</v>
      </c>
      <c r="BB39" s="738" t="b">
        <f t="shared" si="7"/>
        <v>0</v>
      </c>
      <c r="BC39" s="738" t="b">
        <f t="shared" si="8"/>
        <v>0</v>
      </c>
      <c r="BD39" s="738" t="b">
        <f t="shared" si="9"/>
        <v>1</v>
      </c>
      <c r="BE39" s="738" t="b">
        <f t="shared" si="2"/>
        <v>0</v>
      </c>
      <c r="BF39" s="738" t="b">
        <f t="shared" si="3"/>
        <v>0</v>
      </c>
      <c r="BG39" s="738" t="b">
        <f t="shared" si="4"/>
        <v>0</v>
      </c>
    </row>
    <row r="40" spans="2:59" ht="24" customHeight="1" thickBot="1" x14ac:dyDescent="0.45">
      <c r="B40" s="326">
        <f ca="1">Planung!$E34</f>
        <v>29</v>
      </c>
      <c r="C40" s="226">
        <f ca="1">Planung!$F34</f>
        <v>0.54513888888888884</v>
      </c>
      <c r="D40" s="227">
        <f ca="1">Planung!$G34</f>
        <v>1</v>
      </c>
      <c r="E40" s="227" t="str">
        <f ca="1">Planung!$H34</f>
        <v>A</v>
      </c>
      <c r="F40" s="228" t="str">
        <f ca="1">Planung!$L34</f>
        <v>Eintracht Frankfurt</v>
      </c>
      <c r="G40" s="229" t="s">
        <v>4</v>
      </c>
      <c r="H40" s="228" t="str">
        <f ca="1">Planung!$N34</f>
        <v>1. FC Riedwald</v>
      </c>
      <c r="I40" s="230">
        <v>25</v>
      </c>
      <c r="J40" s="829" t="str">
        <f>Sprache!$E$109</f>
        <v xml:space="preserve"> : </v>
      </c>
      <c r="K40" s="601">
        <v>17</v>
      </c>
      <c r="L40" s="230">
        <v>25</v>
      </c>
      <c r="M40" s="829" t="str">
        <f>Sprache!$E$109</f>
        <v xml:space="preserve"> : </v>
      </c>
      <c r="N40" s="601">
        <v>17</v>
      </c>
      <c r="O40" s="230"/>
      <c r="P40" s="736" t="str">
        <f>Sprache!$E$109</f>
        <v xml:space="preserve"> : </v>
      </c>
      <c r="Q40" s="601"/>
      <c r="R40" s="739">
        <f t="shared" ca="1" si="5"/>
        <v>2</v>
      </c>
      <c r="S40" s="732" t="str">
        <f>Sprache!$E$109</f>
        <v xml:space="preserve"> : </v>
      </c>
      <c r="T40" s="733">
        <f t="shared" ca="1" si="6"/>
        <v>0</v>
      </c>
      <c r="U40" s="690" t="str">
        <f>IF(Planung!$O34="","",Planung!$O34)</f>
        <v/>
      </c>
      <c r="W40" s="878" t="str">
        <f>Sprache!$E$16&amp;" D"</f>
        <v>Gruppe D</v>
      </c>
      <c r="X40" s="878"/>
      <c r="Y40" s="189"/>
      <c r="Z40" s="189"/>
      <c r="AA40" s="189"/>
      <c r="AB40" s="189"/>
      <c r="AC40" s="189"/>
      <c r="AD40" s="189"/>
      <c r="AE40" s="189"/>
      <c r="AF40" s="189"/>
      <c r="AG40" s="189"/>
      <c r="AH40" s="189"/>
      <c r="AI40" s="189"/>
      <c r="AJ40" s="189"/>
      <c r="AK40" s="189"/>
      <c r="AL40" s="277" t="str">
        <f ca="1">IF(LEN(X42)&gt;Einstellungen!$C$33,LEFT(X42,Einstellungen!$C$33)&amp;".",X42)</f>
        <v>TSG Saa.</v>
      </c>
      <c r="AM40" s="278" t="str">
        <f ca="1">IF(LEN(X43)&gt;Einstellungen!$C$33,LEFT(X43,Einstellungen!$C$33)&amp;".",X43)</f>
        <v>Paris S.</v>
      </c>
      <c r="AN40" s="278" t="str">
        <f ca="1">IF(LEN(X44)&gt;Einstellungen!$C$33,LEFT(X44,Einstellungen!$C$33)&amp;".",X44)</f>
        <v>RB Leip.</v>
      </c>
      <c r="AO40" s="278" t="str">
        <f ca="1">IF(LEN(X45)&gt;Einstellungen!$C$33,LEFT(X45,Einstellungen!$C$33)&amp;".",X45)</f>
        <v>HSV</v>
      </c>
      <c r="AP40" s="278" t="str">
        <f ca="1">IF(LEN(X46)&gt;Einstellungen!$C$33,LEFT(X46,Einstellungen!$C$33)&amp;".",X46)</f>
        <v>SV Ober.</v>
      </c>
      <c r="AQ40" s="279" t="str">
        <f ca="1">IF(LEN(X47)&gt;Einstellungen!$C$33,LEFT(X47,Einstellungen!$C$33)&amp;".",X47)</f>
        <v/>
      </c>
      <c r="AR40" s="190"/>
      <c r="AU40" s="878" t="str">
        <f>Sprache!$E$16&amp;" D"</f>
        <v>Gruppe D</v>
      </c>
      <c r="AV40" s="878"/>
      <c r="AW40" s="640"/>
      <c r="AX40" s="269"/>
      <c r="BA40" s="738" t="b">
        <f t="shared" ca="1" si="1"/>
        <v>0</v>
      </c>
      <c r="BB40" s="738" t="b">
        <f t="shared" si="7"/>
        <v>0</v>
      </c>
      <c r="BC40" s="738" t="b">
        <f t="shared" si="8"/>
        <v>0</v>
      </c>
      <c r="BD40" s="738" t="b">
        <f t="shared" si="9"/>
        <v>1</v>
      </c>
      <c r="BE40" s="738" t="b">
        <f t="shared" si="2"/>
        <v>0</v>
      </c>
      <c r="BF40" s="738" t="b">
        <f t="shared" si="3"/>
        <v>0</v>
      </c>
      <c r="BG40" s="738" t="b">
        <f t="shared" si="4"/>
        <v>0</v>
      </c>
    </row>
    <row r="41" spans="2:59" ht="24" customHeight="1" thickTop="1" thickBot="1" x14ac:dyDescent="0.25">
      <c r="B41" s="326">
        <f ca="1">Planung!$E35</f>
        <v>30</v>
      </c>
      <c r="C41" s="226">
        <f ca="1">Planung!$F35</f>
        <v>0.54513888888888884</v>
      </c>
      <c r="D41" s="227">
        <f ca="1">Planung!$G35</f>
        <v>2</v>
      </c>
      <c r="E41" s="227" t="str">
        <f ca="1">Planung!$H35</f>
        <v>B</v>
      </c>
      <c r="F41" s="228" t="str">
        <f ca="1">Planung!$L35</f>
        <v>SSV Wildbach</v>
      </c>
      <c r="G41" s="229" t="s">
        <v>4</v>
      </c>
      <c r="H41" s="228" t="str">
        <f ca="1">Planung!$N35</f>
        <v>Mainz 05</v>
      </c>
      <c r="I41" s="230">
        <v>14</v>
      </c>
      <c r="J41" s="829" t="str">
        <f>Sprache!$E$109</f>
        <v xml:space="preserve"> : </v>
      </c>
      <c r="K41" s="601">
        <v>25</v>
      </c>
      <c r="L41" s="230">
        <v>25</v>
      </c>
      <c r="M41" s="829" t="str">
        <f>Sprache!$E$109</f>
        <v xml:space="preserve"> : </v>
      </c>
      <c r="N41" s="601">
        <v>18</v>
      </c>
      <c r="O41" s="230"/>
      <c r="P41" s="736" t="str">
        <f>Sprache!$E$109</f>
        <v xml:space="preserve"> : </v>
      </c>
      <c r="Q41" s="601"/>
      <c r="R41" s="739">
        <f t="shared" ca="1" si="5"/>
        <v>1</v>
      </c>
      <c r="S41" s="732" t="str">
        <f>Sprache!$E$109</f>
        <v xml:space="preserve"> : </v>
      </c>
      <c r="T41" s="733">
        <f t="shared" ca="1" si="6"/>
        <v>1</v>
      </c>
      <c r="U41" s="690" t="str">
        <f>IF(Planung!$O35="","",Planung!$O35)</f>
        <v/>
      </c>
      <c r="W41" s="879"/>
      <c r="X41" s="880"/>
      <c r="Y41" s="191" t="str">
        <f>Sprache!$E$21</f>
        <v>SP</v>
      </c>
      <c r="Z41" s="192" t="str">
        <f>Sprache!$E$22</f>
        <v>G</v>
      </c>
      <c r="AA41" s="192" t="str">
        <f>Sprache!$E$23</f>
        <v>U</v>
      </c>
      <c r="AB41" s="431" t="str">
        <f>Sprache!$E$24</f>
        <v>V</v>
      </c>
      <c r="AC41" s="884" t="str">
        <f>Sprache!$E$25</f>
        <v>Sätze</v>
      </c>
      <c r="AD41" s="885"/>
      <c r="AE41" s="886"/>
      <c r="AF41" s="731" t="str">
        <f>Sprache!$E$26</f>
        <v>Diff.</v>
      </c>
      <c r="AG41" s="881" t="str">
        <f>Sprache!$E$74</f>
        <v>Bälle</v>
      </c>
      <c r="AH41" s="882"/>
      <c r="AI41" s="883"/>
      <c r="AJ41" s="192" t="str">
        <f>IF(Einstellungen!$G$24,Sprache!$E$26,Sprache!$E$80)</f>
        <v>Diff.</v>
      </c>
      <c r="AK41" s="194" t="str">
        <f>IF(Einstellungen!$G$9,Sprache!$E$27,Sprache!$E$91)</f>
        <v>Pkt</v>
      </c>
      <c r="AL41" s="195" t="str">
        <f ca="1">X42</f>
        <v>TSG Saalberg eV</v>
      </c>
      <c r="AM41" s="196" t="str">
        <f ca="1">X43</f>
        <v>Paris St. Germain</v>
      </c>
      <c r="AN41" s="196" t="str">
        <f ca="1">X44</f>
        <v>RB Leipzig</v>
      </c>
      <c r="AO41" s="196" t="str">
        <f ca="1">X45</f>
        <v>HSV</v>
      </c>
      <c r="AP41" s="196" t="str">
        <f ca="1">X46</f>
        <v>SV Oberredenburg</v>
      </c>
      <c r="AQ41" s="585" t="str">
        <f ca="1">X47</f>
        <v/>
      </c>
      <c r="AR41" s="190"/>
      <c r="AU41" s="415" t="str">
        <f>Sprache!$E$9</f>
        <v>Nr.</v>
      </c>
      <c r="AV41" s="638" t="str">
        <f>Sprache!$E$10</f>
        <v>Teilnehmer bzw. Mannschaft</v>
      </c>
      <c r="AW41" s="641"/>
      <c r="AX41" s="446"/>
      <c r="BA41" s="738" t="b">
        <f t="shared" ca="1" si="1"/>
        <v>0</v>
      </c>
      <c r="BB41" s="738" t="b">
        <f t="shared" si="7"/>
        <v>0</v>
      </c>
      <c r="BC41" s="738" t="b">
        <f t="shared" si="8"/>
        <v>0</v>
      </c>
      <c r="BD41" s="738" t="b">
        <f t="shared" si="9"/>
        <v>1</v>
      </c>
      <c r="BE41" s="738" t="b">
        <f t="shared" si="2"/>
        <v>0</v>
      </c>
      <c r="BF41" s="738" t="b">
        <f t="shared" si="3"/>
        <v>0</v>
      </c>
      <c r="BG41" s="738" t="b">
        <f t="shared" si="4"/>
        <v>0</v>
      </c>
    </row>
    <row r="42" spans="2:59" ht="24" customHeight="1" x14ac:dyDescent="0.2">
      <c r="B42" s="326">
        <f ca="1">Planung!$E36</f>
        <v>31</v>
      </c>
      <c r="C42" s="226">
        <f ca="1">Planung!$F36</f>
        <v>0.54513888888888884</v>
      </c>
      <c r="D42" s="227">
        <f ca="1">Planung!$G36</f>
        <v>3</v>
      </c>
      <c r="E42" s="227" t="str">
        <f ca="1">Planung!$H36</f>
        <v>C</v>
      </c>
      <c r="F42" s="228" t="str">
        <f ca="1">Planung!$L36</f>
        <v>Borussia Dortmund</v>
      </c>
      <c r="G42" s="229" t="s">
        <v>4</v>
      </c>
      <c r="H42" s="228" t="str">
        <f ca="1">Planung!$N36</f>
        <v>Kickers Rodendorf</v>
      </c>
      <c r="I42" s="230">
        <v>20</v>
      </c>
      <c r="J42" s="829" t="str">
        <f>Sprache!$E$109</f>
        <v xml:space="preserve"> : </v>
      </c>
      <c r="K42" s="601">
        <v>25</v>
      </c>
      <c r="L42" s="230">
        <v>25</v>
      </c>
      <c r="M42" s="829" t="str">
        <f>Sprache!$E$109</f>
        <v xml:space="preserve"> : </v>
      </c>
      <c r="N42" s="601">
        <v>19</v>
      </c>
      <c r="O42" s="230"/>
      <c r="P42" s="736" t="str">
        <f>Sprache!$E$109</f>
        <v xml:space="preserve"> : </v>
      </c>
      <c r="Q42" s="601"/>
      <c r="R42" s="739">
        <f t="shared" ca="1" si="5"/>
        <v>1</v>
      </c>
      <c r="S42" s="732" t="str">
        <f>Sprache!$E$109</f>
        <v xml:space="preserve"> : </v>
      </c>
      <c r="T42" s="733">
        <f t="shared" ca="1" si="6"/>
        <v>1</v>
      </c>
      <c r="U42" s="690" t="str">
        <f>IF(Planung!$O36="","",Planung!$O36)</f>
        <v/>
      </c>
      <c r="W42" s="362">
        <f ca="1">IF(Calc4!$K$13=0,"",1)</f>
        <v>1</v>
      </c>
      <c r="X42" s="363" t="str">
        <f ca="1">IF(Calc1!$F$14&lt;3,"",IF(Calc4!$K$13=0,Calc4!$Q64,VLOOKUP(Calc4!B4,Calc4!$C$4:$N$12,4,0)))</f>
        <v>TSG Saalberg eV</v>
      </c>
      <c r="Y42" s="197">
        <f ca="1">IF(Calc4!$K$13=0,"",VLOOKUP(Calc4!B4,Calc4!$C$4:$N$12,9,0))</f>
        <v>4</v>
      </c>
      <c r="Z42" s="198">
        <f ca="1">IF(Calc4!$K$13=0,"",VLOOKUP(Calc4!B4,Calc4!$C$4:$N$12,10,0))</f>
        <v>2</v>
      </c>
      <c r="AA42" s="198">
        <f ca="1">IF(Calc4!$K$13=0,"",VLOOKUP(Calc4!B4,Calc4!$C$4:$N$12,11,0))</f>
        <v>2</v>
      </c>
      <c r="AB42" s="199">
        <f ca="1">IF(Calc4!$K$13=0,"",VLOOKUP(Calc4!B4,Calc4!$C$4:$N$12,12,0))</f>
        <v>0</v>
      </c>
      <c r="AC42" s="200">
        <f ca="1">IF(Calc4!$K$13=0,"",VLOOKUP(Calc4!B4,Calc4!$C$4:$AT$12,44,0))</f>
        <v>6</v>
      </c>
      <c r="AD42" s="805" t="str">
        <f>Sprache!$E$109</f>
        <v xml:space="preserve"> : </v>
      </c>
      <c r="AE42" s="202">
        <f ca="1">IF(Calc4!$K$13=0,"",VLOOKUP(Calc4!B4,Calc4!$C$4:$AS$12,43,0))</f>
        <v>2</v>
      </c>
      <c r="AF42" s="201">
        <f ca="1">IF(Calc4!$K$13=0,"",AC42-AE42)</f>
        <v>4</v>
      </c>
      <c r="AG42" s="200">
        <f ca="1">IF(Calc4!$K$13=0,"",VLOOKUP(Calc4!B4,Calc4!$C$4:$N$12,5,0))</f>
        <v>188</v>
      </c>
      <c r="AH42" s="805" t="str">
        <f>Sprache!$E$109</f>
        <v xml:space="preserve"> : </v>
      </c>
      <c r="AI42" s="202">
        <f ca="1">IF(Calc4!$K$13=0,"",VLOOKUP(Calc4!B4,Calc4!$C$4:$N$12,6,0))</f>
        <v>156</v>
      </c>
      <c r="AJ42" s="197">
        <f ca="1">IF(Calc4!$K$13=0,"",IF(VLOOKUP(Calc4!B4,Calc4!$C$4:$AV$12,46,0)=Einstellungen!$F$24,"max",VLOOKUP(Calc4!B4,Calc4!$C$4:$AV$12,46,0)))</f>
        <v>32</v>
      </c>
      <c r="AK42" s="203">
        <f ca="1">IF(Calc4!$K$13=0,"",VLOOKUP(Calc4!B4,Calc4!$C$4:$AT$12,Einstellungen!$H$9,0))</f>
        <v>6</v>
      </c>
      <c r="AL42" s="204"/>
      <c r="AM42" s="198" t="str">
        <f ca="1">IFERROR(VLOOKUP($X42&amp;AM$41,Calc4!$Z$64:$AC$207,Einstellungen!$G$29,0),"")</f>
        <v>43 : 46</v>
      </c>
      <c r="AN42" s="198" t="str">
        <f ca="1">IFERROR(VLOOKUP($X42&amp;AN$41,Calc4!$Z$64:$AC$207,Einstellungen!$G$29,0),"")</f>
        <v>50 : 24</v>
      </c>
      <c r="AO42" s="198" t="str">
        <f ca="1">IFERROR(VLOOKUP($X42&amp;AO$41,Calc4!$Z$64:$AC$207,Einstellungen!$G$29,0),"")</f>
        <v>45 : 44</v>
      </c>
      <c r="AP42" s="198" t="str">
        <f ca="1">IFERROR(VLOOKUP($X42&amp;AP$41,Calc4!$Z$64:$AC$207,Einstellungen!$G$29,0),"")</f>
        <v>50 : 42</v>
      </c>
      <c r="AQ42" s="205" t="str">
        <f ca="1">IFERROR(VLOOKUP($X42&amp;AQ$41,Calc4!$Z$64:$AC$207,Einstellungen!$G$29,0),"")</f>
        <v/>
      </c>
      <c r="AR42" s="206" t="str">
        <f t="shared" ref="AR42:AR47" ca="1" si="12">X42</f>
        <v>TSG Saalberg eV</v>
      </c>
      <c r="AU42" s="416" t="s">
        <v>297</v>
      </c>
      <c r="AV42" s="639" t="str">
        <f>IF(Planung!$C58="","",Planung!$C58)</f>
        <v>TSG Saalberg eV</v>
      </c>
      <c r="AW42" s="271"/>
      <c r="AX42" s="784"/>
      <c r="BA42" s="738" t="b">
        <f t="shared" ca="1" si="1"/>
        <v>0</v>
      </c>
      <c r="BB42" s="738" t="b">
        <f t="shared" si="7"/>
        <v>0</v>
      </c>
      <c r="BC42" s="738" t="b">
        <f t="shared" si="8"/>
        <v>0</v>
      </c>
      <c r="BD42" s="738" t="b">
        <f t="shared" si="9"/>
        <v>1</v>
      </c>
      <c r="BE42" s="738" t="b">
        <f t="shared" si="2"/>
        <v>0</v>
      </c>
      <c r="BF42" s="738" t="b">
        <f t="shared" si="3"/>
        <v>0</v>
      </c>
      <c r="BG42" s="738" t="b">
        <f t="shared" si="4"/>
        <v>0</v>
      </c>
    </row>
    <row r="43" spans="2:59" ht="24" customHeight="1" x14ac:dyDescent="0.2">
      <c r="B43" s="326">
        <f ca="1">Planung!$E37</f>
        <v>32</v>
      </c>
      <c r="C43" s="226">
        <f ca="1">Planung!$F37</f>
        <v>0.54513888888888884</v>
      </c>
      <c r="D43" s="227">
        <f ca="1">Planung!$G37</f>
        <v>4</v>
      </c>
      <c r="E43" s="227" t="str">
        <f ca="1">Planung!$H37</f>
        <v>D</v>
      </c>
      <c r="F43" s="228" t="str">
        <f ca="1">Planung!$L37</f>
        <v>HSV</v>
      </c>
      <c r="G43" s="229" t="s">
        <v>4</v>
      </c>
      <c r="H43" s="228" t="str">
        <f ca="1">Planung!$N37</f>
        <v>TSG Saalberg eV</v>
      </c>
      <c r="I43" s="230">
        <v>19</v>
      </c>
      <c r="J43" s="829" t="str">
        <f>Sprache!$E$109</f>
        <v xml:space="preserve"> : </v>
      </c>
      <c r="K43" s="601">
        <v>25</v>
      </c>
      <c r="L43" s="230">
        <v>25</v>
      </c>
      <c r="M43" s="829" t="str">
        <f>Sprache!$E$109</f>
        <v xml:space="preserve"> : </v>
      </c>
      <c r="N43" s="601">
        <v>20</v>
      </c>
      <c r="O43" s="230"/>
      <c r="P43" s="736" t="str">
        <f>Sprache!$E$109</f>
        <v xml:space="preserve"> : </v>
      </c>
      <c r="Q43" s="601"/>
      <c r="R43" s="739">
        <f t="shared" ca="1" si="5"/>
        <v>1</v>
      </c>
      <c r="S43" s="732" t="str">
        <f>Sprache!$E$109</f>
        <v xml:space="preserve"> : </v>
      </c>
      <c r="T43" s="733">
        <f t="shared" ca="1" si="6"/>
        <v>1</v>
      </c>
      <c r="U43" s="690" t="str">
        <f>IF(Planung!$O37="","",Planung!$O37)</f>
        <v/>
      </c>
      <c r="W43" s="364">
        <f ca="1">IF(Calc4!$K$13=0,"",IF(VLOOKUP(Calc4!B5,Calc4!$C$4:$E$12,3,0)=MAX(W$42:W42),VLOOKUP(Calc4!B5,Calc4!$C$4:$E$12,3,0),Calc4!B5))</f>
        <v>2</v>
      </c>
      <c r="X43" s="365" t="str">
        <f ca="1">IF(Calc1!$F$14&lt;3,"",IF(Calc4!$K$13=0,Calc4!$Q65,VLOOKUP(Calc4!B5,Calc4!$C$4:$N$12,4,0)))</f>
        <v>Paris St. Germain</v>
      </c>
      <c r="Y43" s="207">
        <f ca="1">IF(Calc4!$K$13=0,"",VLOOKUP(Calc4!B5,Calc4!$C$4:$N$12,9,0))</f>
        <v>4</v>
      </c>
      <c r="Z43" s="188">
        <f ca="1">IF(Calc4!$K$13=0,"",VLOOKUP(Calc4!B5,Calc4!$C$4:$N$12,10,0))</f>
        <v>2</v>
      </c>
      <c r="AA43" s="188">
        <f ca="1">IF(Calc4!$K$13=0,"",VLOOKUP(Calc4!B5,Calc4!$C$4:$N$12,11,0))</f>
        <v>2</v>
      </c>
      <c r="AB43" s="208">
        <f ca="1">IF(Calc4!$K$13=0,"",VLOOKUP(Calc4!B5,Calc4!$C$4:$N$12,12,0))</f>
        <v>0</v>
      </c>
      <c r="AC43" s="209">
        <f ca="1">IF(Calc4!$K$13=0,"",VLOOKUP(Calc4!B5,Calc4!$C$4:$AT$12,44,0))</f>
        <v>6</v>
      </c>
      <c r="AD43" s="806" t="str">
        <f>Sprache!$E$109</f>
        <v xml:space="preserve"> : </v>
      </c>
      <c r="AE43" s="211">
        <f ca="1">IF(Calc4!$K$13=0,"",VLOOKUP(Calc4!B5,Calc4!$C$4:$AS$12,43,0))</f>
        <v>2</v>
      </c>
      <c r="AF43" s="210">
        <f ca="1">IF(Calc4!$K$13=0,"",AC43-AE43)</f>
        <v>4</v>
      </c>
      <c r="AG43" s="209">
        <f ca="1">IF(Calc4!$K$13=0,"",VLOOKUP(Calc4!B5,Calc4!$C$4:$N$12,5,0))</f>
        <v>190</v>
      </c>
      <c r="AH43" s="806" t="str">
        <f>Sprache!$E$109</f>
        <v xml:space="preserve"> : </v>
      </c>
      <c r="AI43" s="211">
        <f ca="1">IF(Calc4!$K$13=0,"",VLOOKUP(Calc4!B5,Calc4!$C$4:$N$12,6,0))</f>
        <v>160</v>
      </c>
      <c r="AJ43" s="207">
        <f ca="1">IF(Calc4!$K$13=0,"",IF(VLOOKUP(Calc4!B5,Calc4!$C$4:$AV$12,46,0)=Einstellungen!$F$24,"max",VLOOKUP(Calc4!B5,Calc4!$C$4:$AV$12,46,0)))</f>
        <v>30</v>
      </c>
      <c r="AK43" s="212">
        <f ca="1">IF(Calc4!$K$13=0,"",VLOOKUP(Calc4!B5,Calc4!$C$4:$AT$12,Einstellungen!$H$9,0))</f>
        <v>6</v>
      </c>
      <c r="AL43" s="213" t="str">
        <f ca="1">IFERROR(VLOOKUP($X43&amp;AL$41,Calc4!$Z$64:$AC$207,Einstellungen!$G$29,0),"")</f>
        <v>46 : 43</v>
      </c>
      <c r="AM43" s="214"/>
      <c r="AN43" s="188" t="str">
        <f ca="1">IFERROR(VLOOKUP($X43&amp;AN$41,Calc4!$Z$64:$AC$207,Einstellungen!$G$29,0),"")</f>
        <v>44 : 48</v>
      </c>
      <c r="AO43" s="188" t="str">
        <f ca="1">IFERROR(VLOOKUP($X43&amp;AO$41,Calc4!$Z$64:$AC$207,Einstellungen!$G$29,0),"")</f>
        <v>50 : 30</v>
      </c>
      <c r="AP43" s="188" t="str">
        <f ca="1">IFERROR(VLOOKUP($X43&amp;AP$41,Calc4!$Z$64:$AC$207,Einstellungen!$G$29,0),"")</f>
        <v>50 : 39</v>
      </c>
      <c r="AQ43" s="215" t="str">
        <f ca="1">IFERROR(VLOOKUP($X43&amp;AQ$41,Calc4!$Z$64:$AC$207,Einstellungen!$G$29,0),"")</f>
        <v/>
      </c>
      <c r="AR43" s="216" t="str">
        <f t="shared" ca="1" si="12"/>
        <v>Paris St. Germain</v>
      </c>
      <c r="AU43" s="417" t="s">
        <v>298</v>
      </c>
      <c r="AV43" s="365" t="str">
        <f>IF(Planung!$C60="","",Planung!$C60)</f>
        <v>Paris St. Germain</v>
      </c>
      <c r="AW43" s="271"/>
      <c r="AX43" s="785"/>
      <c r="BA43" s="738" t="b">
        <f t="shared" ca="1" si="1"/>
        <v>0</v>
      </c>
      <c r="BB43" s="738" t="b">
        <f t="shared" si="7"/>
        <v>0</v>
      </c>
      <c r="BC43" s="738" t="b">
        <f t="shared" si="8"/>
        <v>0</v>
      </c>
      <c r="BD43" s="738" t="b">
        <f t="shared" si="9"/>
        <v>1</v>
      </c>
      <c r="BE43" s="738" t="b">
        <f t="shared" si="2"/>
        <v>0</v>
      </c>
      <c r="BF43" s="738" t="b">
        <f t="shared" si="3"/>
        <v>0</v>
      </c>
      <c r="BG43" s="738" t="b">
        <f t="shared" si="4"/>
        <v>0</v>
      </c>
    </row>
    <row r="44" spans="2:59" ht="24" customHeight="1" x14ac:dyDescent="0.2">
      <c r="B44" s="326">
        <f ca="1">Planung!$E38</f>
        <v>33</v>
      </c>
      <c r="C44" s="226">
        <f ca="1">Planung!$F38</f>
        <v>0.56944444444444442</v>
      </c>
      <c r="D44" s="227">
        <f ca="1">Planung!$G38</f>
        <v>1</v>
      </c>
      <c r="E44" s="227" t="str">
        <f ca="1">Planung!$H38</f>
        <v>A</v>
      </c>
      <c r="F44" s="228" t="str">
        <f ca="1">Planung!$L38</f>
        <v>Maibach 1822 eV</v>
      </c>
      <c r="G44" s="229" t="s">
        <v>4</v>
      </c>
      <c r="H44" s="228" t="str">
        <f ca="1">Planung!$N38</f>
        <v>VFB Essenheim</v>
      </c>
      <c r="I44" s="230">
        <v>17</v>
      </c>
      <c r="J44" s="829" t="str">
        <f>Sprache!$E$109</f>
        <v xml:space="preserve"> : </v>
      </c>
      <c r="K44" s="601">
        <v>25</v>
      </c>
      <c r="L44" s="230">
        <v>25</v>
      </c>
      <c r="M44" s="829" t="str">
        <f>Sprache!$E$109</f>
        <v xml:space="preserve"> : </v>
      </c>
      <c r="N44" s="601">
        <v>21</v>
      </c>
      <c r="O44" s="230"/>
      <c r="P44" s="736" t="str">
        <f>Sprache!$E$109</f>
        <v xml:space="preserve"> : </v>
      </c>
      <c r="Q44" s="601"/>
      <c r="R44" s="739">
        <f t="shared" ca="1" si="5"/>
        <v>1</v>
      </c>
      <c r="S44" s="732" t="str">
        <f>Sprache!$E$109</f>
        <v xml:space="preserve"> : </v>
      </c>
      <c r="T44" s="733">
        <f t="shared" ca="1" si="6"/>
        <v>1</v>
      </c>
      <c r="U44" s="690" t="str">
        <f>IF(Planung!$O38="","",Planung!$O38)</f>
        <v/>
      </c>
      <c r="W44" s="364">
        <f ca="1">IF(Calc4!$K$13=0,"",IF(VLOOKUP(Calc4!B6,Calc4!$C$4:$E$12,3,0)=MAX(W$42:W43),VLOOKUP(Calc4!B6,Calc4!$C$4:$E$12,3,0),Calc4!B6))</f>
        <v>3</v>
      </c>
      <c r="X44" s="365" t="str">
        <f ca="1">IF(Calc1!$F$14&lt;3,"",IF(Calc4!$K$13=0,Calc4!$Q66,VLOOKUP(Calc4!B6,Calc4!$C$4:$N$12,4,0)))</f>
        <v>RB Leipzig</v>
      </c>
      <c r="Y44" s="207">
        <f ca="1">IF(Calc4!$K$13=0,"",VLOOKUP(Calc4!B6,Calc4!$C$4:$N$12,9,0))</f>
        <v>4</v>
      </c>
      <c r="Z44" s="188">
        <f ca="1">IF(Calc4!$K$13=0,"",VLOOKUP(Calc4!B6,Calc4!$C$4:$N$12,10,0))</f>
        <v>2</v>
      </c>
      <c r="AA44" s="188">
        <f ca="1">IF(Calc4!$K$13=0,"",VLOOKUP(Calc4!B6,Calc4!$C$4:$N$12,11,0))</f>
        <v>1</v>
      </c>
      <c r="AB44" s="208">
        <f ca="1">IF(Calc4!$K$13=0,"",VLOOKUP(Calc4!B6,Calc4!$C$4:$N$12,12,0))</f>
        <v>1</v>
      </c>
      <c r="AC44" s="209">
        <f ca="1">IF(Calc4!$K$13=0,"",VLOOKUP(Calc4!B6,Calc4!$C$4:$AT$12,44,0))</f>
        <v>5</v>
      </c>
      <c r="AD44" s="806" t="str">
        <f>Sprache!$E$109</f>
        <v xml:space="preserve"> : </v>
      </c>
      <c r="AE44" s="211">
        <f ca="1">IF(Calc4!$K$13=0,"",VLOOKUP(Calc4!B6,Calc4!$C$4:$AS$12,43,0))</f>
        <v>4</v>
      </c>
      <c r="AF44" s="210">
        <f ca="1">IF(Calc4!$K$13=0,"",AC44-AE44)</f>
        <v>1</v>
      </c>
      <c r="AG44" s="209">
        <f ca="1">IF(Calc4!$K$13=0,"",VLOOKUP(Calc4!B6,Calc4!$C$4:$N$12,5,0))</f>
        <v>164</v>
      </c>
      <c r="AH44" s="806" t="str">
        <f>Sprache!$E$109</f>
        <v xml:space="preserve"> : </v>
      </c>
      <c r="AI44" s="211">
        <f ca="1">IF(Calc4!$K$13=0,"",VLOOKUP(Calc4!B6,Calc4!$C$4:$N$12,6,0))</f>
        <v>174</v>
      </c>
      <c r="AJ44" s="207">
        <f ca="1">IF(Calc4!$K$13=0,"",IF(VLOOKUP(Calc4!B6,Calc4!$C$4:$AV$12,46,0)=Einstellungen!$F$24,"max",VLOOKUP(Calc4!B6,Calc4!$C$4:$AV$12,46,0)))</f>
        <v>-10</v>
      </c>
      <c r="AK44" s="212">
        <f ca="1">IF(Calc4!$K$13=0,"",VLOOKUP(Calc4!B6,Calc4!$C$4:$AT$12,Einstellungen!$H$9,0))</f>
        <v>5</v>
      </c>
      <c r="AL44" s="213" t="str">
        <f ca="1">IFERROR(VLOOKUP($X44&amp;AL$41,Calc4!$Z$64:$AC$207,Einstellungen!$G$29,0),"")</f>
        <v>24 : 50</v>
      </c>
      <c r="AM44" s="391" t="str">
        <f ca="1">IFERROR(VLOOKUP($X44&amp;AM$41,Calc4!$Z$64:$AC$207,Einstellungen!$G$29,0),"")</f>
        <v>48 : 44</v>
      </c>
      <c r="AN44" s="214"/>
      <c r="AO44" s="188" t="str">
        <f ca="1">IFERROR(VLOOKUP($X44&amp;AO$41,Calc4!$Z$64:$AC$207,Einstellungen!$G$29,0),"")</f>
        <v>67 : 66</v>
      </c>
      <c r="AP44" s="188" t="str">
        <f ca="1">IFERROR(VLOOKUP($X44&amp;AP$41,Calc4!$Z$64:$AC$207,Einstellungen!$G$29,0),"")</f>
        <v>50 : 36</v>
      </c>
      <c r="AQ44" s="215" t="str">
        <f ca="1">IFERROR(VLOOKUP($X44&amp;AQ$41,Calc4!$Z$64:$AC$207,Einstellungen!$G$29,0),"")</f>
        <v/>
      </c>
      <c r="AR44" s="216" t="str">
        <f t="shared" ca="1" si="12"/>
        <v>RB Leipzig</v>
      </c>
      <c r="AU44" s="417" t="s">
        <v>299</v>
      </c>
      <c r="AV44" s="365" t="str">
        <f>IF(Planung!$C62="","",Planung!$C62)</f>
        <v>HSV</v>
      </c>
      <c r="AW44" s="271"/>
      <c r="AX44" s="785"/>
      <c r="BA44" s="738" t="b">
        <f t="shared" ref="BA44:BA71" ca="1" si="13">OR(F44="",H44="",AND(OR(I44="",K44="",BB44),OR(L44="",N44="",BC44),OR(O44="",Q44="",BD44)))</f>
        <v>0</v>
      </c>
      <c r="BB44" s="738" t="b">
        <f t="shared" si="7"/>
        <v>0</v>
      </c>
      <c r="BC44" s="738" t="b">
        <f t="shared" si="8"/>
        <v>0</v>
      </c>
      <c r="BD44" s="738" t="b">
        <f t="shared" si="9"/>
        <v>1</v>
      </c>
      <c r="BE44" s="738" t="b">
        <f t="shared" ref="BE44:BE71" si="14">AND(BB44,I44&lt;&gt;"",K44&lt;&gt;"")</f>
        <v>0</v>
      </c>
      <c r="BF44" s="738" t="b">
        <f t="shared" ref="BF44:BF71" si="15">AND(BC44,L44&lt;&gt;"",N44&lt;&gt;"")</f>
        <v>0</v>
      </c>
      <c r="BG44" s="738" t="b">
        <f t="shared" ref="BG44:BG71" si="16">AND(BD44,O44&lt;&gt;"",Q44&lt;&gt;"")</f>
        <v>0</v>
      </c>
    </row>
    <row r="45" spans="2:59" ht="24" customHeight="1" x14ac:dyDescent="0.2">
      <c r="B45" s="326">
        <f ca="1">Planung!$E39</f>
        <v>34</v>
      </c>
      <c r="C45" s="226">
        <f ca="1">Planung!$F39</f>
        <v>0.56944444444444442</v>
      </c>
      <c r="D45" s="227">
        <f ca="1">Planung!$G39</f>
        <v>2</v>
      </c>
      <c r="E45" s="227" t="str">
        <f ca="1">Planung!$H39</f>
        <v>B</v>
      </c>
      <c r="F45" s="228" t="str">
        <f ca="1">Planung!$L39</f>
        <v>Manchester City</v>
      </c>
      <c r="G45" s="229" t="s">
        <v>4</v>
      </c>
      <c r="H45" s="228" t="str">
        <f ca="1">Planung!$N39</f>
        <v>FC Grönlingen</v>
      </c>
      <c r="I45" s="230">
        <v>14</v>
      </c>
      <c r="J45" s="829" t="str">
        <f>Sprache!$E$109</f>
        <v xml:space="preserve"> : </v>
      </c>
      <c r="K45" s="601">
        <v>25</v>
      </c>
      <c r="L45" s="230">
        <v>25</v>
      </c>
      <c r="M45" s="829" t="str">
        <f>Sprache!$E$109</f>
        <v xml:space="preserve"> : </v>
      </c>
      <c r="N45" s="601">
        <v>22</v>
      </c>
      <c r="O45" s="230"/>
      <c r="P45" s="736" t="str">
        <f>Sprache!$E$109</f>
        <v xml:space="preserve"> : </v>
      </c>
      <c r="Q45" s="601"/>
      <c r="R45" s="739">
        <f t="shared" ca="1" si="5"/>
        <v>1</v>
      </c>
      <c r="S45" s="732" t="str">
        <f>Sprache!$E$109</f>
        <v xml:space="preserve"> : </v>
      </c>
      <c r="T45" s="733">
        <f t="shared" ca="1" si="6"/>
        <v>1</v>
      </c>
      <c r="U45" s="690" t="str">
        <f>IF(Planung!$O39="","",Planung!$O39)</f>
        <v/>
      </c>
      <c r="W45" s="364">
        <f ca="1">IF(Calc4!$K$13=0,"",IF(VLOOKUP(Calc4!B7,Calc4!$C$4:$E$12,3,0)=MAX(W$42:W44),VLOOKUP(Calc4!B7,Calc4!$C$4:$E$12,3,0),Calc4!B7))</f>
        <v>4</v>
      </c>
      <c r="X45" s="365" t="str">
        <f ca="1">IF(Calc1!$F$14&lt;3,"",IF(Calc4!$K$13=0,Calc4!$Q67,VLOOKUP(Calc4!B7,Calc4!$C$4:$N$12,4,0)))</f>
        <v>HSV</v>
      </c>
      <c r="Y45" s="207">
        <f ca="1">IF(Calc4!$K$13=0,"",VLOOKUP(Calc4!B7,Calc4!$C$4:$N$12,9,0))</f>
        <v>4</v>
      </c>
      <c r="Z45" s="188">
        <f ca="1">IF(Calc4!$K$13=0,"",VLOOKUP(Calc4!B7,Calc4!$C$4:$N$12,10,0))</f>
        <v>0</v>
      </c>
      <c r="AA45" s="188">
        <f ca="1">IF(Calc4!$K$13=0,"",VLOOKUP(Calc4!B7,Calc4!$C$4:$N$12,11,0))</f>
        <v>2</v>
      </c>
      <c r="AB45" s="208">
        <f ca="1">IF(Calc4!$K$13=0,"",VLOOKUP(Calc4!B7,Calc4!$C$4:$N$12,12,0))</f>
        <v>2</v>
      </c>
      <c r="AC45" s="209">
        <f ca="1">IF(Calc4!$K$13=0,"",VLOOKUP(Calc4!B7,Calc4!$C$4:$AT$12,44,0))</f>
        <v>3</v>
      </c>
      <c r="AD45" s="806" t="str">
        <f>Sprache!$E$109</f>
        <v xml:space="preserve"> : </v>
      </c>
      <c r="AE45" s="211">
        <f ca="1">IF(Calc4!$K$13=0,"",VLOOKUP(Calc4!B7,Calc4!$C$4:$AS$12,43,0))</f>
        <v>6</v>
      </c>
      <c r="AF45" s="210">
        <f ca="1">IF(Calc4!$K$13=0,"",AC45-AE45)</f>
        <v>-3</v>
      </c>
      <c r="AG45" s="209">
        <f ca="1">IF(Calc4!$K$13=0,"",VLOOKUP(Calc4!B7,Calc4!$C$4:$N$12,5,0))</f>
        <v>157</v>
      </c>
      <c r="AH45" s="806" t="str">
        <f>Sprache!$E$109</f>
        <v xml:space="preserve"> : </v>
      </c>
      <c r="AI45" s="211">
        <f ca="1">IF(Calc4!$K$13=0,"",VLOOKUP(Calc4!B7,Calc4!$C$4:$N$12,6,0))</f>
        <v>181</v>
      </c>
      <c r="AJ45" s="207">
        <f ca="1">IF(Calc4!$K$13=0,"",IF(VLOOKUP(Calc4!B7,Calc4!$C$4:$AV$12,46,0)=Einstellungen!$F$24,"max",VLOOKUP(Calc4!B7,Calc4!$C$4:$AV$12,46,0)))</f>
        <v>-24</v>
      </c>
      <c r="AK45" s="212">
        <f ca="1">IF(Calc4!$K$13=0,"",VLOOKUP(Calc4!B7,Calc4!$C$4:$AT$12,Einstellungen!$H$9,0))</f>
        <v>2</v>
      </c>
      <c r="AL45" s="213" t="str">
        <f ca="1">IFERROR(VLOOKUP($X45&amp;AL$41,Calc4!$Z$64:$AC$207,Einstellungen!$G$29,0),"")</f>
        <v>44 : 45</v>
      </c>
      <c r="AM45" s="391" t="str">
        <f ca="1">IFERROR(VLOOKUP($X45&amp;AM$41,Calc4!$Z$64:$AC$207,Einstellungen!$G$29,0),"")</f>
        <v>30 : 50</v>
      </c>
      <c r="AN45" s="188" t="str">
        <f ca="1">IFERROR(VLOOKUP($X45&amp;AN$41,Calc4!$Z$64:$AC$207,Einstellungen!$G$29,0),"")</f>
        <v>66 : 67</v>
      </c>
      <c r="AO45" s="214"/>
      <c r="AP45" s="188" t="str">
        <f ca="1">IFERROR(VLOOKUP($X45&amp;AP$41,Calc4!$Z$64:$AC$207,Einstellungen!$G$29,0),"")</f>
        <v>39 : 44</v>
      </c>
      <c r="AQ45" s="215" t="str">
        <f ca="1">IFERROR(VLOOKUP($X45&amp;AQ$41,Calc4!$Z$64:$AC$207,Einstellungen!$G$29,0),"")</f>
        <v/>
      </c>
      <c r="AR45" s="216" t="str">
        <f t="shared" ca="1" si="12"/>
        <v>HSV</v>
      </c>
      <c r="AU45" s="417" t="s">
        <v>300</v>
      </c>
      <c r="AV45" s="365" t="str">
        <f>IF(Planung!$C64="","",Planung!$C64)</f>
        <v>RB Leipzig</v>
      </c>
      <c r="AW45" s="271"/>
      <c r="AX45" s="785"/>
      <c r="BA45" s="738" t="b">
        <f t="shared" ca="1" si="13"/>
        <v>0</v>
      </c>
      <c r="BB45" s="738" t="b">
        <f t="shared" si="7"/>
        <v>0</v>
      </c>
      <c r="BC45" s="738" t="b">
        <f t="shared" si="8"/>
        <v>0</v>
      </c>
      <c r="BD45" s="738" t="b">
        <f t="shared" si="9"/>
        <v>1</v>
      </c>
      <c r="BE45" s="738" t="b">
        <f t="shared" si="14"/>
        <v>0</v>
      </c>
      <c r="BF45" s="738" t="b">
        <f t="shared" si="15"/>
        <v>0</v>
      </c>
      <c r="BG45" s="738" t="b">
        <f t="shared" si="16"/>
        <v>0</v>
      </c>
    </row>
    <row r="46" spans="2:59" ht="24" customHeight="1" x14ac:dyDescent="0.2">
      <c r="B46" s="326">
        <f ca="1">Planung!$E40</f>
        <v>35</v>
      </c>
      <c r="C46" s="226">
        <f ca="1">Planung!$F40</f>
        <v>0.56944444444444442</v>
      </c>
      <c r="D46" s="227">
        <f ca="1">Planung!$G40</f>
        <v>3</v>
      </c>
      <c r="E46" s="227" t="str">
        <f ca="1">Planung!$H40</f>
        <v>C</v>
      </c>
      <c r="F46" s="228" t="str">
        <f ca="1">Planung!$L40</f>
        <v>FSV Rauen</v>
      </c>
      <c r="G46" s="229" t="s">
        <v>4</v>
      </c>
      <c r="H46" s="228" t="str">
        <f ca="1">Planung!$N40</f>
        <v>1. FC Nürnberg</v>
      </c>
      <c r="I46" s="230">
        <v>25</v>
      </c>
      <c r="J46" s="829" t="str">
        <f>Sprache!$E$109</f>
        <v xml:space="preserve"> : </v>
      </c>
      <c r="K46" s="601">
        <v>21</v>
      </c>
      <c r="L46" s="230">
        <v>25</v>
      </c>
      <c r="M46" s="829" t="str">
        <f>Sprache!$E$109</f>
        <v xml:space="preserve"> : </v>
      </c>
      <c r="N46" s="601">
        <v>13</v>
      </c>
      <c r="O46" s="230"/>
      <c r="P46" s="736" t="str">
        <f>Sprache!$E$109</f>
        <v xml:space="preserve"> : </v>
      </c>
      <c r="Q46" s="601"/>
      <c r="R46" s="739">
        <f t="shared" ca="1" si="5"/>
        <v>2</v>
      </c>
      <c r="S46" s="732" t="str">
        <f>Sprache!$E$109</f>
        <v xml:space="preserve"> : </v>
      </c>
      <c r="T46" s="733">
        <f t="shared" ca="1" si="6"/>
        <v>0</v>
      </c>
      <c r="U46" s="690" t="str">
        <f>IF(Planung!$O40="","",Planung!$O40)</f>
        <v/>
      </c>
      <c r="W46" s="364">
        <f ca="1">IF(Calc4!$K$13=0,"",IF(VLOOKUP(Calc4!B8,Calc4!$C$4:$E$12,3,0)=MAX(W$42:W45),VLOOKUP(Calc4!B8,Calc4!$C$4:$E$12,3,0),Calc4!B8))</f>
        <v>5</v>
      </c>
      <c r="X46" s="365" t="str">
        <f ca="1">IF(Calc1!$F$14&lt;3,"",IF(Calc4!$K$13=0,Calc4!$Q68,VLOOKUP(Calc4!B8,Calc4!$C$4:$N$12,4,0)))</f>
        <v>SV Oberredenburg</v>
      </c>
      <c r="Y46" s="207">
        <f ca="1">IF(Calc4!$K$13=0,"",VLOOKUP(Calc4!B8,Calc4!$C$4:$N$12,9,0))</f>
        <v>4</v>
      </c>
      <c r="Z46" s="188">
        <f ca="1">IF(Calc4!$K$13=0,"",VLOOKUP(Calc4!B8,Calc4!$C$4:$N$12,10,0))</f>
        <v>0</v>
      </c>
      <c r="AA46" s="188">
        <f ca="1">IF(Calc4!$K$13=0,"",VLOOKUP(Calc4!B8,Calc4!$C$4:$N$12,11,0))</f>
        <v>1</v>
      </c>
      <c r="AB46" s="208">
        <f ca="1">IF(Calc4!$K$13=0,"",VLOOKUP(Calc4!B8,Calc4!$C$4:$N$12,12,0))</f>
        <v>3</v>
      </c>
      <c r="AC46" s="209">
        <f ca="1">IF(Calc4!$K$13=0,"",VLOOKUP(Calc4!B8,Calc4!$C$4:$AT$12,44,0))</f>
        <v>1</v>
      </c>
      <c r="AD46" s="806" t="str">
        <f>Sprache!$E$109</f>
        <v xml:space="preserve"> : </v>
      </c>
      <c r="AE46" s="211">
        <f ca="1">IF(Calc4!$K$13=0,"",VLOOKUP(Calc4!B8,Calc4!$C$4:$AS$12,43,0))</f>
        <v>7</v>
      </c>
      <c r="AF46" s="210">
        <f ca="1">IF(Calc4!$K$13=0,"",AC46-AE46)</f>
        <v>-6</v>
      </c>
      <c r="AG46" s="209">
        <f ca="1">IF(Calc4!$K$13=0,"",VLOOKUP(Calc4!B8,Calc4!$C$4:$N$12,5,0))</f>
        <v>161</v>
      </c>
      <c r="AH46" s="806" t="str">
        <f>Sprache!$E$109</f>
        <v xml:space="preserve"> : </v>
      </c>
      <c r="AI46" s="211">
        <f ca="1">IF(Calc4!$K$13=0,"",VLOOKUP(Calc4!B8,Calc4!$C$4:$N$12,6,0))</f>
        <v>189</v>
      </c>
      <c r="AJ46" s="207">
        <f ca="1">IF(Calc4!$K$13=0,"",IF(VLOOKUP(Calc4!B8,Calc4!$C$4:$AV$12,46,0)=Einstellungen!$F$24,"max",VLOOKUP(Calc4!B8,Calc4!$C$4:$AV$12,46,0)))</f>
        <v>-28</v>
      </c>
      <c r="AK46" s="212">
        <f ca="1">IF(Calc4!$K$13=0,"",VLOOKUP(Calc4!B8,Calc4!$C$4:$AT$12,Einstellungen!$H$9,0))</f>
        <v>1</v>
      </c>
      <c r="AL46" s="213" t="str">
        <f ca="1">IFERROR(VLOOKUP($X46&amp;AL$41,Calc4!$Z$64:$AC$207,Einstellungen!$G$29,0),"")</f>
        <v>42 : 50</v>
      </c>
      <c r="AM46" s="391" t="str">
        <f ca="1">IFERROR(VLOOKUP($X46&amp;AM$41,Calc4!$Z$64:$AC$207,Einstellungen!$G$29,0),"")</f>
        <v>39 : 50</v>
      </c>
      <c r="AN46" s="188" t="str">
        <f ca="1">IFERROR(VLOOKUP($X46&amp;AN$41,Calc4!$Z$64:$AC$207,Einstellungen!$G$29,0),"")</f>
        <v>36 : 50</v>
      </c>
      <c r="AO46" s="188" t="str">
        <f ca="1">IFERROR(VLOOKUP($X46&amp;AO$41,Calc4!$Z$64:$AC$207,Einstellungen!$G$29,0),"")</f>
        <v>44 : 39</v>
      </c>
      <c r="AP46" s="214"/>
      <c r="AQ46" s="215" t="str">
        <f ca="1">IFERROR(VLOOKUP($X46&amp;AQ$41,Calc4!$Z$64:$AC$207,Einstellungen!$G$29,0),"")</f>
        <v/>
      </c>
      <c r="AR46" s="216" t="str">
        <f t="shared" ca="1" si="12"/>
        <v>SV Oberredenburg</v>
      </c>
      <c r="AU46" s="417" t="s">
        <v>301</v>
      </c>
      <c r="AV46" s="365" t="str">
        <f>IF(Planung!$C66="","",Planung!$C66)</f>
        <v>SV Oberredenburg</v>
      </c>
      <c r="AW46" s="271"/>
      <c r="AX46" s="785"/>
      <c r="BA46" s="738" t="b">
        <f t="shared" ca="1" si="13"/>
        <v>0</v>
      </c>
      <c r="BB46" s="738" t="b">
        <f t="shared" si="7"/>
        <v>0</v>
      </c>
      <c r="BC46" s="738" t="b">
        <f t="shared" si="8"/>
        <v>0</v>
      </c>
      <c r="BD46" s="738" t="b">
        <f t="shared" si="9"/>
        <v>1</v>
      </c>
      <c r="BE46" s="738" t="b">
        <f t="shared" si="14"/>
        <v>0</v>
      </c>
      <c r="BF46" s="738" t="b">
        <f t="shared" si="15"/>
        <v>0</v>
      </c>
      <c r="BG46" s="738" t="b">
        <f t="shared" si="16"/>
        <v>0</v>
      </c>
    </row>
    <row r="47" spans="2:59" ht="24" customHeight="1" thickBot="1" x14ac:dyDescent="0.25">
      <c r="B47" s="326">
        <f ca="1">Planung!$E41</f>
        <v>36</v>
      </c>
      <c r="C47" s="226">
        <f ca="1">Planung!$F41</f>
        <v>0.56944444444444442</v>
      </c>
      <c r="D47" s="227">
        <f ca="1">Planung!$G41</f>
        <v>4</v>
      </c>
      <c r="E47" s="227" t="str">
        <f ca="1">Planung!$H41</f>
        <v>D</v>
      </c>
      <c r="F47" s="228" t="str">
        <f ca="1">Planung!$L41</f>
        <v>RB Leipzig</v>
      </c>
      <c r="G47" s="229" t="s">
        <v>4</v>
      </c>
      <c r="H47" s="228" t="str">
        <f ca="1">Planung!$N41</f>
        <v>SV Oberredenburg</v>
      </c>
      <c r="I47" s="230">
        <v>25</v>
      </c>
      <c r="J47" s="829" t="str">
        <f>Sprache!$E$109</f>
        <v xml:space="preserve"> : </v>
      </c>
      <c r="K47" s="601">
        <v>19</v>
      </c>
      <c r="L47" s="230">
        <v>25</v>
      </c>
      <c r="M47" s="829" t="str">
        <f>Sprache!$E$109</f>
        <v xml:space="preserve"> : </v>
      </c>
      <c r="N47" s="601">
        <v>17</v>
      </c>
      <c r="O47" s="230"/>
      <c r="P47" s="736" t="str">
        <f>Sprache!$E$109</f>
        <v xml:space="preserve"> : </v>
      </c>
      <c r="Q47" s="601"/>
      <c r="R47" s="739">
        <f t="shared" ca="1" si="5"/>
        <v>2</v>
      </c>
      <c r="S47" s="732" t="str">
        <f>Sprache!$E$109</f>
        <v xml:space="preserve"> : </v>
      </c>
      <c r="T47" s="733">
        <f t="shared" ca="1" si="6"/>
        <v>0</v>
      </c>
      <c r="U47" s="690" t="str">
        <f>IF(Planung!$O41="","",Planung!$O41)</f>
        <v/>
      </c>
      <c r="W47" s="366">
        <f ca="1">IF(Calc4!$K$13=0,"",IF(VLOOKUP(Calc4!B9,Calc4!$C$4:$E$12,3,0)=MAX(W$42:W46),VLOOKUP(Calc4!B9,Calc4!$C$4:$E$12,3,0),Calc4!B9))</f>
        <v>6</v>
      </c>
      <c r="X47" s="367" t="str">
        <f ca="1">IF(Calc1!$F$14&lt;3,"",IF(Calc4!$K$13=0,Calc4!$Q69,VLOOKUP(Calc4!B9,Calc4!$C$4:$N$12,4,0)))</f>
        <v/>
      </c>
      <c r="Y47" s="217">
        <f ca="1">IF(Calc4!$K$13=0,"",VLOOKUP(Calc4!B9,Calc4!$C$4:$N$12,9,0))</f>
        <v>0</v>
      </c>
      <c r="Z47" s="218">
        <f ca="1">IF(Calc4!$K$13=0,"",VLOOKUP(Calc4!B9,Calc4!$C$4:$N$12,10,0))</f>
        <v>0</v>
      </c>
      <c r="AA47" s="218">
        <f ca="1">IF(Calc4!$K$13=0,"",VLOOKUP(Calc4!B9,Calc4!$C$4:$N$12,11,0))</f>
        <v>0</v>
      </c>
      <c r="AB47" s="219">
        <f ca="1">IF(Calc4!$K$13=0,"",VLOOKUP(Calc4!B9,Calc4!$C$4:$N$12,12,0))</f>
        <v>0</v>
      </c>
      <c r="AC47" s="220">
        <f ca="1">IF(Calc4!$K$13=0,"",VLOOKUP(Calc4!B9,Calc4!$C$4:$AT$12,44,0))</f>
        <v>0</v>
      </c>
      <c r="AD47" s="807" t="str">
        <f>Sprache!$E$109</f>
        <v xml:space="preserve"> : </v>
      </c>
      <c r="AE47" s="222">
        <f ca="1">IF(Calc4!$K$13=0,"",VLOOKUP(Calc4!B9,Calc4!$C$4:$AS$12,43,0))</f>
        <v>0</v>
      </c>
      <c r="AF47" s="221">
        <f ca="1">IF(Calc4!$K$13=0,"",AC47-AE47)</f>
        <v>0</v>
      </c>
      <c r="AG47" s="220">
        <f ca="1">IF(Calc4!$K$13=0,"",VLOOKUP(Calc4!B9,Calc4!$C$4:$N$12,5,0))</f>
        <v>0</v>
      </c>
      <c r="AH47" s="807" t="str">
        <f>Sprache!$E$109</f>
        <v xml:space="preserve"> : </v>
      </c>
      <c r="AI47" s="222">
        <f ca="1">IF(Calc4!$K$13=0,"",VLOOKUP(Calc4!B9,Calc4!$C$4:$N$12,6,0))</f>
        <v>0</v>
      </c>
      <c r="AJ47" s="217">
        <f ca="1">IF(Calc4!$K$13=0,"",IF(VLOOKUP(Calc4!B9,Calc4!$C$4:$AV$12,46,0)=Einstellungen!$F$24,"max",VLOOKUP(Calc4!B9,Calc4!$C$4:$AV$12,46,0)))</f>
        <v>0</v>
      </c>
      <c r="AK47" s="223">
        <f ca="1">IF(Calc4!$K$13=0,"",VLOOKUP(Calc4!B9,Calc4!$C$4:$AT$12,Einstellungen!$H$9,0))</f>
        <v>0</v>
      </c>
      <c r="AL47" s="224" t="str">
        <f ca="1">IFERROR(VLOOKUP($X47&amp;AL$41,Calc4!$Z$64:$AC$207,Einstellungen!$G$29,0),"")</f>
        <v/>
      </c>
      <c r="AM47" s="218" t="str">
        <f ca="1">IFERROR(VLOOKUP($X47&amp;AM$41,Calc4!$Z$64:$AC$207,Einstellungen!$G$29,0),"")</f>
        <v/>
      </c>
      <c r="AN47" s="218" t="str">
        <f ca="1">IFERROR(VLOOKUP($X47&amp;AN$41,Calc4!$Z$64:$AC$207,Einstellungen!$G$29,0),"")</f>
        <v/>
      </c>
      <c r="AO47" s="218" t="str">
        <f ca="1">IFERROR(VLOOKUP($X47&amp;AO$41,Calc4!$Z$64:$AC$207,Einstellungen!$G$29,0),"")</f>
        <v/>
      </c>
      <c r="AP47" s="218" t="str">
        <f ca="1">IFERROR(VLOOKUP($X47&amp;AP$41,Calc4!$Z$64:$AC$207,Einstellungen!$G$29,0),"")</f>
        <v/>
      </c>
      <c r="AQ47" s="225"/>
      <c r="AR47" s="295" t="str">
        <f t="shared" ca="1" si="12"/>
        <v/>
      </c>
      <c r="AU47" s="418" t="s">
        <v>302</v>
      </c>
      <c r="AV47" s="367" t="str">
        <f>IF(Planung!$C68="","",Planung!$C68)</f>
        <v/>
      </c>
      <c r="AW47" s="271"/>
      <c r="AX47" s="786"/>
      <c r="BA47" s="738" t="b">
        <f t="shared" ca="1" si="13"/>
        <v>0</v>
      </c>
      <c r="BB47" s="738" t="b">
        <f t="shared" si="7"/>
        <v>0</v>
      </c>
      <c r="BC47" s="738" t="b">
        <f t="shared" si="8"/>
        <v>0</v>
      </c>
      <c r="BD47" s="738" t="b">
        <f t="shared" si="9"/>
        <v>1</v>
      </c>
      <c r="BE47" s="738" t="b">
        <f t="shared" si="14"/>
        <v>0</v>
      </c>
      <c r="BF47" s="738" t="b">
        <f t="shared" si="15"/>
        <v>0</v>
      </c>
      <c r="BG47" s="738" t="b">
        <f t="shared" si="16"/>
        <v>0</v>
      </c>
    </row>
    <row r="48" spans="2:59" ht="24" customHeight="1" thickTop="1" x14ac:dyDescent="0.2">
      <c r="B48" s="326">
        <f ca="1">Planung!$E42</f>
        <v>37</v>
      </c>
      <c r="C48" s="226">
        <f ca="1">Planung!$F42</f>
        <v>0.59375</v>
      </c>
      <c r="D48" s="227">
        <f ca="1">Planung!$G42</f>
        <v>1</v>
      </c>
      <c r="E48" s="227" t="str">
        <f ca="1">Planung!$H42</f>
        <v>A</v>
      </c>
      <c r="F48" s="228" t="str">
        <f ca="1">Planung!$L42</f>
        <v>1. FC Riedwald</v>
      </c>
      <c r="G48" s="229" t="s">
        <v>4</v>
      </c>
      <c r="H48" s="228" t="str">
        <f ca="1">Planung!$N42</f>
        <v>FC Barcelona</v>
      </c>
      <c r="I48" s="230">
        <v>17</v>
      </c>
      <c r="J48" s="829" t="str">
        <f>Sprache!$E$109</f>
        <v xml:space="preserve"> : </v>
      </c>
      <c r="K48" s="601">
        <v>25</v>
      </c>
      <c r="L48" s="230">
        <v>18</v>
      </c>
      <c r="M48" s="829" t="str">
        <f>Sprache!$E$109</f>
        <v xml:space="preserve"> : </v>
      </c>
      <c r="N48" s="601">
        <v>25</v>
      </c>
      <c r="O48" s="230"/>
      <c r="P48" s="736" t="str">
        <f>Sprache!$E$109</f>
        <v xml:space="preserve"> : </v>
      </c>
      <c r="Q48" s="601"/>
      <c r="R48" s="739">
        <f t="shared" ca="1" si="5"/>
        <v>0</v>
      </c>
      <c r="S48" s="732" t="str">
        <f>Sprache!$E$109</f>
        <v xml:space="preserve"> : </v>
      </c>
      <c r="T48" s="733">
        <f t="shared" ca="1" si="6"/>
        <v>2</v>
      </c>
      <c r="U48" s="690" t="str">
        <f>IF(Planung!$O42="","",Planung!$O42)</f>
        <v/>
      </c>
      <c r="AW48" s="269"/>
      <c r="AX48" s="269"/>
      <c r="BA48" s="738" t="b">
        <f t="shared" ca="1" si="13"/>
        <v>0</v>
      </c>
      <c r="BB48" s="738" t="b">
        <f t="shared" si="7"/>
        <v>0</v>
      </c>
      <c r="BC48" s="738" t="b">
        <f t="shared" si="8"/>
        <v>0</v>
      </c>
      <c r="BD48" s="738" t="b">
        <f t="shared" si="9"/>
        <v>1</v>
      </c>
      <c r="BE48" s="738" t="b">
        <f t="shared" si="14"/>
        <v>0</v>
      </c>
      <c r="BF48" s="738" t="b">
        <f t="shared" si="15"/>
        <v>0</v>
      </c>
      <c r="BG48" s="738" t="b">
        <f t="shared" si="16"/>
        <v>0</v>
      </c>
    </row>
    <row r="49" spans="2:59" ht="24" customHeight="1" x14ac:dyDescent="0.2">
      <c r="B49" s="326">
        <f ca="1">Planung!$E43</f>
        <v>38</v>
      </c>
      <c r="C49" s="226">
        <f ca="1">Planung!$F43</f>
        <v>0.59375</v>
      </c>
      <c r="D49" s="227">
        <f ca="1">Planung!$G43</f>
        <v>2</v>
      </c>
      <c r="E49" s="227" t="str">
        <f ca="1">Planung!$H43</f>
        <v>B</v>
      </c>
      <c r="F49" s="228" t="str">
        <f ca="1">Planung!$L43</f>
        <v>Mainz 05</v>
      </c>
      <c r="G49" s="229" t="s">
        <v>4</v>
      </c>
      <c r="H49" s="228" t="str">
        <f ca="1">Planung!$N43</f>
        <v>Inter Mailand</v>
      </c>
      <c r="I49" s="230">
        <v>14</v>
      </c>
      <c r="J49" s="829" t="str">
        <f>Sprache!$E$109</f>
        <v xml:space="preserve"> : </v>
      </c>
      <c r="K49" s="601">
        <v>25</v>
      </c>
      <c r="L49" s="230">
        <v>19</v>
      </c>
      <c r="M49" s="829" t="str">
        <f>Sprache!$E$109</f>
        <v xml:space="preserve"> : </v>
      </c>
      <c r="N49" s="601">
        <v>25</v>
      </c>
      <c r="O49" s="230"/>
      <c r="P49" s="736" t="str">
        <f>Sprache!$E$109</f>
        <v xml:space="preserve"> : </v>
      </c>
      <c r="Q49" s="601"/>
      <c r="R49" s="739">
        <f t="shared" ca="1" si="5"/>
        <v>0</v>
      </c>
      <c r="S49" s="732" t="str">
        <f>Sprache!$E$109</f>
        <v xml:space="preserve"> : </v>
      </c>
      <c r="T49" s="733">
        <f t="shared" ca="1" si="6"/>
        <v>2</v>
      </c>
      <c r="U49" s="690" t="str">
        <f>IF(Planung!$O43="","",Planung!$O43)</f>
        <v/>
      </c>
      <c r="BA49" s="738" t="b">
        <f t="shared" ca="1" si="13"/>
        <v>0</v>
      </c>
      <c r="BB49" s="738" t="b">
        <f t="shared" si="7"/>
        <v>0</v>
      </c>
      <c r="BC49" s="738" t="b">
        <f t="shared" si="8"/>
        <v>0</v>
      </c>
      <c r="BD49" s="738" t="b">
        <f t="shared" si="9"/>
        <v>1</v>
      </c>
      <c r="BE49" s="738" t="b">
        <f t="shared" si="14"/>
        <v>0</v>
      </c>
      <c r="BF49" s="738" t="b">
        <f t="shared" si="15"/>
        <v>0</v>
      </c>
      <c r="BG49" s="738" t="b">
        <f t="shared" si="16"/>
        <v>0</v>
      </c>
    </row>
    <row r="50" spans="2:59" ht="24" customHeight="1" x14ac:dyDescent="0.2">
      <c r="B50" s="326">
        <f ca="1">Planung!$E44</f>
        <v>39</v>
      </c>
      <c r="C50" s="226">
        <f ca="1">Planung!$F44</f>
        <v>0.59375</v>
      </c>
      <c r="D50" s="227">
        <f ca="1">Planung!$G44</f>
        <v>3</v>
      </c>
      <c r="E50" s="227" t="str">
        <f ca="1">Planung!$H44</f>
        <v>C</v>
      </c>
      <c r="F50" s="228" t="str">
        <f ca="1">Planung!$L44</f>
        <v>Kickers Rodendorf</v>
      </c>
      <c r="G50" s="229" t="s">
        <v>4</v>
      </c>
      <c r="H50" s="228" t="str">
        <f ca="1">Planung!$N44</f>
        <v>Real Madrid</v>
      </c>
      <c r="I50" s="230">
        <v>13</v>
      </c>
      <c r="J50" s="829" t="str">
        <f>Sprache!$E$109</f>
        <v xml:space="preserve"> : </v>
      </c>
      <c r="K50" s="601">
        <v>25</v>
      </c>
      <c r="L50" s="230">
        <v>25</v>
      </c>
      <c r="M50" s="829" t="str">
        <f>Sprache!$E$109</f>
        <v xml:space="preserve"> : </v>
      </c>
      <c r="N50" s="601">
        <v>20</v>
      </c>
      <c r="O50" s="230"/>
      <c r="P50" s="736" t="str">
        <f>Sprache!$E$109</f>
        <v xml:space="preserve"> : </v>
      </c>
      <c r="Q50" s="601"/>
      <c r="R50" s="739">
        <f t="shared" ca="1" si="5"/>
        <v>1</v>
      </c>
      <c r="S50" s="732" t="str">
        <f>Sprache!$E$109</f>
        <v xml:space="preserve"> : </v>
      </c>
      <c r="T50" s="733">
        <f t="shared" ca="1" si="6"/>
        <v>1</v>
      </c>
      <c r="U50" s="690" t="str">
        <f>IF(Planung!$O44="","",Planung!$O44)</f>
        <v/>
      </c>
      <c r="W50" s="876" t="str">
        <f>Sprache!$E$40</f>
        <v>Ende der Vorrunde:</v>
      </c>
      <c r="X50" s="876"/>
      <c r="Y50" s="876"/>
      <c r="Z50" s="876"/>
      <c r="AA50" s="876"/>
      <c r="AB50" s="876"/>
      <c r="AC50" s="876"/>
      <c r="AD50" s="876"/>
      <c r="AE50" s="876"/>
      <c r="AF50" s="876"/>
      <c r="AG50" s="876"/>
      <c r="AH50" s="876"/>
      <c r="AI50" s="876"/>
      <c r="AJ50" s="876"/>
      <c r="AK50" s="877">
        <f ca="1">Planung!$S$13</f>
        <v>0.61458333333333337</v>
      </c>
      <c r="AL50" s="877"/>
      <c r="AM50" s="877"/>
      <c r="AN50" s="877"/>
      <c r="AO50" s="877"/>
      <c r="AP50" s="877"/>
      <c r="AQ50" s="877"/>
      <c r="AR50" s="877"/>
      <c r="BA50" s="738" t="b">
        <f t="shared" ca="1" si="13"/>
        <v>0</v>
      </c>
      <c r="BB50" s="738" t="b">
        <f t="shared" si="7"/>
        <v>0</v>
      </c>
      <c r="BC50" s="738" t="b">
        <f t="shared" si="8"/>
        <v>0</v>
      </c>
      <c r="BD50" s="738" t="b">
        <f t="shared" si="9"/>
        <v>1</v>
      </c>
      <c r="BE50" s="738" t="b">
        <f t="shared" si="14"/>
        <v>0</v>
      </c>
      <c r="BF50" s="738" t="b">
        <f t="shared" si="15"/>
        <v>0</v>
      </c>
      <c r="BG50" s="738" t="b">
        <f t="shared" si="16"/>
        <v>0</v>
      </c>
    </row>
    <row r="51" spans="2:59" ht="24" customHeight="1" x14ac:dyDescent="0.2">
      <c r="B51" s="326">
        <f ca="1">Planung!$E45</f>
        <v>40</v>
      </c>
      <c r="C51" s="226">
        <f ca="1">Planung!$F45</f>
        <v>0.59375</v>
      </c>
      <c r="D51" s="227">
        <f ca="1">Planung!$G45</f>
        <v>4</v>
      </c>
      <c r="E51" s="227" t="str">
        <f ca="1">Planung!$H45</f>
        <v>D</v>
      </c>
      <c r="F51" s="228" t="str">
        <f ca="1">Planung!$L45</f>
        <v>TSG Saalberg eV</v>
      </c>
      <c r="G51" s="229" t="s">
        <v>4</v>
      </c>
      <c r="H51" s="228" t="str">
        <f ca="1">Planung!$N45</f>
        <v>Paris St. Germain</v>
      </c>
      <c r="I51" s="230">
        <v>18</v>
      </c>
      <c r="J51" s="829" t="str">
        <f>Sprache!$E$109</f>
        <v xml:space="preserve"> : </v>
      </c>
      <c r="K51" s="601">
        <v>25</v>
      </c>
      <c r="L51" s="230">
        <v>25</v>
      </c>
      <c r="M51" s="829" t="str">
        <f>Sprache!$E$109</f>
        <v xml:space="preserve"> : </v>
      </c>
      <c r="N51" s="601">
        <v>21</v>
      </c>
      <c r="O51" s="230"/>
      <c r="P51" s="736" t="str">
        <f>Sprache!$E$109</f>
        <v xml:space="preserve"> : </v>
      </c>
      <c r="Q51" s="601"/>
      <c r="R51" s="739">
        <f t="shared" ca="1" si="5"/>
        <v>1</v>
      </c>
      <c r="S51" s="732" t="str">
        <f>Sprache!$E$109</f>
        <v xml:space="preserve"> : </v>
      </c>
      <c r="T51" s="733">
        <f t="shared" ca="1" si="6"/>
        <v>1</v>
      </c>
      <c r="U51" s="690" t="str">
        <f>IF(Planung!$O45="","",Planung!$O45)</f>
        <v/>
      </c>
      <c r="BA51" s="738" t="b">
        <f t="shared" ca="1" si="13"/>
        <v>0</v>
      </c>
      <c r="BB51" s="738" t="b">
        <f t="shared" si="7"/>
        <v>0</v>
      </c>
      <c r="BC51" s="738" t="b">
        <f t="shared" si="8"/>
        <v>0</v>
      </c>
      <c r="BD51" s="738" t="b">
        <f t="shared" si="9"/>
        <v>1</v>
      </c>
      <c r="BE51" s="738" t="b">
        <f t="shared" si="14"/>
        <v>0</v>
      </c>
      <c r="BF51" s="738" t="b">
        <f t="shared" si="15"/>
        <v>0</v>
      </c>
      <c r="BG51" s="738" t="b">
        <f t="shared" si="16"/>
        <v>0</v>
      </c>
    </row>
    <row r="52" spans="2:59" ht="24" customHeight="1" x14ac:dyDescent="0.2">
      <c r="B52" s="326" t="str">
        <f>Planung!$E46</f>
        <v/>
      </c>
      <c r="C52" s="226" t="str">
        <f>Planung!$F46</f>
        <v/>
      </c>
      <c r="D52" s="227" t="str">
        <f>Planung!$G46</f>
        <v/>
      </c>
      <c r="E52" s="227" t="str">
        <f ca="1">Planung!$H46</f>
        <v/>
      </c>
      <c r="F52" s="228" t="str">
        <f ca="1">Planung!$L46</f>
        <v/>
      </c>
      <c r="G52" s="229" t="s">
        <v>4</v>
      </c>
      <c r="H52" s="228" t="str">
        <f ca="1">Planung!$N46</f>
        <v/>
      </c>
      <c r="I52" s="230"/>
      <c r="J52" s="829" t="str">
        <f>Sprache!$E$109</f>
        <v xml:space="preserve"> : </v>
      </c>
      <c r="K52" s="601"/>
      <c r="L52" s="230"/>
      <c r="M52" s="829" t="str">
        <f>Sprache!$E$109</f>
        <v xml:space="preserve"> : </v>
      </c>
      <c r="N52" s="601"/>
      <c r="O52" s="230"/>
      <c r="P52" s="736" t="str">
        <f>Sprache!$E$109</f>
        <v xml:space="preserve"> : </v>
      </c>
      <c r="Q52" s="601"/>
      <c r="R52" s="739" t="str">
        <f t="shared" ca="1" si="5"/>
        <v/>
      </c>
      <c r="S52" s="732" t="str">
        <f>Sprache!$E$109</f>
        <v xml:space="preserve"> : </v>
      </c>
      <c r="T52" s="733" t="str">
        <f t="shared" ca="1" si="6"/>
        <v/>
      </c>
      <c r="U52" s="690" t="str">
        <f>IF(Planung!$O46="","",Planung!$O46)</f>
        <v/>
      </c>
      <c r="BA52" s="738" t="b">
        <f t="shared" ca="1" si="13"/>
        <v>1</v>
      </c>
      <c r="BB52" s="738" t="b">
        <f t="shared" si="7"/>
        <v>1</v>
      </c>
      <c r="BC52" s="738" t="b">
        <f t="shared" si="8"/>
        <v>1</v>
      </c>
      <c r="BD52" s="738" t="b">
        <f t="shared" si="9"/>
        <v>1</v>
      </c>
      <c r="BE52" s="738" t="b">
        <f t="shared" si="14"/>
        <v>0</v>
      </c>
      <c r="BF52" s="738" t="b">
        <f t="shared" si="15"/>
        <v>0</v>
      </c>
      <c r="BG52" s="738" t="b">
        <f t="shared" si="16"/>
        <v>0</v>
      </c>
    </row>
    <row r="53" spans="2:59" ht="24" customHeight="1" x14ac:dyDescent="0.2">
      <c r="B53" s="326" t="str">
        <f>Planung!$E47</f>
        <v/>
      </c>
      <c r="C53" s="226" t="str">
        <f>Planung!$F47</f>
        <v/>
      </c>
      <c r="D53" s="227" t="str">
        <f>Planung!$G47</f>
        <v/>
      </c>
      <c r="E53" s="227" t="str">
        <f ca="1">Planung!$H47</f>
        <v/>
      </c>
      <c r="F53" s="228" t="str">
        <f ca="1">Planung!$L47</f>
        <v/>
      </c>
      <c r="G53" s="229" t="s">
        <v>4</v>
      </c>
      <c r="H53" s="228" t="str">
        <f ca="1">Planung!$N47</f>
        <v/>
      </c>
      <c r="I53" s="230"/>
      <c r="J53" s="829" t="str">
        <f>Sprache!$E$109</f>
        <v xml:space="preserve"> : </v>
      </c>
      <c r="K53" s="601"/>
      <c r="L53" s="230"/>
      <c r="M53" s="829" t="str">
        <f>Sprache!$E$109</f>
        <v xml:space="preserve"> : </v>
      </c>
      <c r="N53" s="601"/>
      <c r="O53" s="230"/>
      <c r="P53" s="736" t="str">
        <f>Sprache!$E$109</f>
        <v xml:space="preserve"> : </v>
      </c>
      <c r="Q53" s="601"/>
      <c r="R53" s="739" t="str">
        <f t="shared" ca="1" si="5"/>
        <v/>
      </c>
      <c r="S53" s="732" t="str">
        <f>Sprache!$E$109</f>
        <v xml:space="preserve"> : </v>
      </c>
      <c r="T53" s="733" t="str">
        <f t="shared" ca="1" si="6"/>
        <v/>
      </c>
      <c r="U53" s="690" t="str">
        <f>IF(Planung!$O47="","",Planung!$O47)</f>
        <v/>
      </c>
      <c r="BA53" s="738" t="b">
        <f t="shared" ca="1" si="13"/>
        <v>1</v>
      </c>
      <c r="BB53" s="738" t="b">
        <f t="shared" si="7"/>
        <v>1</v>
      </c>
      <c r="BC53" s="738" t="b">
        <f t="shared" si="8"/>
        <v>1</v>
      </c>
      <c r="BD53" s="738" t="b">
        <f t="shared" si="9"/>
        <v>1</v>
      </c>
      <c r="BE53" s="738" t="b">
        <f t="shared" si="14"/>
        <v>0</v>
      </c>
      <c r="BF53" s="738" t="b">
        <f t="shared" si="15"/>
        <v>0</v>
      </c>
      <c r="BG53" s="738" t="b">
        <f t="shared" si="16"/>
        <v>0</v>
      </c>
    </row>
    <row r="54" spans="2:59" ht="24" customHeight="1" x14ac:dyDescent="0.2">
      <c r="B54" s="326" t="str">
        <f>Planung!$E48</f>
        <v/>
      </c>
      <c r="C54" s="226" t="str">
        <f>Planung!$F48</f>
        <v/>
      </c>
      <c r="D54" s="227" t="str">
        <f>Planung!$G48</f>
        <v/>
      </c>
      <c r="E54" s="227" t="str">
        <f ca="1">Planung!$H48</f>
        <v/>
      </c>
      <c r="F54" s="228" t="str">
        <f ca="1">Planung!$L48</f>
        <v/>
      </c>
      <c r="G54" s="229" t="s">
        <v>4</v>
      </c>
      <c r="H54" s="228" t="str">
        <f ca="1">Planung!$N48</f>
        <v/>
      </c>
      <c r="I54" s="230"/>
      <c r="J54" s="829" t="str">
        <f>Sprache!$E$109</f>
        <v xml:space="preserve"> : </v>
      </c>
      <c r="K54" s="601"/>
      <c r="L54" s="230"/>
      <c r="M54" s="829" t="str">
        <f>Sprache!$E$109</f>
        <v xml:space="preserve"> : </v>
      </c>
      <c r="N54" s="601"/>
      <c r="O54" s="230"/>
      <c r="P54" s="736" t="str">
        <f>Sprache!$E$109</f>
        <v xml:space="preserve"> : </v>
      </c>
      <c r="Q54" s="601"/>
      <c r="R54" s="739" t="str">
        <f t="shared" ca="1" si="5"/>
        <v/>
      </c>
      <c r="S54" s="732" t="str">
        <f>Sprache!$E$109</f>
        <v xml:space="preserve"> : </v>
      </c>
      <c r="T54" s="733" t="str">
        <f t="shared" ca="1" si="6"/>
        <v/>
      </c>
      <c r="U54" s="690" t="str">
        <f>IF(Planung!$O48="","",Planung!$O48)</f>
        <v/>
      </c>
      <c r="BA54" s="738" t="b">
        <f t="shared" ca="1" si="13"/>
        <v>1</v>
      </c>
      <c r="BB54" s="738" t="b">
        <f t="shared" si="7"/>
        <v>1</v>
      </c>
      <c r="BC54" s="738" t="b">
        <f t="shared" si="8"/>
        <v>1</v>
      </c>
      <c r="BD54" s="738" t="b">
        <f t="shared" si="9"/>
        <v>1</v>
      </c>
      <c r="BE54" s="738" t="b">
        <f t="shared" si="14"/>
        <v>0</v>
      </c>
      <c r="BF54" s="738" t="b">
        <f t="shared" si="15"/>
        <v>0</v>
      </c>
      <c r="BG54" s="738" t="b">
        <f t="shared" si="16"/>
        <v>0</v>
      </c>
    </row>
    <row r="55" spans="2:59" ht="24" customHeight="1" x14ac:dyDescent="0.2">
      <c r="B55" s="326" t="str">
        <f>Planung!$E49</f>
        <v/>
      </c>
      <c r="C55" s="226" t="str">
        <f>Planung!$F49</f>
        <v/>
      </c>
      <c r="D55" s="227" t="str">
        <f>Planung!$G49</f>
        <v/>
      </c>
      <c r="E55" s="227" t="str">
        <f ca="1">Planung!$H49</f>
        <v/>
      </c>
      <c r="F55" s="228" t="str">
        <f ca="1">Planung!$L49</f>
        <v/>
      </c>
      <c r="G55" s="229" t="s">
        <v>4</v>
      </c>
      <c r="H55" s="228" t="str">
        <f ca="1">Planung!$N49</f>
        <v/>
      </c>
      <c r="I55" s="230"/>
      <c r="J55" s="829" t="str">
        <f>Sprache!$E$109</f>
        <v xml:space="preserve"> : </v>
      </c>
      <c r="K55" s="601"/>
      <c r="L55" s="230"/>
      <c r="M55" s="829" t="str">
        <f>Sprache!$E$109</f>
        <v xml:space="preserve"> : </v>
      </c>
      <c r="N55" s="601"/>
      <c r="O55" s="230"/>
      <c r="P55" s="736" t="str">
        <f>Sprache!$E$109</f>
        <v xml:space="preserve"> : </v>
      </c>
      <c r="Q55" s="601"/>
      <c r="R55" s="739" t="str">
        <f t="shared" ca="1" si="5"/>
        <v/>
      </c>
      <c r="S55" s="732" t="str">
        <f>Sprache!$E$109</f>
        <v xml:space="preserve"> : </v>
      </c>
      <c r="T55" s="733" t="str">
        <f t="shared" ca="1" si="6"/>
        <v/>
      </c>
      <c r="U55" s="690" t="str">
        <f>IF(Planung!$O49="","",Planung!$O49)</f>
        <v/>
      </c>
      <c r="BA55" s="738" t="b">
        <f t="shared" ca="1" si="13"/>
        <v>1</v>
      </c>
      <c r="BB55" s="738" t="b">
        <f t="shared" si="7"/>
        <v>1</v>
      </c>
      <c r="BC55" s="738" t="b">
        <f t="shared" si="8"/>
        <v>1</v>
      </c>
      <c r="BD55" s="738" t="b">
        <f t="shared" si="9"/>
        <v>1</v>
      </c>
      <c r="BE55" s="738" t="b">
        <f t="shared" si="14"/>
        <v>0</v>
      </c>
      <c r="BF55" s="738" t="b">
        <f t="shared" si="15"/>
        <v>0</v>
      </c>
      <c r="BG55" s="738" t="b">
        <f t="shared" si="16"/>
        <v>0</v>
      </c>
    </row>
    <row r="56" spans="2:59" ht="24" customHeight="1" x14ac:dyDescent="0.2">
      <c r="B56" s="326" t="str">
        <f>Planung!$E50</f>
        <v/>
      </c>
      <c r="C56" s="226" t="str">
        <f>Planung!$F50</f>
        <v/>
      </c>
      <c r="D56" s="227" t="str">
        <f>Planung!$G50</f>
        <v/>
      </c>
      <c r="E56" s="227" t="str">
        <f ca="1">Planung!$H50</f>
        <v/>
      </c>
      <c r="F56" s="228" t="str">
        <f ca="1">Planung!$L50</f>
        <v/>
      </c>
      <c r="G56" s="229" t="s">
        <v>4</v>
      </c>
      <c r="H56" s="228" t="str">
        <f ca="1">Planung!$N50</f>
        <v/>
      </c>
      <c r="I56" s="230"/>
      <c r="J56" s="829" t="str">
        <f>Sprache!$E$109</f>
        <v xml:space="preserve"> : </v>
      </c>
      <c r="K56" s="601"/>
      <c r="L56" s="230"/>
      <c r="M56" s="829" t="str">
        <f>Sprache!$E$109</f>
        <v xml:space="preserve"> : </v>
      </c>
      <c r="N56" s="601"/>
      <c r="O56" s="230"/>
      <c r="P56" s="736" t="str">
        <f>Sprache!$E$109</f>
        <v xml:space="preserve"> : </v>
      </c>
      <c r="Q56" s="601"/>
      <c r="R56" s="739" t="str">
        <f t="shared" ca="1" si="5"/>
        <v/>
      </c>
      <c r="S56" s="732" t="str">
        <f>Sprache!$E$109</f>
        <v xml:space="preserve"> : </v>
      </c>
      <c r="T56" s="733" t="str">
        <f t="shared" ca="1" si="6"/>
        <v/>
      </c>
      <c r="U56" s="690" t="str">
        <f>IF(Planung!$O50="","",Planung!$O50)</f>
        <v/>
      </c>
      <c r="BA56" s="738" t="b">
        <f t="shared" ca="1" si="13"/>
        <v>1</v>
      </c>
      <c r="BB56" s="738" t="b">
        <f t="shared" si="7"/>
        <v>1</v>
      </c>
      <c r="BC56" s="738" t="b">
        <f t="shared" si="8"/>
        <v>1</v>
      </c>
      <c r="BD56" s="738" t="b">
        <f t="shared" si="9"/>
        <v>1</v>
      </c>
      <c r="BE56" s="738" t="b">
        <f t="shared" si="14"/>
        <v>0</v>
      </c>
      <c r="BF56" s="738" t="b">
        <f t="shared" si="15"/>
        <v>0</v>
      </c>
      <c r="BG56" s="738" t="b">
        <f t="shared" si="16"/>
        <v>0</v>
      </c>
    </row>
    <row r="57" spans="2:59" ht="24" customHeight="1" x14ac:dyDescent="0.2">
      <c r="B57" s="326" t="str">
        <f>Planung!$E51</f>
        <v/>
      </c>
      <c r="C57" s="226" t="str">
        <f>Planung!$F51</f>
        <v/>
      </c>
      <c r="D57" s="227" t="str">
        <f>Planung!$G51</f>
        <v/>
      </c>
      <c r="E57" s="227" t="str">
        <f ca="1">Planung!$H51</f>
        <v/>
      </c>
      <c r="F57" s="228" t="str">
        <f ca="1">Planung!$L51</f>
        <v/>
      </c>
      <c r="G57" s="229" t="s">
        <v>4</v>
      </c>
      <c r="H57" s="228" t="str">
        <f ca="1">Planung!$N51</f>
        <v/>
      </c>
      <c r="I57" s="230"/>
      <c r="J57" s="829" t="str">
        <f>Sprache!$E$109</f>
        <v xml:space="preserve"> : </v>
      </c>
      <c r="K57" s="601"/>
      <c r="L57" s="230"/>
      <c r="M57" s="829" t="str">
        <f>Sprache!$E$109</f>
        <v xml:space="preserve"> : </v>
      </c>
      <c r="N57" s="601"/>
      <c r="O57" s="230"/>
      <c r="P57" s="736" t="str">
        <f>Sprache!$E$109</f>
        <v xml:space="preserve"> : </v>
      </c>
      <c r="Q57" s="601"/>
      <c r="R57" s="739" t="str">
        <f t="shared" ca="1" si="5"/>
        <v/>
      </c>
      <c r="S57" s="732" t="str">
        <f>Sprache!$E$109</f>
        <v xml:space="preserve"> : </v>
      </c>
      <c r="T57" s="733" t="str">
        <f t="shared" ca="1" si="6"/>
        <v/>
      </c>
      <c r="U57" s="690" t="str">
        <f>IF(Planung!$O51="","",Planung!$O51)</f>
        <v/>
      </c>
      <c r="BA57" s="738" t="b">
        <f t="shared" ca="1" si="13"/>
        <v>1</v>
      </c>
      <c r="BB57" s="738" t="b">
        <f t="shared" si="7"/>
        <v>1</v>
      </c>
      <c r="BC57" s="738" t="b">
        <f t="shared" si="8"/>
        <v>1</v>
      </c>
      <c r="BD57" s="738" t="b">
        <f t="shared" si="9"/>
        <v>1</v>
      </c>
      <c r="BE57" s="738" t="b">
        <f t="shared" si="14"/>
        <v>0</v>
      </c>
      <c r="BF57" s="738" t="b">
        <f t="shared" si="15"/>
        <v>0</v>
      </c>
      <c r="BG57" s="738" t="b">
        <f t="shared" si="16"/>
        <v>0</v>
      </c>
    </row>
    <row r="58" spans="2:59" ht="24" customHeight="1" x14ac:dyDescent="0.2">
      <c r="B58" s="326" t="str">
        <f>Planung!$E52</f>
        <v/>
      </c>
      <c r="C58" s="226" t="str">
        <f>Planung!$F52</f>
        <v/>
      </c>
      <c r="D58" s="227" t="str">
        <f>Planung!$G52</f>
        <v/>
      </c>
      <c r="E58" s="227" t="str">
        <f ca="1">Planung!$H52</f>
        <v/>
      </c>
      <c r="F58" s="228" t="str">
        <f ca="1">Planung!$L52</f>
        <v/>
      </c>
      <c r="G58" s="229" t="s">
        <v>4</v>
      </c>
      <c r="H58" s="228" t="str">
        <f ca="1">Planung!$N52</f>
        <v/>
      </c>
      <c r="I58" s="230"/>
      <c r="J58" s="829" t="str">
        <f>Sprache!$E$109</f>
        <v xml:space="preserve"> : </v>
      </c>
      <c r="K58" s="601"/>
      <c r="L58" s="230"/>
      <c r="M58" s="829" t="str">
        <f>Sprache!$E$109</f>
        <v xml:space="preserve"> : </v>
      </c>
      <c r="N58" s="601"/>
      <c r="O58" s="230"/>
      <c r="P58" s="736" t="str">
        <f>Sprache!$E$109</f>
        <v xml:space="preserve"> : </v>
      </c>
      <c r="Q58" s="601"/>
      <c r="R58" s="739" t="str">
        <f t="shared" ca="1" si="5"/>
        <v/>
      </c>
      <c r="S58" s="732" t="str">
        <f>Sprache!$E$109</f>
        <v xml:space="preserve"> : </v>
      </c>
      <c r="T58" s="733" t="str">
        <f t="shared" ca="1" si="6"/>
        <v/>
      </c>
      <c r="U58" s="690" t="str">
        <f>IF(Planung!$O52="","",Planung!$O52)</f>
        <v/>
      </c>
      <c r="BA58" s="738" t="b">
        <f t="shared" ca="1" si="13"/>
        <v>1</v>
      </c>
      <c r="BB58" s="738" t="b">
        <f t="shared" si="7"/>
        <v>1</v>
      </c>
      <c r="BC58" s="738" t="b">
        <f t="shared" si="8"/>
        <v>1</v>
      </c>
      <c r="BD58" s="738" t="b">
        <f t="shared" si="9"/>
        <v>1</v>
      </c>
      <c r="BE58" s="738" t="b">
        <f t="shared" si="14"/>
        <v>0</v>
      </c>
      <c r="BF58" s="738" t="b">
        <f t="shared" si="15"/>
        <v>0</v>
      </c>
      <c r="BG58" s="738" t="b">
        <f t="shared" si="16"/>
        <v>0</v>
      </c>
    </row>
    <row r="59" spans="2:59" ht="24" customHeight="1" x14ac:dyDescent="0.2">
      <c r="B59" s="326" t="str">
        <f>Planung!$E53</f>
        <v/>
      </c>
      <c r="C59" s="226" t="str">
        <f>Planung!$F53</f>
        <v/>
      </c>
      <c r="D59" s="227" t="str">
        <f>Planung!$G53</f>
        <v/>
      </c>
      <c r="E59" s="227" t="str">
        <f ca="1">Planung!$H53</f>
        <v/>
      </c>
      <c r="F59" s="228" t="str">
        <f ca="1">Planung!$L53</f>
        <v/>
      </c>
      <c r="G59" s="229" t="s">
        <v>4</v>
      </c>
      <c r="H59" s="228" t="str">
        <f ca="1">Planung!$N53</f>
        <v/>
      </c>
      <c r="I59" s="230"/>
      <c r="J59" s="829" t="str">
        <f>Sprache!$E$109</f>
        <v xml:space="preserve"> : </v>
      </c>
      <c r="K59" s="601"/>
      <c r="L59" s="230"/>
      <c r="M59" s="829" t="str">
        <f>Sprache!$E$109</f>
        <v xml:space="preserve"> : </v>
      </c>
      <c r="N59" s="601"/>
      <c r="O59" s="230"/>
      <c r="P59" s="736" t="str">
        <f>Sprache!$E$109</f>
        <v xml:space="preserve"> : </v>
      </c>
      <c r="Q59" s="601"/>
      <c r="R59" s="739" t="str">
        <f t="shared" ca="1" si="5"/>
        <v/>
      </c>
      <c r="S59" s="732" t="str">
        <f>Sprache!$E$109</f>
        <v xml:space="preserve"> : </v>
      </c>
      <c r="T59" s="733" t="str">
        <f t="shared" ca="1" si="6"/>
        <v/>
      </c>
      <c r="U59" s="690" t="str">
        <f>IF(Planung!$O53="","",Planung!$O53)</f>
        <v/>
      </c>
      <c r="BA59" s="738" t="b">
        <f t="shared" ca="1" si="13"/>
        <v>1</v>
      </c>
      <c r="BB59" s="738" t="b">
        <f t="shared" si="7"/>
        <v>1</v>
      </c>
      <c r="BC59" s="738" t="b">
        <f t="shared" si="8"/>
        <v>1</v>
      </c>
      <c r="BD59" s="738" t="b">
        <f t="shared" si="9"/>
        <v>1</v>
      </c>
      <c r="BE59" s="738" t="b">
        <f t="shared" si="14"/>
        <v>0</v>
      </c>
      <c r="BF59" s="738" t="b">
        <f t="shared" si="15"/>
        <v>0</v>
      </c>
      <c r="BG59" s="738" t="b">
        <f t="shared" si="16"/>
        <v>0</v>
      </c>
    </row>
    <row r="60" spans="2:59" ht="24" customHeight="1" x14ac:dyDescent="0.2">
      <c r="B60" s="326" t="str">
        <f>Planung!$E54</f>
        <v/>
      </c>
      <c r="C60" s="226" t="str">
        <f>Planung!$F54</f>
        <v/>
      </c>
      <c r="D60" s="227" t="str">
        <f>Planung!$G54</f>
        <v/>
      </c>
      <c r="E60" s="227" t="str">
        <f ca="1">Planung!$H54</f>
        <v/>
      </c>
      <c r="F60" s="228" t="str">
        <f ca="1">Planung!$L54</f>
        <v/>
      </c>
      <c r="G60" s="229" t="s">
        <v>4</v>
      </c>
      <c r="H60" s="228" t="str">
        <f ca="1">Planung!$N54</f>
        <v/>
      </c>
      <c r="I60" s="230"/>
      <c r="J60" s="829" t="str">
        <f>Sprache!$E$109</f>
        <v xml:space="preserve"> : </v>
      </c>
      <c r="K60" s="601"/>
      <c r="L60" s="230"/>
      <c r="M60" s="829" t="str">
        <f>Sprache!$E$109</f>
        <v xml:space="preserve"> : </v>
      </c>
      <c r="N60" s="601"/>
      <c r="O60" s="230"/>
      <c r="P60" s="736" t="str">
        <f>Sprache!$E$109</f>
        <v xml:space="preserve"> : </v>
      </c>
      <c r="Q60" s="601"/>
      <c r="R60" s="739" t="str">
        <f t="shared" ca="1" si="5"/>
        <v/>
      </c>
      <c r="S60" s="732" t="str">
        <f>Sprache!$E$109</f>
        <v xml:space="preserve"> : </v>
      </c>
      <c r="T60" s="733" t="str">
        <f t="shared" ca="1" si="6"/>
        <v/>
      </c>
      <c r="U60" s="690" t="str">
        <f>IF(Planung!$O54="","",Planung!$O54)</f>
        <v/>
      </c>
      <c r="BA60" s="738" t="b">
        <f t="shared" ca="1" si="13"/>
        <v>1</v>
      </c>
      <c r="BB60" s="738" t="b">
        <f t="shared" si="7"/>
        <v>1</v>
      </c>
      <c r="BC60" s="738" t="b">
        <f t="shared" si="8"/>
        <v>1</v>
      </c>
      <c r="BD60" s="738" t="b">
        <f t="shared" si="9"/>
        <v>1</v>
      </c>
      <c r="BE60" s="738" t="b">
        <f t="shared" si="14"/>
        <v>0</v>
      </c>
      <c r="BF60" s="738" t="b">
        <f t="shared" si="15"/>
        <v>0</v>
      </c>
      <c r="BG60" s="738" t="b">
        <f t="shared" si="16"/>
        <v>0</v>
      </c>
    </row>
    <row r="61" spans="2:59" ht="24" customHeight="1" x14ac:dyDescent="0.2">
      <c r="B61" s="326" t="str">
        <f>Planung!$E55</f>
        <v/>
      </c>
      <c r="C61" s="226" t="str">
        <f>Planung!$F55</f>
        <v/>
      </c>
      <c r="D61" s="227" t="str">
        <f>Planung!$G55</f>
        <v/>
      </c>
      <c r="E61" s="227" t="str">
        <f ca="1">Planung!$H55</f>
        <v/>
      </c>
      <c r="F61" s="228" t="str">
        <f ca="1">Planung!$L55</f>
        <v/>
      </c>
      <c r="G61" s="229" t="s">
        <v>4</v>
      </c>
      <c r="H61" s="228" t="str">
        <f ca="1">Planung!$N55</f>
        <v/>
      </c>
      <c r="I61" s="230"/>
      <c r="J61" s="829" t="str">
        <f>Sprache!$E$109</f>
        <v xml:space="preserve"> : </v>
      </c>
      <c r="K61" s="601"/>
      <c r="L61" s="230"/>
      <c r="M61" s="829" t="str">
        <f>Sprache!$E$109</f>
        <v xml:space="preserve"> : </v>
      </c>
      <c r="N61" s="601"/>
      <c r="O61" s="230"/>
      <c r="P61" s="736" t="str">
        <f>Sprache!$E$109</f>
        <v xml:space="preserve"> : </v>
      </c>
      <c r="Q61" s="601"/>
      <c r="R61" s="739" t="str">
        <f t="shared" ca="1" si="5"/>
        <v/>
      </c>
      <c r="S61" s="732" t="str">
        <f>Sprache!$E$109</f>
        <v xml:space="preserve"> : </v>
      </c>
      <c r="T61" s="733" t="str">
        <f t="shared" ca="1" si="6"/>
        <v/>
      </c>
      <c r="U61" s="690" t="str">
        <f>IF(Planung!$O55="","",Planung!$O55)</f>
        <v/>
      </c>
      <c r="BA61" s="738" t="b">
        <f t="shared" ca="1" si="13"/>
        <v>1</v>
      </c>
      <c r="BB61" s="738" t="b">
        <f t="shared" si="7"/>
        <v>1</v>
      </c>
      <c r="BC61" s="738" t="b">
        <f t="shared" si="8"/>
        <v>1</v>
      </c>
      <c r="BD61" s="738" t="b">
        <f t="shared" si="9"/>
        <v>1</v>
      </c>
      <c r="BE61" s="738" t="b">
        <f t="shared" si="14"/>
        <v>0</v>
      </c>
      <c r="BF61" s="738" t="b">
        <f t="shared" si="15"/>
        <v>0</v>
      </c>
      <c r="BG61" s="738" t="b">
        <f t="shared" si="16"/>
        <v>0</v>
      </c>
    </row>
    <row r="62" spans="2:59" ht="24" customHeight="1" x14ac:dyDescent="0.2">
      <c r="B62" s="326" t="str">
        <f>Planung!$E56</f>
        <v/>
      </c>
      <c r="C62" s="226" t="str">
        <f>Planung!$F56</f>
        <v/>
      </c>
      <c r="D62" s="227" t="str">
        <f>Planung!$G56</f>
        <v/>
      </c>
      <c r="E62" s="227" t="str">
        <f ca="1">Planung!$H56</f>
        <v/>
      </c>
      <c r="F62" s="228" t="str">
        <f ca="1">Planung!$L56</f>
        <v/>
      </c>
      <c r="G62" s="229" t="s">
        <v>4</v>
      </c>
      <c r="H62" s="228" t="str">
        <f ca="1">Planung!$N56</f>
        <v/>
      </c>
      <c r="I62" s="230"/>
      <c r="J62" s="829" t="str">
        <f>Sprache!$E$109</f>
        <v xml:space="preserve"> : </v>
      </c>
      <c r="K62" s="601"/>
      <c r="L62" s="230"/>
      <c r="M62" s="829" t="str">
        <f>Sprache!$E$109</f>
        <v xml:space="preserve"> : </v>
      </c>
      <c r="N62" s="601"/>
      <c r="O62" s="230"/>
      <c r="P62" s="736" t="str">
        <f>Sprache!$E$109</f>
        <v xml:space="preserve"> : </v>
      </c>
      <c r="Q62" s="601"/>
      <c r="R62" s="739" t="str">
        <f t="shared" ca="1" si="5"/>
        <v/>
      </c>
      <c r="S62" s="732" t="str">
        <f>Sprache!$E$109</f>
        <v xml:space="preserve"> : </v>
      </c>
      <c r="T62" s="733" t="str">
        <f t="shared" ca="1" si="6"/>
        <v/>
      </c>
      <c r="U62" s="690" t="str">
        <f>IF(Planung!$O56="","",Planung!$O56)</f>
        <v/>
      </c>
      <c r="BA62" s="738" t="b">
        <f t="shared" ca="1" si="13"/>
        <v>1</v>
      </c>
      <c r="BB62" s="738" t="b">
        <f t="shared" si="7"/>
        <v>1</v>
      </c>
      <c r="BC62" s="738" t="b">
        <f t="shared" si="8"/>
        <v>1</v>
      </c>
      <c r="BD62" s="738" t="b">
        <f t="shared" si="9"/>
        <v>1</v>
      </c>
      <c r="BE62" s="738" t="b">
        <f t="shared" si="14"/>
        <v>0</v>
      </c>
      <c r="BF62" s="738" t="b">
        <f t="shared" si="15"/>
        <v>0</v>
      </c>
      <c r="BG62" s="738" t="b">
        <f t="shared" si="16"/>
        <v>0</v>
      </c>
    </row>
    <row r="63" spans="2:59" ht="24" customHeight="1" x14ac:dyDescent="0.2">
      <c r="B63" s="326" t="str">
        <f>Planung!$E57</f>
        <v/>
      </c>
      <c r="C63" s="226" t="str">
        <f>Planung!$F57</f>
        <v/>
      </c>
      <c r="D63" s="227" t="str">
        <f>Planung!$G57</f>
        <v/>
      </c>
      <c r="E63" s="227" t="str">
        <f ca="1">Planung!$H57</f>
        <v/>
      </c>
      <c r="F63" s="228" t="str">
        <f ca="1">Planung!$L57</f>
        <v/>
      </c>
      <c r="G63" s="229" t="s">
        <v>4</v>
      </c>
      <c r="H63" s="228" t="str">
        <f ca="1">Planung!$N57</f>
        <v/>
      </c>
      <c r="I63" s="230"/>
      <c r="J63" s="829" t="str">
        <f>Sprache!$E$109</f>
        <v xml:space="preserve"> : </v>
      </c>
      <c r="K63" s="601"/>
      <c r="L63" s="230"/>
      <c r="M63" s="829" t="str">
        <f>Sprache!$E$109</f>
        <v xml:space="preserve"> : </v>
      </c>
      <c r="N63" s="601"/>
      <c r="O63" s="230"/>
      <c r="P63" s="736" t="str">
        <f>Sprache!$E$109</f>
        <v xml:space="preserve"> : </v>
      </c>
      <c r="Q63" s="601"/>
      <c r="R63" s="739" t="str">
        <f t="shared" ca="1" si="5"/>
        <v/>
      </c>
      <c r="S63" s="732" t="str">
        <f>Sprache!$E$109</f>
        <v xml:space="preserve"> : </v>
      </c>
      <c r="T63" s="733" t="str">
        <f t="shared" ca="1" si="6"/>
        <v/>
      </c>
      <c r="U63" s="690" t="str">
        <f>IF(Planung!$O57="","",Planung!$O57)</f>
        <v/>
      </c>
      <c r="BA63" s="738" t="b">
        <f t="shared" ca="1" si="13"/>
        <v>1</v>
      </c>
      <c r="BB63" s="738" t="b">
        <f t="shared" si="7"/>
        <v>1</v>
      </c>
      <c r="BC63" s="738" t="b">
        <f t="shared" si="8"/>
        <v>1</v>
      </c>
      <c r="BD63" s="738" t="b">
        <f t="shared" si="9"/>
        <v>1</v>
      </c>
      <c r="BE63" s="738" t="b">
        <f t="shared" si="14"/>
        <v>0</v>
      </c>
      <c r="BF63" s="738" t="b">
        <f t="shared" si="15"/>
        <v>0</v>
      </c>
      <c r="BG63" s="738" t="b">
        <f t="shared" si="16"/>
        <v>0</v>
      </c>
    </row>
    <row r="64" spans="2:59" ht="24" customHeight="1" x14ac:dyDescent="0.2">
      <c r="B64" s="326" t="str">
        <f>Planung!$E58</f>
        <v/>
      </c>
      <c r="C64" s="226" t="str">
        <f>Planung!$F58</f>
        <v/>
      </c>
      <c r="D64" s="227" t="str">
        <f>Planung!$G58</f>
        <v/>
      </c>
      <c r="E64" s="227" t="str">
        <f ca="1">Planung!$H58</f>
        <v/>
      </c>
      <c r="F64" s="228" t="str">
        <f ca="1">Planung!$L58</f>
        <v/>
      </c>
      <c r="G64" s="229" t="s">
        <v>4</v>
      </c>
      <c r="H64" s="228" t="str">
        <f ca="1">Planung!$N58</f>
        <v/>
      </c>
      <c r="I64" s="230"/>
      <c r="J64" s="829" t="str">
        <f>Sprache!$E$109</f>
        <v xml:space="preserve"> : </v>
      </c>
      <c r="K64" s="601"/>
      <c r="L64" s="230"/>
      <c r="M64" s="829" t="str">
        <f>Sprache!$E$109</f>
        <v xml:space="preserve"> : </v>
      </c>
      <c r="N64" s="601"/>
      <c r="O64" s="230"/>
      <c r="P64" s="736" t="str">
        <f>Sprache!$E$109</f>
        <v xml:space="preserve"> : </v>
      </c>
      <c r="Q64" s="601"/>
      <c r="R64" s="739" t="str">
        <f t="shared" ca="1" si="5"/>
        <v/>
      </c>
      <c r="S64" s="732" t="str">
        <f>Sprache!$E$109</f>
        <v xml:space="preserve"> : </v>
      </c>
      <c r="T64" s="733" t="str">
        <f t="shared" ca="1" si="6"/>
        <v/>
      </c>
      <c r="U64" s="690" t="str">
        <f>IF(Planung!$O58="","",Planung!$O58)</f>
        <v/>
      </c>
      <c r="BA64" s="738" t="b">
        <f t="shared" ca="1" si="13"/>
        <v>1</v>
      </c>
      <c r="BB64" s="738" t="b">
        <f t="shared" si="7"/>
        <v>1</v>
      </c>
      <c r="BC64" s="738" t="b">
        <f t="shared" si="8"/>
        <v>1</v>
      </c>
      <c r="BD64" s="738" t="b">
        <f t="shared" si="9"/>
        <v>1</v>
      </c>
      <c r="BE64" s="738" t="b">
        <f t="shared" si="14"/>
        <v>0</v>
      </c>
      <c r="BF64" s="738" t="b">
        <f t="shared" si="15"/>
        <v>0</v>
      </c>
      <c r="BG64" s="738" t="b">
        <f t="shared" si="16"/>
        <v>0</v>
      </c>
    </row>
    <row r="65" spans="2:59" ht="24" customHeight="1" x14ac:dyDescent="0.2">
      <c r="B65" s="326" t="str">
        <f>Planung!$E59</f>
        <v/>
      </c>
      <c r="C65" s="226" t="str">
        <f>Planung!$F59</f>
        <v/>
      </c>
      <c r="D65" s="227" t="str">
        <f>Planung!$G59</f>
        <v/>
      </c>
      <c r="E65" s="227" t="str">
        <f ca="1">Planung!$H59</f>
        <v/>
      </c>
      <c r="F65" s="228" t="str">
        <f ca="1">Planung!$L59</f>
        <v/>
      </c>
      <c r="G65" s="229" t="s">
        <v>4</v>
      </c>
      <c r="H65" s="228" t="str">
        <f ca="1">Planung!$N59</f>
        <v/>
      </c>
      <c r="I65" s="230"/>
      <c r="J65" s="829" t="str">
        <f>Sprache!$E$109</f>
        <v xml:space="preserve"> : </v>
      </c>
      <c r="K65" s="601"/>
      <c r="L65" s="230"/>
      <c r="M65" s="829" t="str">
        <f>Sprache!$E$109</f>
        <v xml:space="preserve"> : </v>
      </c>
      <c r="N65" s="601"/>
      <c r="O65" s="230"/>
      <c r="P65" s="736" t="str">
        <f>Sprache!$E$109</f>
        <v xml:space="preserve"> : </v>
      </c>
      <c r="Q65" s="601"/>
      <c r="R65" s="739" t="str">
        <f t="shared" ca="1" si="5"/>
        <v/>
      </c>
      <c r="S65" s="732" t="str">
        <f>Sprache!$E$109</f>
        <v xml:space="preserve"> : </v>
      </c>
      <c r="T65" s="733" t="str">
        <f t="shared" ca="1" si="6"/>
        <v/>
      </c>
      <c r="U65" s="690" t="str">
        <f>IF(Planung!$O59="","",Planung!$O59)</f>
        <v/>
      </c>
      <c r="BA65" s="738" t="b">
        <f t="shared" ca="1" si="13"/>
        <v>1</v>
      </c>
      <c r="BB65" s="738" t="b">
        <f t="shared" si="7"/>
        <v>1</v>
      </c>
      <c r="BC65" s="738" t="b">
        <f t="shared" si="8"/>
        <v>1</v>
      </c>
      <c r="BD65" s="738" t="b">
        <f t="shared" si="9"/>
        <v>1</v>
      </c>
      <c r="BE65" s="738" t="b">
        <f t="shared" si="14"/>
        <v>0</v>
      </c>
      <c r="BF65" s="738" t="b">
        <f t="shared" si="15"/>
        <v>0</v>
      </c>
      <c r="BG65" s="738" t="b">
        <f t="shared" si="16"/>
        <v>0</v>
      </c>
    </row>
    <row r="66" spans="2:59" ht="24" customHeight="1" x14ac:dyDescent="0.2">
      <c r="B66" s="326" t="str">
        <f>Planung!$E60</f>
        <v/>
      </c>
      <c r="C66" s="226" t="str">
        <f>Planung!$F60</f>
        <v/>
      </c>
      <c r="D66" s="227" t="str">
        <f>Planung!$G60</f>
        <v/>
      </c>
      <c r="E66" s="227" t="str">
        <f ca="1">Planung!$H60</f>
        <v/>
      </c>
      <c r="F66" s="228" t="str">
        <f ca="1">Planung!$L60</f>
        <v/>
      </c>
      <c r="G66" s="229" t="s">
        <v>4</v>
      </c>
      <c r="H66" s="228" t="str">
        <f ca="1">Planung!$N60</f>
        <v/>
      </c>
      <c r="I66" s="230"/>
      <c r="J66" s="829" t="str">
        <f>Sprache!$E$109</f>
        <v xml:space="preserve"> : </v>
      </c>
      <c r="K66" s="601"/>
      <c r="L66" s="230"/>
      <c r="M66" s="829" t="str">
        <f>Sprache!$E$109</f>
        <v xml:space="preserve"> : </v>
      </c>
      <c r="N66" s="601"/>
      <c r="O66" s="230"/>
      <c r="P66" s="736" t="str">
        <f>Sprache!$E$109</f>
        <v xml:space="preserve"> : </v>
      </c>
      <c r="Q66" s="601"/>
      <c r="R66" s="739" t="str">
        <f t="shared" ca="1" si="5"/>
        <v/>
      </c>
      <c r="S66" s="732" t="str">
        <f>Sprache!$E$109</f>
        <v xml:space="preserve"> : </v>
      </c>
      <c r="T66" s="733" t="str">
        <f t="shared" ca="1" si="6"/>
        <v/>
      </c>
      <c r="U66" s="690" t="str">
        <f>IF(Planung!$O60="","",Planung!$O60)</f>
        <v/>
      </c>
      <c r="BA66" s="738" t="b">
        <f t="shared" ca="1" si="13"/>
        <v>1</v>
      </c>
      <c r="BB66" s="738" t="b">
        <f t="shared" si="7"/>
        <v>1</v>
      </c>
      <c r="BC66" s="738" t="b">
        <f t="shared" si="8"/>
        <v>1</v>
      </c>
      <c r="BD66" s="738" t="b">
        <f t="shared" si="9"/>
        <v>1</v>
      </c>
      <c r="BE66" s="738" t="b">
        <f t="shared" si="14"/>
        <v>0</v>
      </c>
      <c r="BF66" s="738" t="b">
        <f t="shared" si="15"/>
        <v>0</v>
      </c>
      <c r="BG66" s="738" t="b">
        <f t="shared" si="16"/>
        <v>0</v>
      </c>
    </row>
    <row r="67" spans="2:59" ht="24" customHeight="1" x14ac:dyDescent="0.2">
      <c r="B67" s="326" t="str">
        <f>Planung!$E61</f>
        <v/>
      </c>
      <c r="C67" s="226" t="str">
        <f>Planung!$F61</f>
        <v/>
      </c>
      <c r="D67" s="227" t="str">
        <f>Planung!$G61</f>
        <v/>
      </c>
      <c r="E67" s="227" t="str">
        <f ca="1">Planung!$H61</f>
        <v/>
      </c>
      <c r="F67" s="228" t="str">
        <f ca="1">Planung!$L61</f>
        <v/>
      </c>
      <c r="G67" s="229" t="s">
        <v>4</v>
      </c>
      <c r="H67" s="228" t="str">
        <f ca="1">Planung!$N61</f>
        <v/>
      </c>
      <c r="I67" s="230"/>
      <c r="J67" s="829" t="str">
        <f>Sprache!$E$109</f>
        <v xml:space="preserve"> : </v>
      </c>
      <c r="K67" s="601"/>
      <c r="L67" s="230"/>
      <c r="M67" s="829" t="str">
        <f>Sprache!$E$109</f>
        <v xml:space="preserve"> : </v>
      </c>
      <c r="N67" s="601"/>
      <c r="O67" s="230"/>
      <c r="P67" s="736" t="str">
        <f>Sprache!$E$109</f>
        <v xml:space="preserve"> : </v>
      </c>
      <c r="Q67" s="601"/>
      <c r="R67" s="739" t="str">
        <f t="shared" ca="1" si="5"/>
        <v/>
      </c>
      <c r="S67" s="732" t="str">
        <f>Sprache!$E$109</f>
        <v xml:space="preserve"> : </v>
      </c>
      <c r="T67" s="733" t="str">
        <f t="shared" ca="1" si="6"/>
        <v/>
      </c>
      <c r="U67" s="690" t="str">
        <f>IF(Planung!$O61="","",Planung!$O61)</f>
        <v/>
      </c>
      <c r="BA67" s="738" t="b">
        <f t="shared" ca="1" si="13"/>
        <v>1</v>
      </c>
      <c r="BB67" s="738" t="b">
        <f t="shared" si="7"/>
        <v>1</v>
      </c>
      <c r="BC67" s="738" t="b">
        <f t="shared" si="8"/>
        <v>1</v>
      </c>
      <c r="BD67" s="738" t="b">
        <f t="shared" si="9"/>
        <v>1</v>
      </c>
      <c r="BE67" s="738" t="b">
        <f t="shared" si="14"/>
        <v>0</v>
      </c>
      <c r="BF67" s="738" t="b">
        <f t="shared" si="15"/>
        <v>0</v>
      </c>
      <c r="BG67" s="738" t="b">
        <f t="shared" si="16"/>
        <v>0</v>
      </c>
    </row>
    <row r="68" spans="2:59" ht="24" customHeight="1" x14ac:dyDescent="0.2">
      <c r="B68" s="326" t="str">
        <f>Planung!$E62</f>
        <v/>
      </c>
      <c r="C68" s="226" t="str">
        <f>Planung!$F62</f>
        <v/>
      </c>
      <c r="D68" s="227" t="str">
        <f>Planung!$G62</f>
        <v/>
      </c>
      <c r="E68" s="227" t="str">
        <f ca="1">Planung!$H62</f>
        <v/>
      </c>
      <c r="F68" s="228" t="str">
        <f ca="1">Planung!$L62</f>
        <v/>
      </c>
      <c r="G68" s="229" t="s">
        <v>4</v>
      </c>
      <c r="H68" s="228" t="str">
        <f ca="1">Planung!$N62</f>
        <v/>
      </c>
      <c r="I68" s="230"/>
      <c r="J68" s="829" t="str">
        <f>Sprache!$E$109</f>
        <v xml:space="preserve"> : </v>
      </c>
      <c r="K68" s="601"/>
      <c r="L68" s="230"/>
      <c r="M68" s="829" t="str">
        <f>Sprache!$E$109</f>
        <v xml:space="preserve"> : </v>
      </c>
      <c r="N68" s="601"/>
      <c r="O68" s="230"/>
      <c r="P68" s="736" t="str">
        <f>Sprache!$E$109</f>
        <v xml:space="preserve"> : </v>
      </c>
      <c r="Q68" s="601"/>
      <c r="R68" s="739" t="str">
        <f t="shared" ca="1" si="5"/>
        <v/>
      </c>
      <c r="S68" s="732" t="str">
        <f>Sprache!$E$109</f>
        <v xml:space="preserve"> : </v>
      </c>
      <c r="T68" s="733" t="str">
        <f t="shared" ca="1" si="6"/>
        <v/>
      </c>
      <c r="U68" s="690" t="str">
        <f>IF(Planung!$O62="","",Planung!$O62)</f>
        <v/>
      </c>
      <c r="BA68" s="738" t="b">
        <f t="shared" ca="1" si="13"/>
        <v>1</v>
      </c>
      <c r="BB68" s="738" t="b">
        <f t="shared" si="7"/>
        <v>1</v>
      </c>
      <c r="BC68" s="738" t="b">
        <f t="shared" si="8"/>
        <v>1</v>
      </c>
      <c r="BD68" s="738" t="b">
        <f t="shared" si="9"/>
        <v>1</v>
      </c>
      <c r="BE68" s="738" t="b">
        <f t="shared" si="14"/>
        <v>0</v>
      </c>
      <c r="BF68" s="738" t="b">
        <f t="shared" si="15"/>
        <v>0</v>
      </c>
      <c r="BG68" s="738" t="b">
        <f t="shared" si="16"/>
        <v>0</v>
      </c>
    </row>
    <row r="69" spans="2:59" ht="24" customHeight="1" x14ac:dyDescent="0.2">
      <c r="B69" s="326" t="str">
        <f>Planung!$E63</f>
        <v/>
      </c>
      <c r="C69" s="226" t="str">
        <f>Planung!$F63</f>
        <v/>
      </c>
      <c r="D69" s="227" t="str">
        <f>Planung!$G63</f>
        <v/>
      </c>
      <c r="E69" s="227" t="str">
        <f ca="1">Planung!$H63</f>
        <v/>
      </c>
      <c r="F69" s="228" t="str">
        <f ca="1">Planung!$L63</f>
        <v/>
      </c>
      <c r="G69" s="229" t="s">
        <v>4</v>
      </c>
      <c r="H69" s="228" t="str">
        <f ca="1">Planung!$N63</f>
        <v/>
      </c>
      <c r="I69" s="230"/>
      <c r="J69" s="829" t="str">
        <f>Sprache!$E$109</f>
        <v xml:space="preserve"> : </v>
      </c>
      <c r="K69" s="601"/>
      <c r="L69" s="230"/>
      <c r="M69" s="829" t="str">
        <f>Sprache!$E$109</f>
        <v xml:space="preserve"> : </v>
      </c>
      <c r="N69" s="601"/>
      <c r="O69" s="230"/>
      <c r="P69" s="736" t="str">
        <f>Sprache!$E$109</f>
        <v xml:space="preserve"> : </v>
      </c>
      <c r="Q69" s="601"/>
      <c r="R69" s="739" t="str">
        <f t="shared" ca="1" si="5"/>
        <v/>
      </c>
      <c r="S69" s="732" t="str">
        <f>Sprache!$E$109</f>
        <v xml:space="preserve"> : </v>
      </c>
      <c r="T69" s="733" t="str">
        <f t="shared" ca="1" si="6"/>
        <v/>
      </c>
      <c r="U69" s="690" t="str">
        <f>IF(Planung!$O63="","",Planung!$O63)</f>
        <v/>
      </c>
      <c r="BA69" s="738" t="b">
        <f t="shared" ca="1" si="13"/>
        <v>1</v>
      </c>
      <c r="BB69" s="738" t="b">
        <f t="shared" si="7"/>
        <v>1</v>
      </c>
      <c r="BC69" s="738" t="b">
        <f t="shared" si="8"/>
        <v>1</v>
      </c>
      <c r="BD69" s="738" t="b">
        <f t="shared" si="9"/>
        <v>1</v>
      </c>
      <c r="BE69" s="738" t="b">
        <f t="shared" si="14"/>
        <v>0</v>
      </c>
      <c r="BF69" s="738" t="b">
        <f t="shared" si="15"/>
        <v>0</v>
      </c>
      <c r="BG69" s="738" t="b">
        <f t="shared" si="16"/>
        <v>0</v>
      </c>
    </row>
    <row r="70" spans="2:59" ht="24" customHeight="1" x14ac:dyDescent="0.2">
      <c r="B70" s="326" t="str">
        <f>Planung!$E64</f>
        <v/>
      </c>
      <c r="C70" s="226" t="str">
        <f>Planung!$F64</f>
        <v/>
      </c>
      <c r="D70" s="227" t="str">
        <f>Planung!$G64</f>
        <v/>
      </c>
      <c r="E70" s="227" t="str">
        <f ca="1">Planung!$H64</f>
        <v/>
      </c>
      <c r="F70" s="228" t="str">
        <f ca="1">Planung!$L64</f>
        <v/>
      </c>
      <c r="G70" s="229" t="s">
        <v>4</v>
      </c>
      <c r="H70" s="228" t="str">
        <f ca="1">Planung!$N64</f>
        <v/>
      </c>
      <c r="I70" s="230"/>
      <c r="J70" s="829" t="str">
        <f>Sprache!$E$109</f>
        <v xml:space="preserve"> : </v>
      </c>
      <c r="K70" s="601"/>
      <c r="L70" s="230"/>
      <c r="M70" s="829" t="str">
        <f>Sprache!$E$109</f>
        <v xml:space="preserve"> : </v>
      </c>
      <c r="N70" s="601"/>
      <c r="O70" s="230"/>
      <c r="P70" s="736" t="str">
        <f>Sprache!$E$109</f>
        <v xml:space="preserve"> : </v>
      </c>
      <c r="Q70" s="601"/>
      <c r="R70" s="739" t="str">
        <f t="shared" ca="1" si="5"/>
        <v/>
      </c>
      <c r="S70" s="732" t="str">
        <f>Sprache!$E$109</f>
        <v xml:space="preserve"> : </v>
      </c>
      <c r="T70" s="733" t="str">
        <f t="shared" ca="1" si="6"/>
        <v/>
      </c>
      <c r="U70" s="690" t="str">
        <f>IF(Planung!$O64="","",Planung!$O64)</f>
        <v/>
      </c>
      <c r="BA70" s="738" t="b">
        <f t="shared" ca="1" si="13"/>
        <v>1</v>
      </c>
      <c r="BB70" s="738" t="b">
        <f t="shared" si="7"/>
        <v>1</v>
      </c>
      <c r="BC70" s="738" t="b">
        <f t="shared" si="8"/>
        <v>1</v>
      </c>
      <c r="BD70" s="738" t="b">
        <f t="shared" si="9"/>
        <v>1</v>
      </c>
      <c r="BE70" s="738" t="b">
        <f t="shared" si="14"/>
        <v>0</v>
      </c>
      <c r="BF70" s="738" t="b">
        <f t="shared" si="15"/>
        <v>0</v>
      </c>
      <c r="BG70" s="738" t="b">
        <f t="shared" si="16"/>
        <v>0</v>
      </c>
    </row>
    <row r="71" spans="2:59" ht="24" customHeight="1" thickBot="1" x14ac:dyDescent="0.25">
      <c r="B71" s="327" t="str">
        <f>Planung!$E65</f>
        <v/>
      </c>
      <c r="C71" s="231" t="str">
        <f>Planung!$F65</f>
        <v/>
      </c>
      <c r="D71" s="232" t="str">
        <f>Planung!$G65</f>
        <v/>
      </c>
      <c r="E71" s="232" t="str">
        <f ca="1">Planung!$H65</f>
        <v/>
      </c>
      <c r="F71" s="233" t="str">
        <f ca="1">Planung!$L65</f>
        <v/>
      </c>
      <c r="G71" s="234" t="s">
        <v>4</v>
      </c>
      <c r="H71" s="233" t="str">
        <f ca="1">Planung!$N65</f>
        <v/>
      </c>
      <c r="I71" s="235"/>
      <c r="J71" s="830" t="str">
        <f>Sprache!$E$109</f>
        <v xml:space="preserve"> : </v>
      </c>
      <c r="K71" s="602"/>
      <c r="L71" s="235"/>
      <c r="M71" s="830" t="str">
        <f>Sprache!$E$109</f>
        <v xml:space="preserve"> : </v>
      </c>
      <c r="N71" s="602"/>
      <c r="O71" s="235"/>
      <c r="P71" s="737" t="str">
        <f>Sprache!$E$109</f>
        <v xml:space="preserve"> : </v>
      </c>
      <c r="Q71" s="602"/>
      <c r="R71" s="740" t="str">
        <f t="shared" ca="1" si="5"/>
        <v/>
      </c>
      <c r="S71" s="734" t="str">
        <f>Sprache!$E$109</f>
        <v xml:space="preserve"> : </v>
      </c>
      <c r="T71" s="735" t="str">
        <f t="shared" ca="1" si="6"/>
        <v/>
      </c>
      <c r="U71" s="691" t="str">
        <f>IF(Planung!$O65="","",Planung!$O65)</f>
        <v/>
      </c>
      <c r="BA71" s="738" t="b">
        <f t="shared" ca="1" si="13"/>
        <v>1</v>
      </c>
      <c r="BB71" s="738" t="b">
        <f t="shared" si="7"/>
        <v>1</v>
      </c>
      <c r="BC71" s="738" t="b">
        <f t="shared" si="8"/>
        <v>1</v>
      </c>
      <c r="BD71" s="738" t="b">
        <f t="shared" si="9"/>
        <v>1</v>
      </c>
      <c r="BE71" s="738" t="b">
        <f t="shared" si="14"/>
        <v>0</v>
      </c>
      <c r="BF71" s="738" t="b">
        <f t="shared" si="15"/>
        <v>0</v>
      </c>
      <c r="BG71" s="738" t="b">
        <f t="shared" si="16"/>
        <v>0</v>
      </c>
    </row>
    <row r="72" spans="2:59" ht="13.5" thickTop="1" x14ac:dyDescent="0.2"/>
    <row r="73" spans="2:59" x14ac:dyDescent="0.2"/>
    <row r="74" spans="2:59" x14ac:dyDescent="0.2"/>
    <row r="75" spans="2:59" x14ac:dyDescent="0.2"/>
  </sheetData>
  <sheetProtection sheet="1" selectLockedCells="1"/>
  <mergeCells count="35">
    <mergeCell ref="AL2:AM2"/>
    <mergeCell ref="AU10:AV10"/>
    <mergeCell ref="I7:X8"/>
    <mergeCell ref="H2:AB2"/>
    <mergeCell ref="H3:AB3"/>
    <mergeCell ref="H4:AB4"/>
    <mergeCell ref="H5:AB5"/>
    <mergeCell ref="AU7:AX8"/>
    <mergeCell ref="W1:X1"/>
    <mergeCell ref="F11:H11"/>
    <mergeCell ref="I11:K11"/>
    <mergeCell ref="AG11:AI11"/>
    <mergeCell ref="W11:X11"/>
    <mergeCell ref="W10:X10"/>
    <mergeCell ref="L11:N11"/>
    <mergeCell ref="AC11:AE11"/>
    <mergeCell ref="O11:Q11"/>
    <mergeCell ref="R11:T11"/>
    <mergeCell ref="AU40:AV40"/>
    <mergeCell ref="AU20:AV20"/>
    <mergeCell ref="W30:X30"/>
    <mergeCell ref="W31:X31"/>
    <mergeCell ref="AG31:AI31"/>
    <mergeCell ref="W21:X21"/>
    <mergeCell ref="AG21:AI21"/>
    <mergeCell ref="W20:X20"/>
    <mergeCell ref="AU30:AV30"/>
    <mergeCell ref="AC21:AE21"/>
    <mergeCell ref="AC31:AE31"/>
    <mergeCell ref="W50:AJ50"/>
    <mergeCell ref="AK50:AR50"/>
    <mergeCell ref="W40:X40"/>
    <mergeCell ref="W41:X41"/>
    <mergeCell ref="AG41:AI41"/>
    <mergeCell ref="AC41:AE41"/>
  </mergeCells>
  <conditionalFormatting sqref="W12:AR17 W22:AR27 W32:AR37 W42:AR47">
    <cfRule type="expression" dxfId="38" priority="11">
      <formula>$X12=""</formula>
    </cfRule>
  </conditionalFormatting>
  <conditionalFormatting sqref="W12:AK17 AR12:AR17 AR22:AR27 AR32:AR37 AR42:AR47 W22:AK27 W32:AK37 W42:AK47">
    <cfRule type="expression" dxfId="37" priority="10">
      <formula>OR(AND($W12=$W11,$X11&lt;&gt;""),AND($W12=$W13,$X13&lt;&gt;""))</formula>
    </cfRule>
  </conditionalFormatting>
  <conditionalFormatting sqref="I12:I71 K12:K71">
    <cfRule type="expression" dxfId="36" priority="4">
      <formula>$BE12</formula>
    </cfRule>
  </conditionalFormatting>
  <conditionalFormatting sqref="L12:L71 N12:N71">
    <cfRule type="expression" dxfId="35" priority="3">
      <formula>$BF12</formula>
    </cfRule>
  </conditionalFormatting>
  <conditionalFormatting sqref="O12:O71 Q12:Q71">
    <cfRule type="expression" dxfId="34" priority="2">
      <formula>$BG12</formula>
    </cfRule>
  </conditionalFormatting>
  <conditionalFormatting sqref="I12:T71">
    <cfRule type="expression" dxfId="33" priority="1">
      <formula>OR($F12="",$H12="")</formula>
    </cfRule>
  </conditionalFormatting>
  <dataValidations count="1">
    <dataValidation type="whole" allowBlank="1" showErrorMessage="1" errorTitle="Error" error="Maximal 999 !" sqref="I12:I71 K12:K71" xr:uid="{D9E07FCF-67B7-4BAF-9BC8-AE233331B860}">
      <formula1>0</formula1>
      <formula2>999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B701-D3A6-4C40-8B29-EDAAE2ECFA57}">
  <dimension ref="A1:AE80"/>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7" customWidth="1"/>
    <col min="2" max="2" width="6.7109375" style="47" customWidth="1"/>
    <col min="3" max="3" width="9.28515625" style="47" customWidth="1"/>
    <col min="4" max="4" width="10.42578125" style="47" customWidth="1"/>
    <col min="5" max="5" width="6.42578125" style="47" customWidth="1"/>
    <col min="6" max="6" width="8.7109375" style="47" customWidth="1"/>
    <col min="7" max="7" width="2" style="47" customWidth="1"/>
    <col min="8" max="8" width="8.7109375" style="47" customWidth="1"/>
    <col min="9" max="9" width="24.7109375" style="47" customWidth="1"/>
    <col min="10" max="10" width="2.85546875" style="47" customWidth="1"/>
    <col min="11" max="11" width="24.7109375" style="47" customWidth="1"/>
    <col min="12" max="12" width="4.7109375" style="47" customWidth="1"/>
    <col min="13" max="13" width="2.42578125" style="47" customWidth="1"/>
    <col min="14" max="15" width="4.7109375" style="47" customWidth="1"/>
    <col min="16" max="16" width="2.7109375" style="445" customWidth="1"/>
    <col min="17" max="18" width="4.7109375" style="47" customWidth="1"/>
    <col min="19" max="19" width="2.7109375" style="47" customWidth="1"/>
    <col min="20" max="20" width="4.7109375" style="47" customWidth="1"/>
    <col min="21" max="21" width="24.7109375" style="47" customWidth="1"/>
    <col min="22" max="22" width="9.140625" style="47" customWidth="1"/>
    <col min="23" max="23" width="8.42578125" style="47" hidden="1" customWidth="1"/>
    <col min="24" max="24" width="6.140625" style="47" hidden="1" customWidth="1"/>
    <col min="25" max="25" width="5.85546875" style="47" hidden="1" customWidth="1"/>
    <col min="26" max="26" width="6.140625" style="47" hidden="1" customWidth="1"/>
    <col min="27" max="27" width="6.42578125" style="47" hidden="1" customWidth="1"/>
    <col min="28" max="28" width="3.28515625" style="47" hidden="1" customWidth="1"/>
    <col min="29" max="30" width="14.140625" style="47" hidden="1" customWidth="1"/>
    <col min="31" max="31" width="11.85546875" style="47" hidden="1" customWidth="1"/>
    <col min="32" max="16384" width="24.7109375" style="47" hidden="1"/>
  </cols>
  <sheetData>
    <row r="1" spans="2:31" ht="13.5" thickBot="1" x14ac:dyDescent="0.25"/>
    <row r="2" spans="2:31" ht="36" customHeight="1" thickTop="1" x14ac:dyDescent="0.2">
      <c r="F2" s="915" t="str">
        <f>Vorrunde!$H$2</f>
        <v>Internationales U10-Turnier am 27.01.2026</v>
      </c>
      <c r="G2" s="916"/>
      <c r="H2" s="916"/>
      <c r="I2" s="916"/>
      <c r="J2" s="916"/>
      <c r="K2" s="916"/>
      <c r="L2" s="916"/>
      <c r="M2" s="916"/>
      <c r="N2" s="916"/>
      <c r="O2" s="916"/>
      <c r="P2" s="916"/>
      <c r="Q2" s="916"/>
      <c r="R2" s="916"/>
      <c r="S2" s="916"/>
      <c r="T2" s="916"/>
      <c r="U2" s="917"/>
    </row>
    <row r="3" spans="2:31" ht="30" customHeight="1" x14ac:dyDescent="0.2">
      <c r="F3" s="918" t="str">
        <f>Vorrunde!$H$3</f>
        <v>Veranstalter:  1. FC Riedwald</v>
      </c>
      <c r="G3" s="919"/>
      <c r="H3" s="919"/>
      <c r="I3" s="919"/>
      <c r="J3" s="919"/>
      <c r="K3" s="919"/>
      <c r="L3" s="919"/>
      <c r="M3" s="919"/>
      <c r="N3" s="919"/>
      <c r="O3" s="919"/>
      <c r="P3" s="919"/>
      <c r="Q3" s="919"/>
      <c r="R3" s="919"/>
      <c r="S3" s="919"/>
      <c r="T3" s="919"/>
      <c r="U3" s="920"/>
    </row>
    <row r="4" spans="2:31" ht="30" customHeight="1" x14ac:dyDescent="0.2">
      <c r="F4" s="921" t="str">
        <f>Vorrunde!$H$4</f>
        <v>Sporthalle Wiesengrund, Wendiger Str. 51, 65432 Riedwald</v>
      </c>
      <c r="G4" s="922"/>
      <c r="H4" s="922"/>
      <c r="I4" s="922"/>
      <c r="J4" s="922"/>
      <c r="K4" s="922"/>
      <c r="L4" s="922"/>
      <c r="M4" s="922"/>
      <c r="N4" s="922"/>
      <c r="O4" s="922"/>
      <c r="P4" s="922"/>
      <c r="Q4" s="922"/>
      <c r="R4" s="922"/>
      <c r="S4" s="922"/>
      <c r="T4" s="922"/>
      <c r="U4" s="923"/>
    </row>
    <row r="5" spans="2:31" ht="30" customHeight="1" thickBot="1" x14ac:dyDescent="0.25">
      <c r="F5" s="924" t="str">
        <f>Vorrunde!$H$5</f>
        <v>Beginn:  9:00 Uhr</v>
      </c>
      <c r="G5" s="925"/>
      <c r="H5" s="925"/>
      <c r="I5" s="925"/>
      <c r="J5" s="925"/>
      <c r="K5" s="925"/>
      <c r="L5" s="925"/>
      <c r="M5" s="925"/>
      <c r="N5" s="925"/>
      <c r="O5" s="925"/>
      <c r="P5" s="925"/>
      <c r="Q5" s="925"/>
      <c r="R5" s="925"/>
      <c r="S5" s="925"/>
      <c r="T5" s="925"/>
      <c r="U5" s="926"/>
    </row>
    <row r="6" spans="2:31" ht="29.25" customHeight="1" thickTop="1" x14ac:dyDescent="0.2"/>
    <row r="7" spans="2:31" ht="30" customHeight="1" x14ac:dyDescent="0.2">
      <c r="H7" s="927" t="str">
        <f>Sprache!$E$6</f>
        <v>Tie Break Vorrunde</v>
      </c>
      <c r="I7" s="927"/>
      <c r="J7" s="927"/>
      <c r="K7" s="927"/>
      <c r="L7" s="927"/>
      <c r="M7" s="927"/>
      <c r="N7" s="927"/>
      <c r="O7" s="927"/>
      <c r="P7" s="927"/>
      <c r="Q7" s="927"/>
      <c r="R7" s="927"/>
      <c r="S7" s="927"/>
      <c r="T7" s="927"/>
    </row>
    <row r="8" spans="2:31" ht="30" customHeight="1" x14ac:dyDescent="0.2">
      <c r="H8" s="927"/>
      <c r="I8" s="927"/>
      <c r="J8" s="927"/>
      <c r="K8" s="927"/>
      <c r="L8" s="927"/>
      <c r="M8" s="927"/>
      <c r="N8" s="927"/>
      <c r="O8" s="927"/>
      <c r="P8" s="927"/>
      <c r="Q8" s="927"/>
      <c r="R8" s="927"/>
      <c r="S8" s="927"/>
      <c r="T8" s="927"/>
    </row>
    <row r="9" spans="2:31" ht="15.95" customHeight="1" x14ac:dyDescent="0.2"/>
    <row r="10" spans="2:31" ht="24" customHeight="1" thickBot="1" x14ac:dyDescent="0.3">
      <c r="C10" s="851"/>
      <c r="D10" s="851"/>
      <c r="E10" s="303"/>
      <c r="F10" s="935" t="str">
        <f>Sprache!$E$134</f>
        <v>z.B.  A2 - A4</v>
      </c>
      <c r="G10" s="935"/>
      <c r="H10" s="935"/>
      <c r="I10" s="303"/>
      <c r="J10" s="303"/>
      <c r="K10" s="303"/>
      <c r="L10" s="397"/>
      <c r="M10" s="397"/>
      <c r="N10" s="397"/>
      <c r="O10" s="488"/>
      <c r="P10" s="487"/>
      <c r="Q10" s="616"/>
      <c r="R10" s="616"/>
      <c r="S10" s="616"/>
      <c r="T10" s="616"/>
      <c r="U10" s="270"/>
    </row>
    <row r="11" spans="2:31" ht="24" customHeight="1" thickTop="1" x14ac:dyDescent="0.2">
      <c r="C11" s="398" t="str">
        <f>Sprache!$E$33</f>
        <v>Spiel-Nr.</v>
      </c>
      <c r="D11" s="615" t="str">
        <f>Sprache!$E$39</f>
        <v>Beginn:</v>
      </c>
      <c r="E11" s="615" t="str">
        <f>Sprache!$E$48</f>
        <v>Feld</v>
      </c>
      <c r="F11" s="932" t="str">
        <f>Sprache!$E$133</f>
        <v>Team-Kürzel</v>
      </c>
      <c r="G11" s="933"/>
      <c r="H11" s="934"/>
      <c r="I11" s="932" t="str">
        <f>Sprache!$E$14</f>
        <v>Spielpaarung</v>
      </c>
      <c r="J11" s="933"/>
      <c r="K11" s="934"/>
      <c r="L11" s="928" t="str">
        <f>Sprache!$E$72</f>
        <v>1. Satz</v>
      </c>
      <c r="M11" s="929"/>
      <c r="N11" s="930"/>
      <c r="O11" s="928" t="str">
        <f>Sprache!$E$73</f>
        <v>2. Satz</v>
      </c>
      <c r="P11" s="929"/>
      <c r="Q11" s="930"/>
      <c r="R11" s="928" t="str">
        <f>Sprache!$E$75</f>
        <v>3. Satz</v>
      </c>
      <c r="S11" s="929"/>
      <c r="T11" s="931"/>
      <c r="U11" s="631" t="str">
        <f>Sprache!$E$76</f>
        <v>Sieger</v>
      </c>
      <c r="W11" s="629" t="str">
        <f>Sprache!$E$75&amp;"?"</f>
        <v>3. Satz?</v>
      </c>
      <c r="AC11" s="629" t="s">
        <v>377</v>
      </c>
      <c r="AD11" s="629" t="s">
        <v>378</v>
      </c>
      <c r="AE11" s="629" t="s">
        <v>379</v>
      </c>
    </row>
    <row r="12" spans="2:31" ht="24" customHeight="1" x14ac:dyDescent="0.2">
      <c r="B12" s="572"/>
      <c r="C12" s="504" t="s">
        <v>6</v>
      </c>
      <c r="D12" s="642"/>
      <c r="E12" s="630"/>
      <c r="F12" s="410"/>
      <c r="G12" s="643" t="s">
        <v>4</v>
      </c>
      <c r="H12" s="490"/>
      <c r="I12" s="421" t="str">
        <f>IF($F12="","",IFERROR(VLOOKUP($F12,Planung!$B$7:$C$69,2,0),""))</f>
        <v/>
      </c>
      <c r="J12" s="422" t="s">
        <v>4</v>
      </c>
      <c r="K12" s="492" t="str">
        <f>IF($H12="","",IFERROR(VLOOKUP($H12,Planung!$B$7:$C$69,2,0),""))</f>
        <v/>
      </c>
      <c r="L12" s="409"/>
      <c r="M12" s="358" t="str">
        <f>Sprache!$E$109</f>
        <v xml:space="preserve"> : </v>
      </c>
      <c r="N12" s="489"/>
      <c r="O12" s="409"/>
      <c r="P12" s="358" t="str">
        <f>Sprache!$E$109</f>
        <v xml:space="preserve"> : </v>
      </c>
      <c r="Q12" s="489"/>
      <c r="R12" s="617"/>
      <c r="S12" s="358" t="str">
        <f>Sprache!$E$109</f>
        <v xml:space="preserve"> : </v>
      </c>
      <c r="T12" s="618"/>
      <c r="U12" s="632" t="str">
        <f>IF(OR($AC12,AND($AD12,OR($O12&lt;&gt;"",$Q12&lt;&gt;""))),"",IF($X12+$Z12&gt;$Y12+$AA12,$I12,IF($X12+$Z12&lt;$Y12+$AA12,$K12,"")))</f>
        <v/>
      </c>
      <c r="V12" s="614"/>
      <c r="W12" s="500" t="b">
        <f t="shared" ref="W12:W16" si="0">AND(NOT(OR($AC12,$AD12)),$X12=1,$Y12=1)</f>
        <v>0</v>
      </c>
      <c r="X12" s="500">
        <f t="shared" ref="X12:X16" si="1">IF($AC12,0,($L12&gt;$N12)+IF($AD12,0,$O12&gt;$Q12))</f>
        <v>0</v>
      </c>
      <c r="Y12" s="500">
        <f t="shared" ref="Y12:Y16" si="2">IF($AC12,0,($L12&lt;$N12)+IF($AD12,0,$O12&lt;$Q12))</f>
        <v>0</v>
      </c>
      <c r="Z12" s="500">
        <f t="shared" ref="Z12:Z16" si="3">($O12&lt;&gt;"")*($Q12&lt;&gt;"")*($R12&lt;&gt;"")*($T12&lt;&gt;"")*(X12=1)*(Y12=1)*($R12&gt;$T12)</f>
        <v>0</v>
      </c>
      <c r="AA12" s="500">
        <f t="shared" ref="AA12:AA16" si="4">($O12&lt;&gt;"")*($Q12&lt;&gt;"")*($R12&lt;&gt;"")*($T12&lt;&gt;"")*(X12=1)*(Y12=1)*($R12&lt;$T12)</f>
        <v>0</v>
      </c>
      <c r="AB12" s="635"/>
      <c r="AC12" s="500" t="b">
        <f t="shared" ref="AC12:AC16" si="5">OR($I12="",$K12="",$L12="",$N12="",AND($L12&lt;&gt;"",$L12=$N12))</f>
        <v>1</v>
      </c>
      <c r="AD12" s="500" t="b">
        <f t="shared" ref="AD12:AD16" si="6">OR(AC12,$O12="",$Q12="",AND($O12&lt;&gt;"",$O12=$Q12))</f>
        <v>1</v>
      </c>
      <c r="AE12" s="500" t="b">
        <f t="shared" ref="AE12:AE16" si="7">OR($R12="",$T12="",$R12=$T12)</f>
        <v>1</v>
      </c>
    </row>
    <row r="13" spans="2:31" ht="24" customHeight="1" x14ac:dyDescent="0.2">
      <c r="B13" s="572"/>
      <c r="C13" s="505" t="s">
        <v>7</v>
      </c>
      <c r="D13" s="323"/>
      <c r="E13" s="323"/>
      <c r="F13" s="410"/>
      <c r="G13" s="643" t="s">
        <v>4</v>
      </c>
      <c r="H13" s="490"/>
      <c r="I13" s="493" t="str">
        <f>IF($F13="","",IFERROR(VLOOKUP($F13,Planung!$B$7:$C$69,2,0),""))</f>
        <v/>
      </c>
      <c r="J13" s="494" t="s">
        <v>4</v>
      </c>
      <c r="K13" s="495" t="str">
        <f>IF($H13="","",IFERROR(VLOOKUP($H13,Planung!$B$7:$C$69,2,0),""))</f>
        <v/>
      </c>
      <c r="L13" s="410"/>
      <c r="M13" s="411" t="str">
        <f>Sprache!$E$109</f>
        <v xml:space="preserve"> : </v>
      </c>
      <c r="N13" s="490"/>
      <c r="O13" s="410"/>
      <c r="P13" s="411" t="str">
        <f>Sprache!$E$109</f>
        <v xml:space="preserve"> : </v>
      </c>
      <c r="Q13" s="490"/>
      <c r="R13" s="410"/>
      <c r="S13" s="411" t="str">
        <f>Sprache!$E$109</f>
        <v xml:space="preserve"> : </v>
      </c>
      <c r="T13" s="619"/>
      <c r="U13" s="633" t="str">
        <f t="shared" ref="U13:U17" si="8">IF(OR($AC13,AND($AD13,OR($O13&lt;&gt;"",$Q13&lt;&gt;""))),"",IF($X13+$Z13&gt;$Y13+$AA13,$I13,IF($X13+$Z13&lt;$Y13+$AA13,$K13,"")))</f>
        <v/>
      </c>
      <c r="V13" s="614"/>
      <c r="W13" s="500" t="b">
        <f t="shared" si="0"/>
        <v>0</v>
      </c>
      <c r="X13" s="500">
        <f t="shared" si="1"/>
        <v>0</v>
      </c>
      <c r="Y13" s="500">
        <f t="shared" si="2"/>
        <v>0</v>
      </c>
      <c r="Z13" s="500">
        <f t="shared" si="3"/>
        <v>0</v>
      </c>
      <c r="AA13" s="500">
        <f t="shared" si="4"/>
        <v>0</v>
      </c>
      <c r="AB13" s="635"/>
      <c r="AC13" s="500" t="b">
        <f t="shared" si="5"/>
        <v>1</v>
      </c>
      <c r="AD13" s="500" t="b">
        <f t="shared" si="6"/>
        <v>1</v>
      </c>
      <c r="AE13" s="500" t="b">
        <f t="shared" si="7"/>
        <v>1</v>
      </c>
    </row>
    <row r="14" spans="2:31" ht="24" customHeight="1" x14ac:dyDescent="0.2">
      <c r="B14" s="572"/>
      <c r="C14" s="505" t="s">
        <v>8</v>
      </c>
      <c r="D14" s="323"/>
      <c r="E14" s="323"/>
      <c r="F14" s="410"/>
      <c r="G14" s="643" t="s">
        <v>4</v>
      </c>
      <c r="H14" s="490"/>
      <c r="I14" s="493" t="str">
        <f>IF($F14="","",IFERROR(VLOOKUP($F14,Planung!$B$7:$C$69,2,0),""))</f>
        <v/>
      </c>
      <c r="J14" s="494" t="s">
        <v>4</v>
      </c>
      <c r="K14" s="495" t="str">
        <f>IF($H14="","",IFERROR(VLOOKUP($H14,Planung!$B$7:$C$69,2,0),""))</f>
        <v/>
      </c>
      <c r="L14" s="410"/>
      <c r="M14" s="411" t="str">
        <f>Sprache!$E$109</f>
        <v xml:space="preserve"> : </v>
      </c>
      <c r="N14" s="490"/>
      <c r="O14" s="410"/>
      <c r="P14" s="411" t="str">
        <f>Sprache!$E$109</f>
        <v xml:space="preserve"> : </v>
      </c>
      <c r="Q14" s="490"/>
      <c r="R14" s="410"/>
      <c r="S14" s="411" t="str">
        <f>Sprache!$E$109</f>
        <v xml:space="preserve"> : </v>
      </c>
      <c r="T14" s="619"/>
      <c r="U14" s="633" t="str">
        <f t="shared" si="8"/>
        <v/>
      </c>
      <c r="V14" s="614"/>
      <c r="W14" s="500" t="b">
        <f t="shared" si="0"/>
        <v>0</v>
      </c>
      <c r="X14" s="500">
        <f t="shared" si="1"/>
        <v>0</v>
      </c>
      <c r="Y14" s="500">
        <f t="shared" si="2"/>
        <v>0</v>
      </c>
      <c r="Z14" s="500">
        <f t="shared" si="3"/>
        <v>0</v>
      </c>
      <c r="AA14" s="500">
        <f t="shared" si="4"/>
        <v>0</v>
      </c>
      <c r="AB14" s="635"/>
      <c r="AC14" s="500" t="b">
        <f t="shared" si="5"/>
        <v>1</v>
      </c>
      <c r="AD14" s="500" t="b">
        <f t="shared" si="6"/>
        <v>1</v>
      </c>
      <c r="AE14" s="500" t="b">
        <f t="shared" si="7"/>
        <v>1</v>
      </c>
    </row>
    <row r="15" spans="2:31" ht="24" customHeight="1" x14ac:dyDescent="0.2">
      <c r="B15" s="572"/>
      <c r="C15" s="505" t="s">
        <v>9</v>
      </c>
      <c r="D15" s="323"/>
      <c r="E15" s="323"/>
      <c r="F15" s="410"/>
      <c r="G15" s="643" t="s">
        <v>4</v>
      </c>
      <c r="H15" s="490"/>
      <c r="I15" s="493" t="str">
        <f>IF($F15="","",IFERROR(VLOOKUP($F15,Planung!$B$7:$C$69,2,0),""))</f>
        <v/>
      </c>
      <c r="J15" s="494" t="s">
        <v>4</v>
      </c>
      <c r="K15" s="495" t="str">
        <f>IF($H15="","",IFERROR(VLOOKUP($H15,Planung!$B$7:$C$69,2,0),""))</f>
        <v/>
      </c>
      <c r="L15" s="410"/>
      <c r="M15" s="411" t="str">
        <f>Sprache!$E$109</f>
        <v xml:space="preserve"> : </v>
      </c>
      <c r="N15" s="490"/>
      <c r="O15" s="410"/>
      <c r="P15" s="411" t="str">
        <f>Sprache!$E$109</f>
        <v xml:space="preserve"> : </v>
      </c>
      <c r="Q15" s="490"/>
      <c r="R15" s="410"/>
      <c r="S15" s="411" t="str">
        <f>Sprache!$E$109</f>
        <v xml:space="preserve"> : </v>
      </c>
      <c r="T15" s="619"/>
      <c r="U15" s="633" t="str">
        <f t="shared" si="8"/>
        <v/>
      </c>
      <c r="V15" s="614"/>
      <c r="W15" s="500" t="b">
        <f t="shared" si="0"/>
        <v>0</v>
      </c>
      <c r="X15" s="500">
        <f t="shared" si="1"/>
        <v>0</v>
      </c>
      <c r="Y15" s="500">
        <f t="shared" si="2"/>
        <v>0</v>
      </c>
      <c r="Z15" s="500">
        <f t="shared" si="3"/>
        <v>0</v>
      </c>
      <c r="AA15" s="500">
        <f t="shared" si="4"/>
        <v>0</v>
      </c>
      <c r="AB15" s="635"/>
      <c r="AC15" s="500" t="b">
        <f t="shared" si="5"/>
        <v>1</v>
      </c>
      <c r="AD15" s="500" t="b">
        <f t="shared" si="6"/>
        <v>1</v>
      </c>
      <c r="AE15" s="500" t="b">
        <f t="shared" si="7"/>
        <v>1</v>
      </c>
    </row>
    <row r="16" spans="2:31" ht="24" customHeight="1" x14ac:dyDescent="0.2">
      <c r="B16" s="572"/>
      <c r="C16" s="505" t="s">
        <v>10</v>
      </c>
      <c r="D16" s="323"/>
      <c r="E16" s="323"/>
      <c r="F16" s="410"/>
      <c r="G16" s="643" t="s">
        <v>4</v>
      </c>
      <c r="H16" s="490"/>
      <c r="I16" s="493" t="str">
        <f>IF($F16="","",IFERROR(VLOOKUP($F16,Planung!$B$7:$C$69,2,0),""))</f>
        <v/>
      </c>
      <c r="J16" s="494" t="s">
        <v>4</v>
      </c>
      <c r="K16" s="495" t="str">
        <f>IF($H16="","",IFERROR(VLOOKUP($H16,Planung!$B$7:$C$69,2,0),""))</f>
        <v/>
      </c>
      <c r="L16" s="410"/>
      <c r="M16" s="411" t="str">
        <f>Sprache!$E$109</f>
        <v xml:space="preserve"> : </v>
      </c>
      <c r="N16" s="490"/>
      <c r="O16" s="410"/>
      <c r="P16" s="411" t="str">
        <f>Sprache!$E$109</f>
        <v xml:space="preserve"> : </v>
      </c>
      <c r="Q16" s="490"/>
      <c r="R16" s="410"/>
      <c r="S16" s="411" t="str">
        <f>Sprache!$E$109</f>
        <v xml:space="preserve"> : </v>
      </c>
      <c r="T16" s="619"/>
      <c r="U16" s="633" t="str">
        <f t="shared" si="8"/>
        <v/>
      </c>
      <c r="V16" s="614"/>
      <c r="W16" s="500" t="b">
        <f t="shared" si="0"/>
        <v>0</v>
      </c>
      <c r="X16" s="500">
        <f t="shared" si="1"/>
        <v>0</v>
      </c>
      <c r="Y16" s="500">
        <f t="shared" si="2"/>
        <v>0</v>
      </c>
      <c r="Z16" s="500">
        <f t="shared" si="3"/>
        <v>0</v>
      </c>
      <c r="AA16" s="500">
        <f t="shared" si="4"/>
        <v>0</v>
      </c>
      <c r="AB16" s="635"/>
      <c r="AC16" s="500" t="b">
        <f t="shared" si="5"/>
        <v>1</v>
      </c>
      <c r="AD16" s="500" t="b">
        <f t="shared" si="6"/>
        <v>1</v>
      </c>
      <c r="AE16" s="500" t="b">
        <f t="shared" si="7"/>
        <v>1</v>
      </c>
    </row>
    <row r="17" spans="2:31" ht="24" customHeight="1" thickBot="1" x14ac:dyDescent="0.25">
      <c r="B17" s="572"/>
      <c r="C17" s="506" t="s">
        <v>11</v>
      </c>
      <c r="D17" s="324"/>
      <c r="E17" s="324"/>
      <c r="F17" s="412"/>
      <c r="G17" s="644" t="s">
        <v>4</v>
      </c>
      <c r="H17" s="491"/>
      <c r="I17" s="484" t="str">
        <f>IF($F17="","",IFERROR(VLOOKUP($F17,Planung!$B$7:$C$69,2,0),""))</f>
        <v/>
      </c>
      <c r="J17" s="485" t="s">
        <v>4</v>
      </c>
      <c r="K17" s="496" t="str">
        <f>IF($H17="","",IFERROR(VLOOKUP($H17,Planung!$B$7:$C$69,2,0),""))</f>
        <v/>
      </c>
      <c r="L17" s="412"/>
      <c r="M17" s="352" t="str">
        <f>Sprache!$E$109</f>
        <v xml:space="preserve"> : </v>
      </c>
      <c r="N17" s="491"/>
      <c r="O17" s="412"/>
      <c r="P17" s="352" t="str">
        <f>Sprache!$E$109</f>
        <v xml:space="preserve"> : </v>
      </c>
      <c r="Q17" s="491"/>
      <c r="R17" s="412"/>
      <c r="S17" s="352" t="str">
        <f>Sprache!$E$109</f>
        <v xml:space="preserve"> : </v>
      </c>
      <c r="T17" s="620"/>
      <c r="U17" s="634" t="str">
        <f t="shared" si="8"/>
        <v/>
      </c>
      <c r="V17" s="614"/>
      <c r="W17" s="500" t="b">
        <f>AND(NOT(OR($AC17,$AD17)),$X17=1,$Y17=1)</f>
        <v>0</v>
      </c>
      <c r="X17" s="500">
        <f>IF($AC17,0,($L17&gt;$N17)+IF($AD17,0,$O17&gt;$Q17))</f>
        <v>0</v>
      </c>
      <c r="Y17" s="500">
        <f>IF($AC17,0,($L17&lt;$N17)+IF($AD17,0,$O17&lt;$Q17))</f>
        <v>0</v>
      </c>
      <c r="Z17" s="500">
        <f>($O17&lt;&gt;"")*($Q17&lt;&gt;"")*($R17&lt;&gt;"")*($T17&lt;&gt;"")*(X17=1)*(Y17=1)*($R17&gt;$T17)</f>
        <v>0</v>
      </c>
      <c r="AA17" s="500">
        <f>($O17&lt;&gt;"")*($Q17&lt;&gt;"")*($R17&lt;&gt;"")*($T17&lt;&gt;"")*(X17=1)*(Y17=1)*($R17&lt;$T17)</f>
        <v>0</v>
      </c>
      <c r="AB17" s="635"/>
      <c r="AC17" s="500" t="b">
        <f>OR($I17="",$K17="",$L17="",$N17="",AND($L17&lt;&gt;"",$L17=$N17))</f>
        <v>1</v>
      </c>
      <c r="AD17" s="500" t="b">
        <f>OR(AC17,$O17="",$Q17="",AND($O17&lt;&gt;"",$O17=$Q17))</f>
        <v>1</v>
      </c>
      <c r="AE17" s="500" t="b">
        <f>OR($R17="",$T17="",$R17=$T17)</f>
        <v>1</v>
      </c>
    </row>
    <row r="18" spans="2:31" ht="24" customHeight="1" thickTop="1" x14ac:dyDescent="0.25">
      <c r="B18" s="304"/>
      <c r="C18" s="453"/>
      <c r="D18" s="454"/>
      <c r="E18" s="455"/>
      <c r="F18" s="456"/>
      <c r="G18" s="457"/>
      <c r="H18" s="458"/>
      <c r="I18" s="501" t="s">
        <v>242</v>
      </c>
      <c r="J18" s="459"/>
      <c r="K18" s="501" t="s">
        <v>242</v>
      </c>
      <c r="L18" s="460"/>
      <c r="M18" s="339"/>
      <c r="N18" s="461"/>
      <c r="O18" s="462"/>
      <c r="P18" s="462"/>
      <c r="Q18" s="462"/>
      <c r="R18" s="462"/>
      <c r="S18" s="462"/>
      <c r="T18" s="462"/>
      <c r="U18" s="614"/>
      <c r="V18" s="614"/>
    </row>
    <row r="19" spans="2:31" ht="39" customHeight="1" x14ac:dyDescent="0.2"/>
    <row r="20" spans="2:31" ht="24" customHeight="1" x14ac:dyDescent="0.2">
      <c r="H20" s="927" t="str">
        <f>Sprache!$E$77</f>
        <v>Tie Break Endrunde 4</v>
      </c>
      <c r="I20" s="927"/>
      <c r="J20" s="927"/>
      <c r="K20" s="927"/>
      <c r="L20" s="927"/>
      <c r="M20" s="927"/>
      <c r="N20" s="927"/>
      <c r="O20" s="927"/>
      <c r="P20" s="927"/>
      <c r="Q20" s="927"/>
      <c r="R20" s="927"/>
      <c r="S20" s="927"/>
      <c r="T20" s="927"/>
    </row>
    <row r="21" spans="2:31" ht="24" customHeight="1" x14ac:dyDescent="0.2">
      <c r="H21" s="927"/>
      <c r="I21" s="927"/>
      <c r="J21" s="927"/>
      <c r="K21" s="927"/>
      <c r="L21" s="927"/>
      <c r="M21" s="927"/>
      <c r="N21" s="927"/>
      <c r="O21" s="927"/>
      <c r="P21" s="927"/>
      <c r="Q21" s="927"/>
      <c r="R21" s="927"/>
      <c r="S21" s="927"/>
      <c r="T21" s="927"/>
    </row>
    <row r="22" spans="2:31" ht="12.75" customHeight="1" x14ac:dyDescent="0.2"/>
    <row r="23" spans="2:31" ht="24" customHeight="1" thickBot="1" x14ac:dyDescent="0.3">
      <c r="C23" s="851"/>
      <c r="D23" s="851"/>
      <c r="E23" s="303"/>
      <c r="F23" s="303"/>
      <c r="G23" s="303"/>
      <c r="H23" s="303"/>
      <c r="I23" s="303"/>
      <c r="J23" s="303"/>
      <c r="K23" s="303"/>
      <c r="L23" s="397"/>
      <c r="M23" s="397"/>
      <c r="N23" s="397"/>
      <c r="O23" s="488"/>
      <c r="P23" s="487"/>
      <c r="Q23" s="667"/>
      <c r="R23" s="667"/>
      <c r="S23" s="667"/>
      <c r="T23" s="667"/>
      <c r="U23" s="270"/>
    </row>
    <row r="24" spans="2:31" ht="24" customHeight="1" thickTop="1" x14ac:dyDescent="0.2">
      <c r="C24" s="398" t="str">
        <f>Sprache!$E$33</f>
        <v>Spiel-Nr.</v>
      </c>
      <c r="D24" s="666" t="str">
        <f>Sprache!$E$39</f>
        <v>Beginn:</v>
      </c>
      <c r="E24" s="666" t="str">
        <f>Sprache!$E$48</f>
        <v>Feld</v>
      </c>
      <c r="F24" s="932" t="str">
        <f>Sprache!$E$133</f>
        <v>Team-Kürzel</v>
      </c>
      <c r="G24" s="933"/>
      <c r="H24" s="934"/>
      <c r="I24" s="932" t="str">
        <f>Sprache!$E$14</f>
        <v>Spielpaarung</v>
      </c>
      <c r="J24" s="933"/>
      <c r="K24" s="934"/>
      <c r="L24" s="928" t="str">
        <f>Sprache!$E$72</f>
        <v>1. Satz</v>
      </c>
      <c r="M24" s="929"/>
      <c r="N24" s="930"/>
      <c r="O24" s="928" t="str">
        <f>Sprache!$E$73</f>
        <v>2. Satz</v>
      </c>
      <c r="P24" s="929"/>
      <c r="Q24" s="930"/>
      <c r="R24" s="928" t="str">
        <f>Sprache!$E$75</f>
        <v>3. Satz</v>
      </c>
      <c r="S24" s="929"/>
      <c r="T24" s="931"/>
      <c r="U24" s="631" t="str">
        <f>Sprache!$E$76</f>
        <v>Sieger</v>
      </c>
      <c r="W24" s="629" t="str">
        <f>Sprache!$E$75&amp;"?"</f>
        <v>3. Satz?</v>
      </c>
      <c r="AC24" s="629" t="s">
        <v>377</v>
      </c>
      <c r="AD24" s="629" t="s">
        <v>378</v>
      </c>
      <c r="AE24" s="629" t="s">
        <v>379</v>
      </c>
    </row>
    <row r="25" spans="2:31" ht="24" customHeight="1" x14ac:dyDescent="0.2">
      <c r="C25" s="504" t="s">
        <v>6</v>
      </c>
      <c r="D25" s="642"/>
      <c r="E25" s="630"/>
      <c r="F25" s="410"/>
      <c r="G25" s="643" t="s">
        <v>4</v>
      </c>
      <c r="H25" s="490"/>
      <c r="I25" s="421" t="str">
        <f>IF($F25="","",IFERROR(VLOOKUP($F25,Planung!$B$7:$C$69,2,0),""))</f>
        <v/>
      </c>
      <c r="J25" s="422" t="s">
        <v>4</v>
      </c>
      <c r="K25" s="492" t="str">
        <f>IF($H25="","",IFERROR(VLOOKUP($H25,Planung!$B$7:$C$69,2,0),""))</f>
        <v/>
      </c>
      <c r="L25" s="409"/>
      <c r="M25" s="358" t="str">
        <f>Sprache!$E$109</f>
        <v xml:space="preserve"> : </v>
      </c>
      <c r="N25" s="489"/>
      <c r="O25" s="409"/>
      <c r="P25" s="358" t="str">
        <f>Sprache!$E$109</f>
        <v xml:space="preserve"> : </v>
      </c>
      <c r="Q25" s="489"/>
      <c r="R25" s="617"/>
      <c r="S25" s="358" t="str">
        <f>Sprache!$E$109</f>
        <v xml:space="preserve"> : </v>
      </c>
      <c r="T25" s="618"/>
      <c r="U25" s="632" t="str">
        <f>IF(OR($AC25,AND($AD25,OR($O25&lt;&gt;"",$Q25&lt;&gt;""))),"",IF($X25+$Z25&gt;$Y25+$AA25,$I25,IF($X25+$Z25&lt;$Y25+$AA25,$K25,"")))</f>
        <v/>
      </c>
      <c r="W25" s="500" t="b">
        <f t="shared" ref="W25:W29" si="9">AND(NOT(OR($AC25,$AD25)),$X25=1,$Y25=1)</f>
        <v>0</v>
      </c>
      <c r="X25" s="500">
        <f t="shared" ref="X25:X29" si="10">IF($AC25,0,($L25&gt;$N25)+IF($AD25,0,$O25&gt;$Q25))</f>
        <v>0</v>
      </c>
      <c r="Y25" s="500">
        <f t="shared" ref="Y25:Y29" si="11">IF($AC25,0,($L25&lt;$N25)+IF($AD25,0,$O25&lt;$Q25))</f>
        <v>0</v>
      </c>
      <c r="Z25" s="500">
        <f t="shared" ref="Z25:Z29" si="12">($O25&lt;&gt;"")*($Q25&lt;&gt;"")*($R25&lt;&gt;"")*($T25&lt;&gt;"")*(X25=1)*(Y25=1)*($R25&gt;$T25)</f>
        <v>0</v>
      </c>
      <c r="AA25" s="500">
        <f t="shared" ref="AA25:AA29" si="13">($O25&lt;&gt;"")*($Q25&lt;&gt;"")*($R25&lt;&gt;"")*($T25&lt;&gt;"")*(X25=1)*(Y25=1)*($R25&lt;$T25)</f>
        <v>0</v>
      </c>
      <c r="AB25" s="635"/>
      <c r="AC25" s="500" t="b">
        <f t="shared" ref="AC25:AC29" si="14">OR($I25="",$K25="",$L25="",$N25="",AND($L25&lt;&gt;"",$L25=$N25))</f>
        <v>1</v>
      </c>
      <c r="AD25" s="500" t="b">
        <f t="shared" ref="AD25:AD29" si="15">OR(AC25,$O25="",$Q25="",AND($O25&lt;&gt;"",$O25=$Q25))</f>
        <v>1</v>
      </c>
      <c r="AE25" s="500" t="b">
        <f t="shared" ref="AE25:AE29" si="16">OR($R25="",$T25="",$R25=$T25)</f>
        <v>1</v>
      </c>
    </row>
    <row r="26" spans="2:31" ht="24" customHeight="1" x14ac:dyDescent="0.2">
      <c r="C26" s="505" t="s">
        <v>7</v>
      </c>
      <c r="D26" s="323"/>
      <c r="E26" s="323"/>
      <c r="F26" s="410"/>
      <c r="G26" s="643" t="s">
        <v>4</v>
      </c>
      <c r="H26" s="490"/>
      <c r="I26" s="493" t="str">
        <f>IF($F26="","",IFERROR(VLOOKUP($F26,Planung!$B$7:$C$69,2,0),""))</f>
        <v/>
      </c>
      <c r="J26" s="494" t="s">
        <v>4</v>
      </c>
      <c r="K26" s="495" t="str">
        <f>IF($H26="","",IFERROR(VLOOKUP($H26,Planung!$B$7:$C$69,2,0),""))</f>
        <v/>
      </c>
      <c r="L26" s="410"/>
      <c r="M26" s="411" t="str">
        <f>Sprache!$E$109</f>
        <v xml:space="preserve"> : </v>
      </c>
      <c r="N26" s="490"/>
      <c r="O26" s="410"/>
      <c r="P26" s="411" t="str">
        <f>Sprache!$E$109</f>
        <v xml:space="preserve"> : </v>
      </c>
      <c r="Q26" s="490"/>
      <c r="R26" s="410"/>
      <c r="S26" s="411" t="str">
        <f>Sprache!$E$109</f>
        <v xml:space="preserve"> : </v>
      </c>
      <c r="T26" s="619"/>
      <c r="U26" s="633" t="str">
        <f t="shared" ref="U26:U30" si="17">IF(OR($AC26,AND($AD26,OR($O26&lt;&gt;"",$Q26&lt;&gt;""))),"",IF($X26+$Z26&gt;$Y26+$AA26,$I26,IF($X26+$Z26&lt;$Y26+$AA26,$K26,"")))</f>
        <v/>
      </c>
      <c r="W26" s="500" t="b">
        <f t="shared" si="9"/>
        <v>0</v>
      </c>
      <c r="X26" s="500">
        <f t="shared" si="10"/>
        <v>0</v>
      </c>
      <c r="Y26" s="500">
        <f t="shared" si="11"/>
        <v>0</v>
      </c>
      <c r="Z26" s="500">
        <f t="shared" si="12"/>
        <v>0</v>
      </c>
      <c r="AA26" s="500">
        <f t="shared" si="13"/>
        <v>0</v>
      </c>
      <c r="AB26" s="635"/>
      <c r="AC26" s="500" t="b">
        <f t="shared" si="14"/>
        <v>1</v>
      </c>
      <c r="AD26" s="500" t="b">
        <f t="shared" si="15"/>
        <v>1</v>
      </c>
      <c r="AE26" s="500" t="b">
        <f t="shared" si="16"/>
        <v>1</v>
      </c>
    </row>
    <row r="27" spans="2:31" ht="24" customHeight="1" x14ac:dyDescent="0.2">
      <c r="C27" s="505" t="s">
        <v>8</v>
      </c>
      <c r="D27" s="323"/>
      <c r="E27" s="323"/>
      <c r="F27" s="410"/>
      <c r="G27" s="643" t="s">
        <v>4</v>
      </c>
      <c r="H27" s="490"/>
      <c r="I27" s="493" t="str">
        <f>IF($F27="","",IFERROR(VLOOKUP($F27,Planung!$B$7:$C$69,2,0),""))</f>
        <v/>
      </c>
      <c r="J27" s="494" t="s">
        <v>4</v>
      </c>
      <c r="K27" s="495" t="str">
        <f>IF($H27="","",IFERROR(VLOOKUP($H27,Planung!$B$7:$C$69,2,0),""))</f>
        <v/>
      </c>
      <c r="L27" s="410"/>
      <c r="M27" s="411" t="str">
        <f>Sprache!$E$109</f>
        <v xml:space="preserve"> : </v>
      </c>
      <c r="N27" s="490"/>
      <c r="O27" s="410"/>
      <c r="P27" s="411" t="str">
        <f>Sprache!$E$109</f>
        <v xml:space="preserve"> : </v>
      </c>
      <c r="Q27" s="490"/>
      <c r="R27" s="410"/>
      <c r="S27" s="411" t="str">
        <f>Sprache!$E$109</f>
        <v xml:space="preserve"> : </v>
      </c>
      <c r="T27" s="619"/>
      <c r="U27" s="633" t="str">
        <f t="shared" si="17"/>
        <v/>
      </c>
      <c r="W27" s="500" t="b">
        <f t="shared" si="9"/>
        <v>0</v>
      </c>
      <c r="X27" s="500">
        <f t="shared" si="10"/>
        <v>0</v>
      </c>
      <c r="Y27" s="500">
        <f t="shared" si="11"/>
        <v>0</v>
      </c>
      <c r="Z27" s="500">
        <f t="shared" si="12"/>
        <v>0</v>
      </c>
      <c r="AA27" s="500">
        <f t="shared" si="13"/>
        <v>0</v>
      </c>
      <c r="AB27" s="635"/>
      <c r="AC27" s="500" t="b">
        <f t="shared" si="14"/>
        <v>1</v>
      </c>
      <c r="AD27" s="500" t="b">
        <f t="shared" si="15"/>
        <v>1</v>
      </c>
      <c r="AE27" s="500" t="b">
        <f t="shared" si="16"/>
        <v>1</v>
      </c>
    </row>
    <row r="28" spans="2:31" ht="24" customHeight="1" x14ac:dyDescent="0.2">
      <c r="C28" s="505" t="s">
        <v>9</v>
      </c>
      <c r="D28" s="323"/>
      <c r="E28" s="323"/>
      <c r="F28" s="410"/>
      <c r="G28" s="643" t="s">
        <v>4</v>
      </c>
      <c r="H28" s="490"/>
      <c r="I28" s="493" t="str">
        <f>IF($F28="","",IFERROR(VLOOKUP($F28,Planung!$B$7:$C$69,2,0),""))</f>
        <v/>
      </c>
      <c r="J28" s="494" t="s">
        <v>4</v>
      </c>
      <c r="K28" s="495" t="str">
        <f>IF($H28="","",IFERROR(VLOOKUP($H28,Planung!$B$7:$C$69,2,0),""))</f>
        <v/>
      </c>
      <c r="L28" s="410"/>
      <c r="M28" s="411" t="str">
        <f>Sprache!$E$109</f>
        <v xml:space="preserve"> : </v>
      </c>
      <c r="N28" s="490"/>
      <c r="O28" s="410"/>
      <c r="P28" s="411" t="str">
        <f>Sprache!$E$109</f>
        <v xml:space="preserve"> : </v>
      </c>
      <c r="Q28" s="490"/>
      <c r="R28" s="410"/>
      <c r="S28" s="411" t="str">
        <f>Sprache!$E$109</f>
        <v xml:space="preserve"> : </v>
      </c>
      <c r="T28" s="619"/>
      <c r="U28" s="633" t="str">
        <f t="shared" si="17"/>
        <v/>
      </c>
      <c r="W28" s="500" t="b">
        <f t="shared" si="9"/>
        <v>0</v>
      </c>
      <c r="X28" s="500">
        <f t="shared" si="10"/>
        <v>0</v>
      </c>
      <c r="Y28" s="500">
        <f t="shared" si="11"/>
        <v>0</v>
      </c>
      <c r="Z28" s="500">
        <f t="shared" si="12"/>
        <v>0</v>
      </c>
      <c r="AA28" s="500">
        <f t="shared" si="13"/>
        <v>0</v>
      </c>
      <c r="AB28" s="635"/>
      <c r="AC28" s="500" t="b">
        <f t="shared" si="14"/>
        <v>1</v>
      </c>
      <c r="AD28" s="500" t="b">
        <f t="shared" si="15"/>
        <v>1</v>
      </c>
      <c r="AE28" s="500" t="b">
        <f t="shared" si="16"/>
        <v>1</v>
      </c>
    </row>
    <row r="29" spans="2:31" ht="24" customHeight="1" x14ac:dyDescent="0.2">
      <c r="C29" s="505" t="s">
        <v>10</v>
      </c>
      <c r="D29" s="323"/>
      <c r="E29" s="323"/>
      <c r="F29" s="410"/>
      <c r="G29" s="643" t="s">
        <v>4</v>
      </c>
      <c r="H29" s="490"/>
      <c r="I29" s="493" t="str">
        <f>IF($F29="","",IFERROR(VLOOKUP($F29,Planung!$B$7:$C$69,2,0),""))</f>
        <v/>
      </c>
      <c r="J29" s="494" t="s">
        <v>4</v>
      </c>
      <c r="K29" s="495" t="str">
        <f>IF($H29="","",IFERROR(VLOOKUP($H29,Planung!$B$7:$C$69,2,0),""))</f>
        <v/>
      </c>
      <c r="L29" s="410"/>
      <c r="M29" s="411" t="str">
        <f>Sprache!$E$109</f>
        <v xml:space="preserve"> : </v>
      </c>
      <c r="N29" s="490"/>
      <c r="O29" s="410"/>
      <c r="P29" s="411" t="str">
        <f>Sprache!$E$109</f>
        <v xml:space="preserve"> : </v>
      </c>
      <c r="Q29" s="490"/>
      <c r="R29" s="410"/>
      <c r="S29" s="411" t="str">
        <f>Sprache!$E$109</f>
        <v xml:space="preserve"> : </v>
      </c>
      <c r="T29" s="619"/>
      <c r="U29" s="633" t="str">
        <f t="shared" si="17"/>
        <v/>
      </c>
      <c r="W29" s="500" t="b">
        <f t="shared" si="9"/>
        <v>0</v>
      </c>
      <c r="X29" s="500">
        <f t="shared" si="10"/>
        <v>0</v>
      </c>
      <c r="Y29" s="500">
        <f t="shared" si="11"/>
        <v>0</v>
      </c>
      <c r="Z29" s="500">
        <f t="shared" si="12"/>
        <v>0</v>
      </c>
      <c r="AA29" s="500">
        <f t="shared" si="13"/>
        <v>0</v>
      </c>
      <c r="AB29" s="635"/>
      <c r="AC29" s="500" t="b">
        <f t="shared" si="14"/>
        <v>1</v>
      </c>
      <c r="AD29" s="500" t="b">
        <f t="shared" si="15"/>
        <v>1</v>
      </c>
      <c r="AE29" s="500" t="b">
        <f t="shared" si="16"/>
        <v>1</v>
      </c>
    </row>
    <row r="30" spans="2:31" ht="24" customHeight="1" thickBot="1" x14ac:dyDescent="0.25">
      <c r="C30" s="506" t="s">
        <v>11</v>
      </c>
      <c r="D30" s="324"/>
      <c r="E30" s="324"/>
      <c r="F30" s="412"/>
      <c r="G30" s="644" t="s">
        <v>4</v>
      </c>
      <c r="H30" s="491"/>
      <c r="I30" s="484" t="str">
        <f>IF($F30="","",IFERROR(VLOOKUP($F30,Planung!$B$7:$C$69,2,0),""))</f>
        <v/>
      </c>
      <c r="J30" s="485" t="s">
        <v>4</v>
      </c>
      <c r="K30" s="496" t="str">
        <f>IF($H30="","",IFERROR(VLOOKUP($H30,Planung!$B$7:$C$69,2,0),""))</f>
        <v/>
      </c>
      <c r="L30" s="412"/>
      <c r="M30" s="352" t="str">
        <f>Sprache!$E$109</f>
        <v xml:space="preserve"> : </v>
      </c>
      <c r="N30" s="491"/>
      <c r="O30" s="412"/>
      <c r="P30" s="352" t="str">
        <f>Sprache!$E$109</f>
        <v xml:space="preserve"> : </v>
      </c>
      <c r="Q30" s="491"/>
      <c r="R30" s="412"/>
      <c r="S30" s="352" t="str">
        <f>Sprache!$E$109</f>
        <v xml:space="preserve"> : </v>
      </c>
      <c r="T30" s="620"/>
      <c r="U30" s="634" t="str">
        <f t="shared" si="17"/>
        <v/>
      </c>
      <c r="W30" s="500" t="b">
        <f>AND(NOT(OR($AC30,$AD30)),$X30=1,$Y30=1)</f>
        <v>0</v>
      </c>
      <c r="X30" s="500">
        <f>IF($AC30,0,($L30&gt;$N30)+IF($AD30,0,$O30&gt;$Q30))</f>
        <v>0</v>
      </c>
      <c r="Y30" s="500">
        <f>IF($AC30,0,($L30&lt;$N30)+IF($AD30,0,$O30&lt;$Q30))</f>
        <v>0</v>
      </c>
      <c r="Z30" s="500">
        <f>($O30&lt;&gt;"")*($Q30&lt;&gt;"")*($R30&lt;&gt;"")*($T30&lt;&gt;"")*(X30=1)*(Y30=1)*($R30&gt;$T30)</f>
        <v>0</v>
      </c>
      <c r="AA30" s="500">
        <f>($O30&lt;&gt;"")*($Q30&lt;&gt;"")*($R30&lt;&gt;"")*($T30&lt;&gt;"")*(X30=1)*(Y30=1)*($R30&lt;$T30)</f>
        <v>0</v>
      </c>
      <c r="AB30" s="635"/>
      <c r="AC30" s="500" t="b">
        <f>OR($I30="",$K30="",$L30="",$N30="",AND($L30&lt;&gt;"",$L30=$N30))</f>
        <v>1</v>
      </c>
      <c r="AD30" s="500" t="b">
        <f>OR(AC30,$O30="",$Q30="",AND($O30&lt;&gt;"",$O30=$Q30))</f>
        <v>1</v>
      </c>
      <c r="AE30" s="500" t="b">
        <f>OR($R30="",$T30="",$R30=$T30)</f>
        <v>1</v>
      </c>
    </row>
    <row r="31" spans="2:31" ht="24" customHeight="1" thickTop="1" x14ac:dyDescent="0.2"/>
    <row r="32" spans="2:31" ht="12.75" customHeight="1" x14ac:dyDescent="0.2"/>
    <row r="33" ht="12.75" customHeight="1" x14ac:dyDescent="0.2"/>
    <row r="34" ht="12.75"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sheetData>
  <sheetProtection sheet="1" selectLockedCells="1"/>
  <mergeCells count="19">
    <mergeCell ref="H20:T21"/>
    <mergeCell ref="C23:D23"/>
    <mergeCell ref="F24:H24"/>
    <mergeCell ref="I24:K24"/>
    <mergeCell ref="L24:N24"/>
    <mergeCell ref="O24:Q24"/>
    <mergeCell ref="R24:T24"/>
    <mergeCell ref="O11:Q11"/>
    <mergeCell ref="R11:T11"/>
    <mergeCell ref="C10:D10"/>
    <mergeCell ref="F11:H11"/>
    <mergeCell ref="I11:K11"/>
    <mergeCell ref="L11:N11"/>
    <mergeCell ref="F10:H10"/>
    <mergeCell ref="F2:U2"/>
    <mergeCell ref="F3:U3"/>
    <mergeCell ref="F4:U4"/>
    <mergeCell ref="F5:U5"/>
    <mergeCell ref="H7:T8"/>
  </mergeCells>
  <conditionalFormatting sqref="R12:T17">
    <cfRule type="expression" dxfId="32" priority="3">
      <formula>NOT($W12)</formula>
    </cfRule>
  </conditionalFormatting>
  <conditionalFormatting sqref="R25:T30">
    <cfRule type="expression" dxfId="31" priority="2">
      <formula>NOT($W25)</formula>
    </cfRule>
  </conditionalFormatting>
  <conditionalFormatting sqref="R12:T17 R25:T30">
    <cfRule type="expression" dxfId="30" priority="1">
      <formula>AND($R12&lt;&gt;"",$T12&lt;&gt;"",$R12=$T12,$W12)</formula>
    </cfRule>
  </conditionalFormatting>
  <dataValidations count="1">
    <dataValidation allowBlank="1" showInputMessage="1" showErrorMessage="1" errorTitle="Unzulässige Teilnehmernummer" error="Es müssen Zahlen von 1 bis 9 eingetragen werden!" sqref="F12:F18 H12:H18 F25:F30 H25:H30" xr:uid="{8C9980BF-7D80-469C-ACDC-953A553F8C3A}"/>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S81"/>
  <sheetViews>
    <sheetView showGridLines="0" showRowColHeaders="0" zoomScaleNormal="100" workbookViewId="0">
      <selection activeCell="L12" sqref="L12"/>
    </sheetView>
  </sheetViews>
  <sheetFormatPr baseColWidth="10" defaultColWidth="0" defaultRowHeight="12.75" zeroHeight="1" x14ac:dyDescent="0.2"/>
  <cols>
    <col min="1" max="1" width="7.5703125" style="47" customWidth="1"/>
    <col min="2" max="2" width="6.7109375" style="47" customWidth="1"/>
    <col min="3" max="3" width="9.28515625" style="47" customWidth="1"/>
    <col min="4" max="4" width="10.42578125" style="47" customWidth="1"/>
    <col min="5" max="5" width="6.42578125" style="47" customWidth="1"/>
    <col min="6" max="6" width="8.7109375" style="47" customWidth="1"/>
    <col min="7" max="7" width="2" style="47" customWidth="1"/>
    <col min="8" max="8" width="8.7109375" style="47" customWidth="1"/>
    <col min="9" max="9" width="24.7109375" style="47" customWidth="1"/>
    <col min="10" max="10" width="2.85546875" style="47" customWidth="1"/>
    <col min="11" max="11" width="24.7109375" style="47" customWidth="1"/>
    <col min="12" max="12" width="4.7109375" style="47" customWidth="1"/>
    <col min="13" max="13" width="2.42578125" style="47" customWidth="1"/>
    <col min="14" max="15" width="4.7109375" style="47" customWidth="1"/>
    <col min="16" max="16" width="2.7109375" style="445" customWidth="1"/>
    <col min="17" max="18" width="4.7109375" style="47" customWidth="1"/>
    <col min="19" max="19" width="2.7109375" style="47" customWidth="1"/>
    <col min="20" max="20" width="4.7109375" style="47" customWidth="1"/>
    <col min="21" max="21" width="15.7109375" style="47" customWidth="1"/>
    <col min="22" max="22" width="8.140625" style="47" customWidth="1"/>
    <col min="23" max="23" width="8.7109375" style="47" customWidth="1"/>
    <col min="24" max="24" width="7" style="47" customWidth="1"/>
    <col min="25" max="25" width="36.7109375" style="47" customWidth="1"/>
    <col min="26" max="26" width="6.7109375" style="47" customWidth="1"/>
    <col min="27" max="27" width="19.85546875" style="47" hidden="1"/>
    <col min="28" max="28" width="18" style="47" hidden="1"/>
    <col min="29" max="29" width="8.42578125" style="47" hidden="1"/>
    <col min="30" max="30" width="10.140625" style="47" hidden="1"/>
    <col min="31" max="31" width="9.5703125" style="47" hidden="1"/>
    <col min="32" max="33" width="5.140625" style="47" hidden="1"/>
    <col min="34" max="34" width="2" style="47" hidden="1"/>
    <col min="35" max="35" width="11" style="47" hidden="1"/>
    <col min="36" max="36" width="10.140625" style="47" hidden="1"/>
    <col min="37" max="37" width="2.7109375" style="47" hidden="1"/>
    <col min="38" max="40" width="11.42578125" style="47" hidden="1"/>
    <col min="41" max="41" width="5.28515625" style="47" hidden="1"/>
    <col min="42" max="42" width="5.140625" style="47" hidden="1"/>
    <col min="43" max="43" width="3" style="47" hidden="1"/>
    <col min="44" max="44" width="5.140625" style="47" hidden="1"/>
    <col min="45" max="45" width="5" style="47" hidden="1"/>
    <col min="46" max="16384" width="11.42578125" style="47" hidden="1"/>
  </cols>
  <sheetData>
    <row r="1" spans="2:45" ht="13.5" thickBot="1" x14ac:dyDescent="0.25"/>
    <row r="2" spans="2:45" ht="36" customHeight="1" thickTop="1" x14ac:dyDescent="0.2">
      <c r="F2" s="915" t="str">
        <f>Vorrunde!$H$2</f>
        <v>Internationales U10-Turnier am 27.01.2026</v>
      </c>
      <c r="G2" s="916"/>
      <c r="H2" s="916"/>
      <c r="I2" s="916"/>
      <c r="J2" s="916"/>
      <c r="K2" s="916"/>
      <c r="L2" s="916"/>
      <c r="M2" s="916"/>
      <c r="N2" s="916"/>
      <c r="O2" s="916"/>
      <c r="P2" s="916"/>
      <c r="Q2" s="916"/>
      <c r="R2" s="916"/>
      <c r="S2" s="916"/>
      <c r="T2" s="916"/>
      <c r="U2" s="916"/>
      <c r="V2" s="916"/>
      <c r="W2" s="917"/>
      <c r="X2" s="723"/>
      <c r="Y2" s="523"/>
      <c r="Z2" s="523"/>
      <c r="AA2" s="523"/>
    </row>
    <row r="3" spans="2:45" ht="30" customHeight="1" x14ac:dyDescent="0.2">
      <c r="F3" s="918" t="str">
        <f>Vorrunde!$H$3</f>
        <v>Veranstalter:  1. FC Riedwald</v>
      </c>
      <c r="G3" s="919"/>
      <c r="H3" s="919"/>
      <c r="I3" s="919"/>
      <c r="J3" s="919"/>
      <c r="K3" s="919"/>
      <c r="L3" s="919"/>
      <c r="M3" s="919"/>
      <c r="N3" s="919"/>
      <c r="O3" s="919"/>
      <c r="P3" s="919"/>
      <c r="Q3" s="919"/>
      <c r="R3" s="919"/>
      <c r="S3" s="919"/>
      <c r="T3" s="919"/>
      <c r="U3" s="919"/>
      <c r="V3" s="919"/>
      <c r="W3" s="920"/>
      <c r="X3" s="724"/>
      <c r="Y3" s="524"/>
      <c r="Z3" s="524"/>
      <c r="AA3" s="524"/>
    </row>
    <row r="4" spans="2:45" ht="30" customHeight="1" x14ac:dyDescent="0.2">
      <c r="F4" s="921" t="str">
        <f>Vorrunde!$H$4</f>
        <v>Sporthalle Wiesengrund, Wendiger Str. 51, 65432 Riedwald</v>
      </c>
      <c r="G4" s="922"/>
      <c r="H4" s="922"/>
      <c r="I4" s="922"/>
      <c r="J4" s="922"/>
      <c r="K4" s="922"/>
      <c r="L4" s="922"/>
      <c r="M4" s="922"/>
      <c r="N4" s="922"/>
      <c r="O4" s="922"/>
      <c r="P4" s="922"/>
      <c r="Q4" s="922"/>
      <c r="R4" s="922"/>
      <c r="S4" s="922"/>
      <c r="T4" s="922"/>
      <c r="U4" s="922"/>
      <c r="V4" s="922"/>
      <c r="W4" s="923"/>
      <c r="X4" s="725"/>
      <c r="Y4" s="525"/>
      <c r="Z4" s="525"/>
      <c r="AA4" s="525"/>
    </row>
    <row r="5" spans="2:45" ht="30" customHeight="1" thickBot="1" x14ac:dyDescent="0.25">
      <c r="F5" s="924" t="str">
        <f>Vorrunde!$H$5</f>
        <v>Beginn:  9:00 Uhr</v>
      </c>
      <c r="G5" s="925"/>
      <c r="H5" s="925"/>
      <c r="I5" s="925"/>
      <c r="J5" s="925"/>
      <c r="K5" s="925"/>
      <c r="L5" s="925"/>
      <c r="M5" s="925"/>
      <c r="N5" s="925"/>
      <c r="O5" s="925"/>
      <c r="P5" s="925"/>
      <c r="Q5" s="925"/>
      <c r="R5" s="925"/>
      <c r="S5" s="925"/>
      <c r="T5" s="925"/>
      <c r="U5" s="925"/>
      <c r="V5" s="925"/>
      <c r="W5" s="926"/>
      <c r="X5" s="725"/>
      <c r="Y5" s="525"/>
      <c r="Z5" s="525"/>
      <c r="AA5" s="525"/>
    </row>
    <row r="6" spans="2:45" ht="18" customHeight="1" thickTop="1" thickBot="1" x14ac:dyDescent="0.25"/>
    <row r="7" spans="2:45" ht="30" customHeight="1" thickTop="1" x14ac:dyDescent="0.2">
      <c r="J7" s="969" t="str">
        <f>Sprache!$E$19</f>
        <v>Endrunde</v>
      </c>
      <c r="K7" s="970"/>
      <c r="L7" s="970"/>
      <c r="M7" s="970"/>
      <c r="N7" s="970"/>
      <c r="O7" s="970"/>
      <c r="P7" s="970"/>
      <c r="Q7" s="970"/>
      <c r="R7" s="970"/>
      <c r="S7" s="970"/>
      <c r="T7" s="971"/>
      <c r="U7" s="566"/>
      <c r="V7" s="526"/>
      <c r="W7" s="526"/>
      <c r="X7" s="526"/>
      <c r="Y7" s="526"/>
    </row>
    <row r="8" spans="2:45" ht="30" customHeight="1" thickBot="1" x14ac:dyDescent="0.25">
      <c r="J8" s="972"/>
      <c r="K8" s="973"/>
      <c r="L8" s="973"/>
      <c r="M8" s="973"/>
      <c r="N8" s="973"/>
      <c r="O8" s="973"/>
      <c r="P8" s="973"/>
      <c r="Q8" s="973"/>
      <c r="R8" s="973"/>
      <c r="S8" s="973"/>
      <c r="T8" s="974"/>
      <c r="U8" s="566"/>
      <c r="V8" s="526"/>
      <c r="W8" s="526"/>
      <c r="X8" s="526"/>
      <c r="Y8" s="526"/>
    </row>
    <row r="9" spans="2:45" ht="15.95" customHeight="1" thickTop="1" x14ac:dyDescent="0.2">
      <c r="AA9" s="1048" t="s">
        <v>468</v>
      </c>
    </row>
    <row r="10" spans="2:45" ht="24" customHeight="1" thickBot="1" x14ac:dyDescent="0.45">
      <c r="C10" s="851" t="str">
        <f>Sprache!$E$69</f>
        <v>Halbfinalspiele</v>
      </c>
      <c r="D10" s="851"/>
      <c r="E10" s="303"/>
      <c r="F10" s="303"/>
      <c r="G10" s="303"/>
      <c r="H10" s="303"/>
      <c r="I10" s="303"/>
      <c r="J10" s="303"/>
      <c r="K10" s="303"/>
      <c r="L10" s="397"/>
      <c r="M10" s="397"/>
      <c r="N10" s="397"/>
      <c r="O10" s="488"/>
      <c r="P10" s="487"/>
      <c r="Q10" s="440"/>
      <c r="R10" s="607"/>
      <c r="S10" s="607"/>
      <c r="T10" s="607"/>
      <c r="U10" s="679"/>
      <c r="V10" s="967" t="str">
        <f>Sprache!$E$20</f>
        <v>Zusätzl. Pause (min)</v>
      </c>
      <c r="X10" s="448"/>
      <c r="Y10" s="448"/>
      <c r="Z10" s="270"/>
      <c r="AA10" s="738" t="b">
        <f>Einstellungen!$B$45=Sprache!$E$90</f>
        <v>1</v>
      </c>
      <c r="AC10" s="1049" t="s">
        <v>474</v>
      </c>
      <c r="AD10" s="1049"/>
      <c r="AE10" s="1049"/>
      <c r="AF10" s="1049"/>
      <c r="AG10" s="1049"/>
      <c r="AI10" s="1050" t="s">
        <v>475</v>
      </c>
      <c r="AJ10" s="1050"/>
      <c r="AL10" s="1049" t="s">
        <v>476</v>
      </c>
      <c r="AM10" s="1049"/>
      <c r="AN10" s="1049"/>
      <c r="AO10" s="1049"/>
      <c r="AP10" s="1049"/>
    </row>
    <row r="11" spans="2:45" ht="24" customHeight="1" thickTop="1" thickBot="1" x14ac:dyDescent="0.45">
      <c r="C11" s="398" t="str">
        <f>Sprache!$E$33</f>
        <v>Spiel-Nr.</v>
      </c>
      <c r="D11" s="399" t="str">
        <f>Sprache!$E$39</f>
        <v>Beginn:</v>
      </c>
      <c r="E11" s="399" t="str">
        <f>Sprache!$E$48</f>
        <v>Feld</v>
      </c>
      <c r="F11" s="932"/>
      <c r="G11" s="933"/>
      <c r="H11" s="934"/>
      <c r="I11" s="932" t="str">
        <f>Sprache!$E$14</f>
        <v>Spielpaarung</v>
      </c>
      <c r="J11" s="933"/>
      <c r="K11" s="934"/>
      <c r="L11" s="928" t="str">
        <f>Sprache!$E$72</f>
        <v>1. Satz</v>
      </c>
      <c r="M11" s="929"/>
      <c r="N11" s="930"/>
      <c r="O11" s="928" t="str">
        <f>Sprache!$E$73</f>
        <v>2. Satz</v>
      </c>
      <c r="P11" s="929"/>
      <c r="Q11" s="930"/>
      <c r="R11" s="928" t="str">
        <f>Sprache!$E$75</f>
        <v>3. Satz</v>
      </c>
      <c r="S11" s="929"/>
      <c r="T11" s="931"/>
      <c r="U11" s="687" t="str">
        <f>Sprache!$E$78</f>
        <v>Schiedsrichter</v>
      </c>
      <c r="V11" s="968"/>
      <c r="X11" s="878" t="str">
        <f>Sprache!$E$64</f>
        <v>Gruppensechste</v>
      </c>
      <c r="Y11" s="878"/>
      <c r="Z11" s="446"/>
      <c r="AA11" s="675" t="s">
        <v>409</v>
      </c>
      <c r="AB11" s="675" t="s">
        <v>410</v>
      </c>
      <c r="AC11" s="832" t="s">
        <v>411</v>
      </c>
      <c r="AD11" s="832" t="s">
        <v>412</v>
      </c>
      <c r="AE11" s="832" t="s">
        <v>413</v>
      </c>
      <c r="AF11" s="936" t="s">
        <v>372</v>
      </c>
      <c r="AG11" s="936"/>
      <c r="AI11" s="832" t="s">
        <v>469</v>
      </c>
      <c r="AJ11" s="832" t="s">
        <v>470</v>
      </c>
      <c r="AL11" s="832" t="s">
        <v>471</v>
      </c>
      <c r="AM11" s="832" t="s">
        <v>472</v>
      </c>
      <c r="AN11" s="832" t="s">
        <v>413</v>
      </c>
      <c r="AO11" s="936" t="s">
        <v>372</v>
      </c>
      <c r="AP11" s="936"/>
      <c r="AR11" s="936" t="s">
        <v>473</v>
      </c>
      <c r="AS11" s="936"/>
    </row>
    <row r="12" spans="2:45" ht="24" customHeight="1" thickTop="1" x14ac:dyDescent="0.25">
      <c r="B12" s="527" t="str">
        <f>Sprache!$E$71&amp;1</f>
        <v>HF 1</v>
      </c>
      <c r="C12" s="504">
        <f t="array" aca="1" ref="C12" ca="1">61-SUM(((Planung!$L$6:$L$65="")+(Planung!$N$6:$N$65="")&gt;0)*1)</f>
        <v>41</v>
      </c>
      <c r="D12" s="181">
        <f ca="1">IF(Planung!$V$15,"",Planung!$S$13+(Planung!$S$9+Planung!$Q$65)/1440)</f>
        <v>0.61805555555555558</v>
      </c>
      <c r="E12" s="172" t="str">
        <f>IF(Planung!$V$15,"","1")</f>
        <v>1</v>
      </c>
      <c r="F12" s="400" t="s">
        <v>279</v>
      </c>
      <c r="G12" s="401" t="s">
        <v>4</v>
      </c>
      <c r="H12" s="402" t="s">
        <v>281</v>
      </c>
      <c r="I12" s="421" t="str">
        <f t="shared" ref="I12:I23" ca="1" si="0">IF($F12="","",IF(VLOOKUP($F12,$X$13:$Y$72,2,0)="","",VLOOKUP($F12,$X$13:$Y$72,2,0)))</f>
        <v/>
      </c>
      <c r="J12" s="422" t="s">
        <v>4</v>
      </c>
      <c r="K12" s="492" t="str">
        <f t="shared" ref="K12:K23" ca="1" si="1">IF($H12="","",IF(VLOOKUP($H12,$X$13:$Y$72,2,0)="","",VLOOKUP($H12,$X$13:$Y$72,2,0)))</f>
        <v/>
      </c>
      <c r="L12" s="409"/>
      <c r="M12" s="358" t="str">
        <f>Sprache!$E$109</f>
        <v xml:space="preserve"> : </v>
      </c>
      <c r="N12" s="489"/>
      <c r="O12" s="409"/>
      <c r="P12" s="358" t="str">
        <f>Sprache!$E$109</f>
        <v xml:space="preserve"> : </v>
      </c>
      <c r="Q12" s="489"/>
      <c r="R12" s="617"/>
      <c r="S12" s="358" t="str">
        <f>Sprache!$E$109</f>
        <v xml:space="preserve"> : </v>
      </c>
      <c r="T12" s="618"/>
      <c r="U12" s="688"/>
      <c r="V12" s="682"/>
      <c r="X12" s="420"/>
      <c r="Y12" s="449" t="str">
        <f>Sprache!$E$10</f>
        <v>Teilnehmer bzw. Mannschaft</v>
      </c>
      <c r="Z12" s="272"/>
      <c r="AA12" s="315" t="str">
        <f ca="1">IF(AR12&gt;AS12,$I12,IF(AR12&lt;AS12,$K12,""))</f>
        <v/>
      </c>
      <c r="AB12" s="315" t="str">
        <f ca="1">IF(AR12&lt;AS12,$I12,IF(AR12&gt;AS12,$K12,""))</f>
        <v/>
      </c>
      <c r="AC12" s="315" t="b">
        <f>OR(NOT($AA$10),AND($L12&lt;&gt;"",$N12&lt;&gt;"",$O12&lt;&gt;"",$Q12&lt;&gt;"",$L12&lt;&gt;$N12,$O12&lt;&gt;$Q12,($L12&gt;$N12)+($O12&gt;$Q12)=1))</f>
        <v>0</v>
      </c>
      <c r="AD12" s="500" t="b">
        <f ca="1">AND($L12&lt;&gt;"",$N12&lt;&gt;"",$L12&lt;&gt;$N12,OR(AND($O12="",$Q12=""),AND($O12&lt;&gt;"",$Q12&lt;&gt;"",$O12&lt;&gt;$Q12)),$I12&lt;&gt;"",$K12&lt;&gt;"",$I12&lt;&gt;$K12)</f>
        <v>0</v>
      </c>
      <c r="AE12" s="315" t="b">
        <f>AND(AC12,$R12&lt;&gt;"",$T12&lt;&gt;"",$R12&lt;&gt;$T12)</f>
        <v>0</v>
      </c>
      <c r="AF12" s="500">
        <f ca="1">(($L12&gt;$N12)+($O12&gt;$Q12)+($R12&gt;$T12)*AE12)*AD12</f>
        <v>0</v>
      </c>
      <c r="AG12" s="500">
        <f ca="1">(($L12&lt;$N12)+($O12&lt;$Q12)+($R12&lt;$T12)*AE12)*AD12</f>
        <v>0</v>
      </c>
      <c r="AH12" s="315"/>
      <c r="AI12" s="315" t="b">
        <f>AND($AA$10,OR(AND($L12&lt;&gt;"",$L12=$N12),AND($O12&lt;&gt;"",$O12=$Q12)))</f>
        <v>0</v>
      </c>
      <c r="AJ12" s="315" t="b">
        <f>AND($AA$10,$R12&lt;&gt;"",$T12&lt;&gt;"",$R12=$T12,$AC12)</f>
        <v>0</v>
      </c>
      <c r="AK12" s="315"/>
      <c r="AL12" s="315" t="b">
        <f ca="1">AND($L12&lt;&gt;"",$N12&lt;&gt;"",$I12&lt;&gt;"",$K12&lt;&gt;"",$I12&lt;&gt;$K12)</f>
        <v>0</v>
      </c>
      <c r="AM12" s="315" t="b">
        <f ca="1">AND($O12&lt;&gt;"",$Q12&lt;&gt;"",$I12&lt;&gt;"",$K12&lt;&gt;"",$I12&lt;&gt;$K12)</f>
        <v>0</v>
      </c>
      <c r="AN12" s="315" t="b">
        <f ca="1">AND($R12&lt;&gt;"",$T12&lt;&gt;"",$I12&lt;&gt;"",$K12&lt;&gt;"",$I12&lt;&gt;$K12)</f>
        <v>0</v>
      </c>
      <c r="AO12" s="500">
        <f ca="1">(($L12&gt;$N12)+($L12=$N12)*0.5)*$AL12+(($O12&gt;$Q12)+($O12=$Q12)*0.5)*$AM12+(($R12&gt;$T12)+($R12=$T12)*0.5)*$AN12</f>
        <v>0</v>
      </c>
      <c r="AP12" s="500">
        <f ca="1">(($L12&lt;$N12)+($L12=$N12)*0.5)*$AL12+(($O12&lt;$Q12)+($O12=$Q12)*0.5)*$AM12+(($R12&lt;$T12)+($R12=$T12)*0.5)*$AN12</f>
        <v>0</v>
      </c>
      <c r="AQ12" s="315"/>
      <c r="AR12" s="500">
        <f ca="1">IF($AA$10,$AF12,$AO12)</f>
        <v>0</v>
      </c>
      <c r="AS12" s="500">
        <f ca="1">IF($AA$10,$AG12,$AP12)</f>
        <v>0</v>
      </c>
    </row>
    <row r="13" spans="2:45" ht="24" customHeight="1" x14ac:dyDescent="0.25">
      <c r="B13" s="528" t="str">
        <f>Sprache!$E$71&amp;2</f>
        <v>HF 2</v>
      </c>
      <c r="C13" s="505">
        <f t="array" aca="1" ref="C13" ca="1">ROW(62:62)-SUM(((Planung!$L$6:$L$65="")+(Planung!$N$6:$N$65="")&gt;0)*1)-SUM((($I$12:$I12="")+($K$12:$K12="")&gt;0)*1)</f>
        <v>41</v>
      </c>
      <c r="D13" s="171">
        <f t="array" aca="1" ref="D13" ca="1">IF(Planung!$V$15,"",$D$12+QUOTIENT(($C13-$C$12),Planung!$V$11)*(Planung!$S$7+Planung!$S$9)/1440+SUM($V$12:$V12)/1440)</f>
        <v>0.61805555555555558</v>
      </c>
      <c r="E13" s="173">
        <f ca="1">IF(Planung!$V$15,"",MOD($C13-$C$12,Planung!$V$11)+1)</f>
        <v>1</v>
      </c>
      <c r="F13" s="403" t="s">
        <v>280</v>
      </c>
      <c r="G13" s="404" t="s">
        <v>4</v>
      </c>
      <c r="H13" s="405" t="s">
        <v>325</v>
      </c>
      <c r="I13" s="493" t="str">
        <f t="shared" ca="1" si="0"/>
        <v/>
      </c>
      <c r="J13" s="494" t="s">
        <v>4</v>
      </c>
      <c r="K13" s="495" t="str">
        <f t="shared" ca="1" si="1"/>
        <v/>
      </c>
      <c r="L13" s="410"/>
      <c r="M13" s="411" t="str">
        <f>Sprache!$E$109</f>
        <v xml:space="preserve"> : </v>
      </c>
      <c r="N13" s="490"/>
      <c r="O13" s="410"/>
      <c r="P13" s="411" t="str">
        <f>Sprache!$E$109</f>
        <v xml:space="preserve"> : </v>
      </c>
      <c r="Q13" s="490"/>
      <c r="R13" s="410"/>
      <c r="S13" s="411" t="str">
        <f>Sprache!$E$109</f>
        <v xml:space="preserve"> : </v>
      </c>
      <c r="T13" s="619"/>
      <c r="U13" s="328"/>
      <c r="V13" s="683"/>
      <c r="X13" s="439" t="s">
        <v>279</v>
      </c>
      <c r="Y13" s="450" t="str">
        <f ca="1">IF(Vorrunde!$X$17="","",Vorrunde!$X$17)</f>
        <v/>
      </c>
      <c r="Z13" s="272"/>
      <c r="AA13" s="315" t="str">
        <f t="shared" ref="AA13:AA23" ca="1" si="2">IF(AR13&gt;AS13,$I13,IF(AR13&lt;AS13,$K13,""))</f>
        <v/>
      </c>
      <c r="AB13" s="315" t="str">
        <f t="shared" ref="AB13:AB23" ca="1" si="3">IF(AR13&lt;AS13,$I13,IF(AR13&gt;AS13,$K13,""))</f>
        <v/>
      </c>
      <c r="AC13" s="315" t="b">
        <f>OR(NOT($AA$10),AND($L13&lt;&gt;"",$N13&lt;&gt;"",$O13&lt;&gt;"",$Q13&lt;&gt;"",$L13&lt;&gt;$N13,$O13&lt;&gt;$Q13,($L13&gt;$N13)+($O13&gt;$Q13)=1))</f>
        <v>0</v>
      </c>
      <c r="AD13" s="500" t="b">
        <f t="shared" ref="AD13:AD23" ca="1" si="4">AND($L13&lt;&gt;"",$N13&lt;&gt;"",$L13&lt;&gt;$N13,OR(AND($O13="",$Q13=""),AND($O13&lt;&gt;"",$Q13&lt;&gt;"",$O13&lt;&gt;$Q13)),$I13&lt;&gt;"",$K13&lt;&gt;"",$I13&lt;&gt;$K13)</f>
        <v>0</v>
      </c>
      <c r="AE13" s="315" t="b">
        <f t="shared" ref="AE13:AE23" si="5">AND(AC13,$R13&lt;&gt;"",$T13&lt;&gt;"",$R13&lt;&gt;$T13)</f>
        <v>0</v>
      </c>
      <c r="AF13" s="500">
        <f t="shared" ref="AF13:AF23" ca="1" si="6">(($L13&gt;$N13)+($O13&gt;$Q13)+($R13&gt;$T13)*AE13)*AD13</f>
        <v>0</v>
      </c>
      <c r="AG13" s="500">
        <f t="shared" ref="AG13:AG23" ca="1" si="7">(($L13&lt;$N13)+($O13&lt;$Q13)+($R13&lt;$T13)*AE13)*AD13</f>
        <v>0</v>
      </c>
      <c r="AH13" s="315"/>
      <c r="AI13" s="315" t="b">
        <f>AND($AA$10,OR(AND($L13&lt;&gt;"",$L13=$N13),AND($O13&lt;&gt;"",$O13=$Q13)))</f>
        <v>0</v>
      </c>
      <c r="AJ13" s="315" t="b">
        <f>AND($AA$10,$R13&lt;&gt;"",$T13&lt;&gt;"",$R13=$T13,$AC13)</f>
        <v>0</v>
      </c>
      <c r="AK13" s="315"/>
      <c r="AL13" s="315" t="b">
        <f t="shared" ref="AL13:AL23" ca="1" si="8">AND($L13&lt;&gt;"",$N13&lt;&gt;"",$I13&lt;&gt;"",$K13&lt;&gt;"",$I13&lt;&gt;$K13)</f>
        <v>0</v>
      </c>
      <c r="AM13" s="315" t="b">
        <f t="shared" ref="AM13:AM23" ca="1" si="9">AND($O13&lt;&gt;"",$Q13&lt;&gt;"",$I13&lt;&gt;"",$K13&lt;&gt;"",$I13&lt;&gt;$K13)</f>
        <v>0</v>
      </c>
      <c r="AN13" s="315" t="b">
        <f t="shared" ref="AN13:AN23" ca="1" si="10">AND($R13&lt;&gt;"",$T13&lt;&gt;"",$I13&lt;&gt;"",$K13&lt;&gt;"",$I13&lt;&gt;$K13)</f>
        <v>0</v>
      </c>
      <c r="AO13" s="500">
        <f ca="1">(($L13&gt;$N13)+($L13=$N13)*0.5)*$AL13+(($O13&gt;$Q13)+($O13=$Q13)*0.5)*$AM13+(($R13&gt;$T13)+($R13=$T13)*0.5)*$AN13</f>
        <v>0</v>
      </c>
      <c r="AP13" s="500">
        <f ca="1">(($L13&lt;$N13)+($L13=$N13)*0.5)*$AL13+(($O13&lt;$Q13)+($O13=$Q13)*0.5)*$AM13+(($R13&lt;$T13)+($R13=$T13)*0.5)*$AN13</f>
        <v>0</v>
      </c>
      <c r="AQ13" s="315"/>
      <c r="AR13" s="500">
        <f t="shared" ref="AR13:AR50" ca="1" si="11">IF($AA$10,$AF13,$AO13)</f>
        <v>0</v>
      </c>
      <c r="AS13" s="500">
        <f t="shared" ref="AS13:AS50" ca="1" si="12">IF($AA$10,$AG13,$AP13)</f>
        <v>0</v>
      </c>
    </row>
    <row r="14" spans="2:45" ht="24" customHeight="1" x14ac:dyDescent="0.25">
      <c r="B14" s="528" t="str">
        <f>Sprache!$E$71&amp;3</f>
        <v>HF 3</v>
      </c>
      <c r="C14" s="505">
        <f t="array" aca="1" ref="C14" ca="1">ROW(63:63)-SUM(((Planung!$L$6:$L$65="")+(Planung!$N$6:$N$65="")&gt;0)*1)-SUM((($I$12:$I13="")+($K$12:$K13="")&gt;0)*1)</f>
        <v>41</v>
      </c>
      <c r="D14" s="171">
        <f t="array" aca="1" ref="D14" ca="1">IF(Planung!$V$15,"",$D$12+QUOTIENT(($C14-$C$12),Planung!$V$11)*(Planung!$S$7+Planung!$S$9)/1440+SUM($V$12:$V13)/1440)</f>
        <v>0.61805555555555558</v>
      </c>
      <c r="E14" s="173">
        <f ca="1">IF(Planung!$V$15,"",MOD($C14-$C$12,Planung!$V$11)+1)</f>
        <v>1</v>
      </c>
      <c r="F14" s="403" t="s">
        <v>276</v>
      </c>
      <c r="G14" s="404"/>
      <c r="H14" s="405" t="s">
        <v>278</v>
      </c>
      <c r="I14" s="493" t="str">
        <f t="shared" ca="1" si="0"/>
        <v>Maibach 1822 eV</v>
      </c>
      <c r="J14" s="494" t="s">
        <v>4</v>
      </c>
      <c r="K14" s="495" t="str">
        <f t="shared" ca="1" si="1"/>
        <v>1. FC Nürnberg</v>
      </c>
      <c r="L14" s="410">
        <v>17</v>
      </c>
      <c r="M14" s="411" t="str">
        <f>Sprache!$E$109</f>
        <v xml:space="preserve"> : </v>
      </c>
      <c r="N14" s="490">
        <v>25</v>
      </c>
      <c r="O14" s="410">
        <v>22</v>
      </c>
      <c r="P14" s="411" t="str">
        <f>Sprache!$E$109</f>
        <v xml:space="preserve"> : </v>
      </c>
      <c r="Q14" s="490">
        <v>25</v>
      </c>
      <c r="R14" s="410"/>
      <c r="S14" s="411" t="str">
        <f>Sprache!$E$109</f>
        <v xml:space="preserve"> : </v>
      </c>
      <c r="T14" s="619"/>
      <c r="U14" s="328"/>
      <c r="V14" s="683"/>
      <c r="X14" s="419" t="s">
        <v>280</v>
      </c>
      <c r="Y14" s="451" t="str">
        <f ca="1">IF(Vorrunde!$X$27="","",Vorrunde!$X$27)</f>
        <v/>
      </c>
      <c r="Z14" s="272"/>
      <c r="AA14" s="315" t="str">
        <f t="shared" ca="1" si="2"/>
        <v>1. FC Nürnberg</v>
      </c>
      <c r="AB14" s="315" t="str">
        <f t="shared" ca="1" si="3"/>
        <v>Maibach 1822 eV</v>
      </c>
      <c r="AC14" s="315" t="b">
        <f>OR(NOT($AA$10),AND($L14&lt;&gt;"",$N14&lt;&gt;"",$O14&lt;&gt;"",$Q14&lt;&gt;"",$L14&lt;&gt;$N14,$O14&lt;&gt;$Q14,($L14&gt;$N14)+($O14&gt;$Q14)=1))</f>
        <v>0</v>
      </c>
      <c r="AD14" s="500" t="b">
        <f t="shared" ca="1" si="4"/>
        <v>1</v>
      </c>
      <c r="AE14" s="315" t="b">
        <f t="shared" si="5"/>
        <v>0</v>
      </c>
      <c r="AF14" s="500">
        <f t="shared" ca="1" si="6"/>
        <v>0</v>
      </c>
      <c r="AG14" s="500">
        <f t="shared" ca="1" si="7"/>
        <v>2</v>
      </c>
      <c r="AH14" s="315"/>
      <c r="AI14" s="315" t="b">
        <f>AND($AA$10,OR(AND($L14&lt;&gt;"",$L14=$N14),AND($O14&lt;&gt;"",$O14=$Q14)))</f>
        <v>0</v>
      </c>
      <c r="AJ14" s="315" t="b">
        <f>AND($AA$10,$R14&lt;&gt;"",$T14&lt;&gt;"",$R14=$T14,$AC14)</f>
        <v>0</v>
      </c>
      <c r="AK14" s="315"/>
      <c r="AL14" s="315" t="b">
        <f t="shared" ca="1" si="8"/>
        <v>1</v>
      </c>
      <c r="AM14" s="315" t="b">
        <f t="shared" ca="1" si="9"/>
        <v>1</v>
      </c>
      <c r="AN14" s="315" t="b">
        <f t="shared" ca="1" si="10"/>
        <v>0</v>
      </c>
      <c r="AO14" s="500">
        <f ca="1">(($L14&gt;$N14)+($L14=$N14)*0.5)*$AL14+(($O14&gt;$Q14)+($O14=$Q14)*0.5)*$AM14+(($R14&gt;$T14)+($R14=$T14)*0.5)*$AN14</f>
        <v>0</v>
      </c>
      <c r="AP14" s="500">
        <f ca="1">(($L14&lt;$N14)+($L14=$N14)*0.5)*$AL14+(($O14&lt;$Q14)+($O14=$Q14)*0.5)*$AM14+(($R14&lt;$T14)+($R14=$T14)*0.5)*$AN14</f>
        <v>2</v>
      </c>
      <c r="AQ14" s="315"/>
      <c r="AR14" s="500">
        <f t="shared" ca="1" si="11"/>
        <v>0</v>
      </c>
      <c r="AS14" s="500">
        <f t="shared" ca="1" si="12"/>
        <v>2</v>
      </c>
    </row>
    <row r="15" spans="2:45" ht="24" customHeight="1" x14ac:dyDescent="0.25">
      <c r="B15" s="528" t="str">
        <f>Sprache!$E$71&amp;4</f>
        <v>HF 4</v>
      </c>
      <c r="C15" s="505">
        <f t="array" aca="1" ref="C15" ca="1">ROW(64:64)-SUM(((Planung!$L$6:$L$65="")+(Planung!$N$6:$N$65="")&gt;0)*1)-SUM((($I$12:$I14="")+($K$12:$K14="")&gt;0)*1)</f>
        <v>42</v>
      </c>
      <c r="D15" s="171">
        <f t="array" aca="1" ref="D15" ca="1">IF(Planung!$V$15,"",$D$12+QUOTIENT(($C15-$C$12),Planung!$V$11)*(Planung!$S$7+Planung!$S$9)/1440+SUM($V$12:$V14)/1440)</f>
        <v>0.61805555555555558</v>
      </c>
      <c r="E15" s="173">
        <f ca="1">IF(Planung!$V$15,"",MOD($C15-$C$12,Planung!$V$11)+1)</f>
        <v>2</v>
      </c>
      <c r="F15" s="403" t="s">
        <v>277</v>
      </c>
      <c r="G15" s="404" t="s">
        <v>4</v>
      </c>
      <c r="H15" s="405" t="s">
        <v>324</v>
      </c>
      <c r="I15" s="493" t="str">
        <f t="shared" ca="1" si="0"/>
        <v>FC Grönlingen</v>
      </c>
      <c r="J15" s="494" t="s">
        <v>4</v>
      </c>
      <c r="K15" s="495" t="str">
        <f t="shared" ca="1" si="1"/>
        <v>SV Oberredenburg</v>
      </c>
      <c r="L15" s="410">
        <v>25</v>
      </c>
      <c r="M15" s="411" t="str">
        <f>Sprache!$E$109</f>
        <v xml:space="preserve"> : </v>
      </c>
      <c r="N15" s="490">
        <v>19</v>
      </c>
      <c r="O15" s="410">
        <v>14</v>
      </c>
      <c r="P15" s="411" t="str">
        <f>Sprache!$E$109</f>
        <v xml:space="preserve"> : </v>
      </c>
      <c r="Q15" s="490">
        <v>25</v>
      </c>
      <c r="R15" s="410">
        <v>15</v>
      </c>
      <c r="S15" s="411" t="str">
        <f>Sprache!$E$109</f>
        <v xml:space="preserve"> : </v>
      </c>
      <c r="T15" s="619">
        <v>12</v>
      </c>
      <c r="U15" s="328"/>
      <c r="V15" s="683"/>
      <c r="X15" s="438" t="s">
        <v>281</v>
      </c>
      <c r="Y15" s="451" t="str">
        <f ca="1">IF(Vorrunde!$X$37="","",Vorrunde!$X$37)</f>
        <v/>
      </c>
      <c r="Z15" s="272"/>
      <c r="AA15" s="315" t="str">
        <f t="shared" ca="1" si="2"/>
        <v>FC Grönlingen</v>
      </c>
      <c r="AB15" s="315" t="str">
        <f t="shared" ca="1" si="3"/>
        <v>SV Oberredenburg</v>
      </c>
      <c r="AC15" s="315" t="b">
        <f>OR(NOT($AA$10),AND($L15&lt;&gt;"",$N15&lt;&gt;"",$O15&lt;&gt;"",$Q15&lt;&gt;"",$L15&lt;&gt;$N15,$O15&lt;&gt;$Q15,($L15&gt;$N15)+($O15&gt;$Q15)=1))</f>
        <v>1</v>
      </c>
      <c r="AD15" s="500" t="b">
        <f t="shared" ca="1" si="4"/>
        <v>1</v>
      </c>
      <c r="AE15" s="315" t="b">
        <f t="shared" si="5"/>
        <v>1</v>
      </c>
      <c r="AF15" s="500">
        <f t="shared" ca="1" si="6"/>
        <v>2</v>
      </c>
      <c r="AG15" s="500">
        <f t="shared" ca="1" si="7"/>
        <v>1</v>
      </c>
      <c r="AH15" s="315"/>
      <c r="AI15" s="315" t="b">
        <f>AND($AA$10,OR(AND($L15&lt;&gt;"",$L15=$N15),AND($O15&lt;&gt;"",$O15=$Q15)))</f>
        <v>0</v>
      </c>
      <c r="AJ15" s="315" t="b">
        <f>AND($AA$10,$R15&lt;&gt;"",$T15&lt;&gt;"",$R15=$T15,$AC15)</f>
        <v>0</v>
      </c>
      <c r="AK15" s="315"/>
      <c r="AL15" s="315" t="b">
        <f t="shared" ca="1" si="8"/>
        <v>1</v>
      </c>
      <c r="AM15" s="315" t="b">
        <f t="shared" ca="1" si="9"/>
        <v>1</v>
      </c>
      <c r="AN15" s="315" t="b">
        <f t="shared" ca="1" si="10"/>
        <v>1</v>
      </c>
      <c r="AO15" s="500">
        <f ca="1">(($L15&gt;$N15)+($L15=$N15)*0.5)*$AL15+(($O15&gt;$Q15)+($O15=$Q15)*0.5)*$AM15+(($R15&gt;$T15)+($R15=$T15)*0.5)*$AN15</f>
        <v>2</v>
      </c>
      <c r="AP15" s="500">
        <f ca="1">(($L15&lt;$N15)+($L15=$N15)*0.5)*$AL15+(($O15&lt;$Q15)+($O15=$Q15)*0.5)*$AM15+(($R15&lt;$T15)+($R15=$T15)*0.5)*$AN15</f>
        <v>1</v>
      </c>
      <c r="AQ15" s="315"/>
      <c r="AR15" s="500">
        <f t="shared" ca="1" si="11"/>
        <v>2</v>
      </c>
      <c r="AS15" s="500">
        <f t="shared" ca="1" si="12"/>
        <v>1</v>
      </c>
    </row>
    <row r="16" spans="2:45" ht="24" customHeight="1" thickBot="1" x14ac:dyDescent="0.3">
      <c r="B16" s="528" t="str">
        <f>Sprache!$E$71&amp;5</f>
        <v>HF 5</v>
      </c>
      <c r="C16" s="505">
        <f t="array" aca="1" ref="C16" ca="1">ROW(65:65)-SUM(((Planung!$L$6:$L$65="")+(Planung!$N$6:$N$65="")&gt;0)*1)-SUM((($I$12:$I15="")+($K$12:$K15="")&gt;0)*1)</f>
        <v>43</v>
      </c>
      <c r="D16" s="171">
        <f t="array" aca="1" ref="D16" ca="1">IF(Planung!$V$15,"",$D$12+QUOTIENT(($C16-$C$12),Planung!$V$11)*(Planung!$S$7+Planung!$S$9)/1440+SUM($V$12:$V15)/1440)</f>
        <v>0.61805555555555558</v>
      </c>
      <c r="E16" s="173">
        <f ca="1">IF(Planung!$V$15,"",MOD($C16-$C$12,Planung!$V$11)+1)</f>
        <v>3</v>
      </c>
      <c r="F16" s="403" t="s">
        <v>273</v>
      </c>
      <c r="G16" s="404" t="s">
        <v>4</v>
      </c>
      <c r="H16" s="405" t="s">
        <v>275</v>
      </c>
      <c r="I16" s="493" t="str">
        <f t="shared" ca="1" si="0"/>
        <v>VFB Essenheim</v>
      </c>
      <c r="J16" s="494" t="s">
        <v>4</v>
      </c>
      <c r="K16" s="495" t="str">
        <f t="shared" ca="1" si="1"/>
        <v>FSV Rauen</v>
      </c>
      <c r="L16" s="410">
        <v>25</v>
      </c>
      <c r="M16" s="411" t="str">
        <f>Sprache!$E$109</f>
        <v xml:space="preserve"> : </v>
      </c>
      <c r="N16" s="490">
        <v>13</v>
      </c>
      <c r="O16" s="410">
        <v>25</v>
      </c>
      <c r="P16" s="411" t="str">
        <f>Sprache!$E$109</f>
        <v xml:space="preserve"> : </v>
      </c>
      <c r="Q16" s="490">
        <v>18</v>
      </c>
      <c r="R16" s="410"/>
      <c r="S16" s="411" t="str">
        <f>Sprache!$E$109</f>
        <v xml:space="preserve"> : </v>
      </c>
      <c r="T16" s="619"/>
      <c r="U16" s="328"/>
      <c r="V16" s="683"/>
      <c r="X16" s="393" t="s">
        <v>325</v>
      </c>
      <c r="Y16" s="452" t="str">
        <f ca="1">IF(Vorrunde!$X$47="","",Vorrunde!$X$47)</f>
        <v/>
      </c>
      <c r="Z16" s="272"/>
      <c r="AA16" s="315" t="str">
        <f t="shared" ca="1" si="2"/>
        <v>VFB Essenheim</v>
      </c>
      <c r="AB16" s="315" t="str">
        <f t="shared" ca="1" si="3"/>
        <v>FSV Rauen</v>
      </c>
      <c r="AC16" s="315" t="b">
        <f>OR(NOT($AA$10),AND($L16&lt;&gt;"",$N16&lt;&gt;"",$O16&lt;&gt;"",$Q16&lt;&gt;"",$L16&lt;&gt;$N16,$O16&lt;&gt;$Q16,($L16&gt;$N16)+($O16&gt;$Q16)=1))</f>
        <v>0</v>
      </c>
      <c r="AD16" s="500" t="b">
        <f t="shared" ca="1" si="4"/>
        <v>1</v>
      </c>
      <c r="AE16" s="315" t="b">
        <f t="shared" si="5"/>
        <v>0</v>
      </c>
      <c r="AF16" s="500">
        <f t="shared" ca="1" si="6"/>
        <v>2</v>
      </c>
      <c r="AG16" s="500">
        <f t="shared" ca="1" si="7"/>
        <v>0</v>
      </c>
      <c r="AH16" s="315"/>
      <c r="AI16" s="315" t="b">
        <f>AND($AA$10,OR(AND($L16&lt;&gt;"",$L16=$N16),AND($O16&lt;&gt;"",$O16=$Q16)))</f>
        <v>0</v>
      </c>
      <c r="AJ16" s="315" t="b">
        <f>AND($AA$10,$R16&lt;&gt;"",$T16&lt;&gt;"",$R16=$T16,$AC16)</f>
        <v>0</v>
      </c>
      <c r="AK16" s="315"/>
      <c r="AL16" s="315" t="b">
        <f t="shared" ca="1" si="8"/>
        <v>1</v>
      </c>
      <c r="AM16" s="315" t="b">
        <f t="shared" ca="1" si="9"/>
        <v>1</v>
      </c>
      <c r="AN16" s="315" t="b">
        <f t="shared" ca="1" si="10"/>
        <v>0</v>
      </c>
      <c r="AO16" s="500">
        <f ca="1">(($L16&gt;$N16)+($L16=$N16)*0.5)*$AL16+(($O16&gt;$Q16)+($O16=$Q16)*0.5)*$AM16+(($R16&gt;$T16)+($R16=$T16)*0.5)*$AN16</f>
        <v>2</v>
      </c>
      <c r="AP16" s="500">
        <f ca="1">(($L16&lt;$N16)+($L16=$N16)*0.5)*$AL16+(($O16&lt;$Q16)+($O16=$Q16)*0.5)*$AM16+(($R16&lt;$T16)+($R16=$T16)*0.5)*$AN16</f>
        <v>0</v>
      </c>
      <c r="AQ16" s="315"/>
      <c r="AR16" s="500">
        <f t="shared" ca="1" si="11"/>
        <v>2</v>
      </c>
      <c r="AS16" s="500">
        <f t="shared" ca="1" si="12"/>
        <v>0</v>
      </c>
    </row>
    <row r="17" spans="2:45" ht="24" customHeight="1" thickTop="1" x14ac:dyDescent="0.25">
      <c r="B17" s="528" t="str">
        <f>Sprache!$E$71&amp;6</f>
        <v>HF 6</v>
      </c>
      <c r="C17" s="505">
        <f t="array" aca="1" ref="C17" ca="1">ROW(66:66)-SUM(((Planung!$L$6:$L$65="")+(Planung!$N$6:$N$65="")&gt;0)*1)-SUM((($I$12:$I16="")+($K$12:$K16="")&gt;0)*1)</f>
        <v>44</v>
      </c>
      <c r="D17" s="171">
        <f t="array" aca="1" ref="D17" ca="1">IF(Planung!$V$15,"",$D$12+QUOTIENT(($C17-$C$12),Planung!$V$11)*(Planung!$S$7+Planung!$S$9)/1440+SUM($V$12:$V16)/1440)</f>
        <v>0.61805555555555558</v>
      </c>
      <c r="E17" s="173">
        <f ca="1">IF(Planung!$V$15,"",MOD($C17-$C$12,Planung!$V$11)+1)</f>
        <v>4</v>
      </c>
      <c r="F17" s="403" t="s">
        <v>274</v>
      </c>
      <c r="G17" s="404" t="s">
        <v>4</v>
      </c>
      <c r="H17" s="405" t="s">
        <v>323</v>
      </c>
      <c r="I17" s="493" t="str">
        <f t="shared" ca="1" si="0"/>
        <v>SSV Wildbach</v>
      </c>
      <c r="J17" s="494" t="s">
        <v>4</v>
      </c>
      <c r="K17" s="495" t="str">
        <f t="shared" ca="1" si="1"/>
        <v>HSV</v>
      </c>
      <c r="L17" s="410">
        <v>21</v>
      </c>
      <c r="M17" s="411" t="str">
        <f>Sprache!$E$109</f>
        <v xml:space="preserve"> : </v>
      </c>
      <c r="N17" s="490">
        <v>25</v>
      </c>
      <c r="O17" s="410">
        <v>19</v>
      </c>
      <c r="P17" s="411" t="str">
        <f>Sprache!$E$109</f>
        <v xml:space="preserve"> : </v>
      </c>
      <c r="Q17" s="490">
        <v>25</v>
      </c>
      <c r="R17" s="410"/>
      <c r="S17" s="411" t="str">
        <f>Sprache!$E$109</f>
        <v xml:space="preserve"> : </v>
      </c>
      <c r="T17" s="619"/>
      <c r="U17" s="328"/>
      <c r="V17" s="683"/>
      <c r="X17" s="395"/>
      <c r="Y17" s="584">
        <f t="array" aca="1" ref="Y17" ca="1">SUM((Y13:Y16&lt;&gt;"")*1)</f>
        <v>0</v>
      </c>
      <c r="Z17" s="272"/>
      <c r="AA17" s="315" t="str">
        <f t="shared" ca="1" si="2"/>
        <v>HSV</v>
      </c>
      <c r="AB17" s="315" t="str">
        <f t="shared" ca="1" si="3"/>
        <v>SSV Wildbach</v>
      </c>
      <c r="AC17" s="315" t="b">
        <f>OR(NOT($AA$10),AND($L17&lt;&gt;"",$N17&lt;&gt;"",$O17&lt;&gt;"",$Q17&lt;&gt;"",$L17&lt;&gt;$N17,$O17&lt;&gt;$Q17,($L17&gt;$N17)+($O17&gt;$Q17)=1))</f>
        <v>0</v>
      </c>
      <c r="AD17" s="500" t="b">
        <f t="shared" ca="1" si="4"/>
        <v>1</v>
      </c>
      <c r="AE17" s="315" t="b">
        <f t="shared" si="5"/>
        <v>0</v>
      </c>
      <c r="AF17" s="500">
        <f t="shared" ca="1" si="6"/>
        <v>0</v>
      </c>
      <c r="AG17" s="500">
        <f t="shared" ca="1" si="7"/>
        <v>2</v>
      </c>
      <c r="AH17" s="315"/>
      <c r="AI17" s="315" t="b">
        <f>AND($AA$10,OR(AND($L17&lt;&gt;"",$L17=$N17),AND($O17&lt;&gt;"",$O17=$Q17)))</f>
        <v>0</v>
      </c>
      <c r="AJ17" s="315" t="b">
        <f>AND($AA$10,$R17&lt;&gt;"",$T17&lt;&gt;"",$R17=$T17,$AC17)</f>
        <v>0</v>
      </c>
      <c r="AK17" s="315"/>
      <c r="AL17" s="315" t="b">
        <f t="shared" ca="1" si="8"/>
        <v>1</v>
      </c>
      <c r="AM17" s="315" t="b">
        <f t="shared" ca="1" si="9"/>
        <v>1</v>
      </c>
      <c r="AN17" s="315" t="b">
        <f t="shared" ca="1" si="10"/>
        <v>0</v>
      </c>
      <c r="AO17" s="500">
        <f ca="1">(($L17&gt;$N17)+($L17=$N17)*0.5)*$AL17+(($O17&gt;$Q17)+($O17=$Q17)*0.5)*$AM17+(($R17&gt;$T17)+($R17=$T17)*0.5)*$AN17</f>
        <v>0</v>
      </c>
      <c r="AP17" s="500">
        <f ca="1">(($L17&lt;$N17)+($L17=$N17)*0.5)*$AL17+(($O17&lt;$Q17)+($O17=$Q17)*0.5)*$AM17+(($R17&lt;$T17)+($R17=$T17)*0.5)*$AN17</f>
        <v>2</v>
      </c>
      <c r="AQ17" s="315"/>
      <c r="AR17" s="500">
        <f t="shared" ca="1" si="11"/>
        <v>0</v>
      </c>
      <c r="AS17" s="500">
        <f t="shared" ca="1" si="12"/>
        <v>2</v>
      </c>
    </row>
    <row r="18" spans="2:45" ht="24" customHeight="1" thickBot="1" x14ac:dyDescent="0.45">
      <c r="B18" s="528" t="str">
        <f>Sprache!$E$71&amp;7</f>
        <v>HF 7</v>
      </c>
      <c r="C18" s="505">
        <f t="array" aca="1" ref="C18" ca="1">ROW(67:67)-SUM(((Planung!$L$6:$L$65="")+(Planung!$N$6:$N$65="")&gt;0)*1)-SUM((($I$12:$I17="")+($K$12:$K17="")&gt;0)*1)</f>
        <v>45</v>
      </c>
      <c r="D18" s="171">
        <f t="array" aca="1" ref="D18" ca="1">IF(Planung!$V$15,"",$D$12+QUOTIENT(($C18-$C$12),Planung!$V$11)*(Planung!$S$7+Planung!$S$9)/1440+SUM($V$12:$V17)/1440)</f>
        <v>0.64236111111111116</v>
      </c>
      <c r="E18" s="173">
        <f ca="1">IF(Planung!$V$15,"",MOD($C18-$C$12,Planung!$V$11)+1)</f>
        <v>1</v>
      </c>
      <c r="F18" s="403" t="s">
        <v>270</v>
      </c>
      <c r="G18" s="404" t="s">
        <v>4</v>
      </c>
      <c r="H18" s="405" t="s">
        <v>272</v>
      </c>
      <c r="I18" s="493" t="str">
        <f t="shared" ca="1" si="0"/>
        <v>1. FC Riedwald</v>
      </c>
      <c r="J18" s="494" t="s">
        <v>4</v>
      </c>
      <c r="K18" s="495" t="str">
        <f t="shared" ca="1" si="1"/>
        <v>Borussia Dortmund</v>
      </c>
      <c r="L18" s="410">
        <v>20</v>
      </c>
      <c r="M18" s="411" t="str">
        <f>Sprache!$E$109</f>
        <v xml:space="preserve"> : </v>
      </c>
      <c r="N18" s="490">
        <v>25</v>
      </c>
      <c r="O18" s="410">
        <v>16</v>
      </c>
      <c r="P18" s="411" t="str">
        <f>Sprache!$E$109</f>
        <v xml:space="preserve"> : </v>
      </c>
      <c r="Q18" s="490">
        <v>25</v>
      </c>
      <c r="R18" s="410"/>
      <c r="S18" s="411" t="str">
        <f>Sprache!$E$109</f>
        <v xml:space="preserve"> : </v>
      </c>
      <c r="T18" s="619"/>
      <c r="U18" s="328"/>
      <c r="V18" s="683"/>
      <c r="X18" s="878" t="str">
        <f>Sprache!$E$63</f>
        <v>Gruppenfünfte</v>
      </c>
      <c r="Y18" s="878"/>
      <c r="Z18" s="270"/>
      <c r="AA18" s="315" t="str">
        <f t="shared" ca="1" si="2"/>
        <v>Borussia Dortmund</v>
      </c>
      <c r="AB18" s="315" t="str">
        <f t="shared" ca="1" si="3"/>
        <v>1. FC Riedwald</v>
      </c>
      <c r="AC18" s="315" t="b">
        <f>OR(NOT($AA$10),AND($L18&lt;&gt;"",$N18&lt;&gt;"",$O18&lt;&gt;"",$Q18&lt;&gt;"",$L18&lt;&gt;$N18,$O18&lt;&gt;$Q18,($L18&gt;$N18)+($O18&gt;$Q18)=1))</f>
        <v>0</v>
      </c>
      <c r="AD18" s="500" t="b">
        <f t="shared" ca="1" si="4"/>
        <v>1</v>
      </c>
      <c r="AE18" s="315" t="b">
        <f t="shared" si="5"/>
        <v>0</v>
      </c>
      <c r="AF18" s="500">
        <f t="shared" ca="1" si="6"/>
        <v>0</v>
      </c>
      <c r="AG18" s="500">
        <f t="shared" ca="1" si="7"/>
        <v>2</v>
      </c>
      <c r="AH18" s="315"/>
      <c r="AI18" s="315" t="b">
        <f>AND($AA$10,OR(AND($L18&lt;&gt;"",$L18=$N18),AND($O18&lt;&gt;"",$O18=$Q18)))</f>
        <v>0</v>
      </c>
      <c r="AJ18" s="315" t="b">
        <f>AND($AA$10,$R18&lt;&gt;"",$T18&lt;&gt;"",$R18=$T18,$AC18)</f>
        <v>0</v>
      </c>
      <c r="AK18" s="315"/>
      <c r="AL18" s="315" t="b">
        <f t="shared" ca="1" si="8"/>
        <v>1</v>
      </c>
      <c r="AM18" s="315" t="b">
        <f t="shared" ca="1" si="9"/>
        <v>1</v>
      </c>
      <c r="AN18" s="315" t="b">
        <f t="shared" ca="1" si="10"/>
        <v>0</v>
      </c>
      <c r="AO18" s="500">
        <f ca="1">(($L18&gt;$N18)+($L18=$N18)*0.5)*$AL18+(($O18&gt;$Q18)+($O18=$Q18)*0.5)*$AM18+(($R18&gt;$T18)+($R18=$T18)*0.5)*$AN18</f>
        <v>0</v>
      </c>
      <c r="AP18" s="500">
        <f ca="1">(($L18&lt;$N18)+($L18=$N18)*0.5)*$AL18+(($O18&lt;$Q18)+($O18=$Q18)*0.5)*$AM18+(($R18&lt;$T18)+($R18=$T18)*0.5)*$AN18</f>
        <v>2</v>
      </c>
      <c r="AQ18" s="315"/>
      <c r="AR18" s="500">
        <f t="shared" ca="1" si="11"/>
        <v>0</v>
      </c>
      <c r="AS18" s="500">
        <f t="shared" ca="1" si="12"/>
        <v>2</v>
      </c>
    </row>
    <row r="19" spans="2:45" ht="24" customHeight="1" thickTop="1" x14ac:dyDescent="0.25">
      <c r="B19" s="528" t="str">
        <f>Sprache!$E$71&amp;8</f>
        <v>HF 8</v>
      </c>
      <c r="C19" s="505">
        <f t="array" aca="1" ref="C19" ca="1">ROW(68:68)-SUM(((Planung!$L$6:$L$65="")+(Planung!$N$6:$N$65="")&gt;0)*1)-SUM((($I$12:$I18="")+($K$12:$K18="")&gt;0)*1)</f>
        <v>46</v>
      </c>
      <c r="D19" s="171">
        <f t="array" aca="1" ref="D19" ca="1">IF(Planung!$V$15,"",$D$12+QUOTIENT(($C19-$C$12),Planung!$V$11)*(Planung!$S$7+Planung!$S$9)/1440+SUM($V$12:$V18)/1440)</f>
        <v>0.64236111111111116</v>
      </c>
      <c r="E19" s="173">
        <f ca="1">IF(Planung!$V$15,"",MOD($C19-$C$12,Planung!$V$11)+1)</f>
        <v>2</v>
      </c>
      <c r="F19" s="403" t="s">
        <v>271</v>
      </c>
      <c r="G19" s="404" t="s">
        <v>4</v>
      </c>
      <c r="H19" s="405" t="s">
        <v>322</v>
      </c>
      <c r="I19" s="493" t="str">
        <f t="shared" ca="1" si="0"/>
        <v>Mainz 05</v>
      </c>
      <c r="J19" s="494" t="s">
        <v>4</v>
      </c>
      <c r="K19" s="495" t="str">
        <f t="shared" ca="1" si="1"/>
        <v>RB Leipzig</v>
      </c>
      <c r="L19" s="410">
        <v>25</v>
      </c>
      <c r="M19" s="411" t="str">
        <f>Sprache!$E$109</f>
        <v xml:space="preserve"> : </v>
      </c>
      <c r="N19" s="490">
        <v>21</v>
      </c>
      <c r="O19" s="410">
        <v>23</v>
      </c>
      <c r="P19" s="411" t="str">
        <f>Sprache!$E$109</f>
        <v xml:space="preserve"> : </v>
      </c>
      <c r="Q19" s="490">
        <v>25</v>
      </c>
      <c r="R19" s="410">
        <v>11</v>
      </c>
      <c r="S19" s="411" t="str">
        <f>Sprache!$E$109</f>
        <v xml:space="preserve"> : </v>
      </c>
      <c r="T19" s="619">
        <v>15</v>
      </c>
      <c r="U19" s="328"/>
      <c r="V19" s="683"/>
      <c r="X19" s="420"/>
      <c r="Y19" s="449" t="str">
        <f>Sprache!$E$10</f>
        <v>Teilnehmer bzw. Mannschaft</v>
      </c>
      <c r="Z19" s="446"/>
      <c r="AA19" s="315" t="str">
        <f t="shared" ca="1" si="2"/>
        <v>RB Leipzig</v>
      </c>
      <c r="AB19" s="315" t="str">
        <f t="shared" ca="1" si="3"/>
        <v>Mainz 05</v>
      </c>
      <c r="AC19" s="315" t="b">
        <f>OR(NOT($AA$10),AND($L19&lt;&gt;"",$N19&lt;&gt;"",$O19&lt;&gt;"",$Q19&lt;&gt;"",$L19&lt;&gt;$N19,$O19&lt;&gt;$Q19,($L19&gt;$N19)+($O19&gt;$Q19)=1))</f>
        <v>1</v>
      </c>
      <c r="AD19" s="500" t="b">
        <f t="shared" ca="1" si="4"/>
        <v>1</v>
      </c>
      <c r="AE19" s="315" t="b">
        <f t="shared" si="5"/>
        <v>1</v>
      </c>
      <c r="AF19" s="500">
        <f t="shared" ca="1" si="6"/>
        <v>1</v>
      </c>
      <c r="AG19" s="500">
        <f t="shared" ca="1" si="7"/>
        <v>2</v>
      </c>
      <c r="AH19" s="315"/>
      <c r="AI19" s="315" t="b">
        <f>AND($AA$10,OR(AND($L19&lt;&gt;"",$L19=$N19),AND($O19&lt;&gt;"",$O19=$Q19)))</f>
        <v>0</v>
      </c>
      <c r="AJ19" s="315" t="b">
        <f>AND($AA$10,$R19&lt;&gt;"",$T19&lt;&gt;"",$R19=$T19,$AC19)</f>
        <v>0</v>
      </c>
      <c r="AK19" s="315"/>
      <c r="AL19" s="315" t="b">
        <f t="shared" ca="1" si="8"/>
        <v>1</v>
      </c>
      <c r="AM19" s="315" t="b">
        <f t="shared" ca="1" si="9"/>
        <v>1</v>
      </c>
      <c r="AN19" s="315" t="b">
        <f t="shared" ca="1" si="10"/>
        <v>1</v>
      </c>
      <c r="AO19" s="500">
        <f ca="1">(($L19&gt;$N19)+($L19=$N19)*0.5)*$AL19+(($O19&gt;$Q19)+($O19=$Q19)*0.5)*$AM19+(($R19&gt;$T19)+($R19=$T19)*0.5)*$AN19</f>
        <v>1</v>
      </c>
      <c r="AP19" s="500">
        <f ca="1">(($L19&lt;$N19)+($L19=$N19)*0.5)*$AL19+(($O19&lt;$Q19)+($O19=$Q19)*0.5)*$AM19+(($R19&lt;$T19)+($R19=$T19)*0.5)*$AN19</f>
        <v>2</v>
      </c>
      <c r="AQ19" s="315"/>
      <c r="AR19" s="500">
        <f t="shared" ca="1" si="11"/>
        <v>1</v>
      </c>
      <c r="AS19" s="500">
        <f t="shared" ca="1" si="12"/>
        <v>2</v>
      </c>
    </row>
    <row r="20" spans="2:45" ht="24" customHeight="1" x14ac:dyDescent="0.25">
      <c r="B20" s="528" t="str">
        <f>Sprache!$E$71&amp;9</f>
        <v>HF 9</v>
      </c>
      <c r="C20" s="505">
        <f t="array" aca="1" ref="C20" ca="1">ROW(69:69)-SUM(((Planung!$L$6:$L$65="")+(Planung!$N$6:$N$65="")&gt;0)*1)-SUM((($I$12:$I19="")+($K$12:$K19="")&gt;0)*1)</f>
        <v>47</v>
      </c>
      <c r="D20" s="171">
        <f t="array" aca="1" ref="D20" ca="1">IF(Planung!$V$15,"",$D$12+QUOTIENT(($C20-$C$12),Planung!$V$11)*(Planung!$S$7+Planung!$S$9)/1440+SUM($V$12:$V19)/1440)</f>
        <v>0.64236111111111116</v>
      </c>
      <c r="E20" s="173">
        <f ca="1">IF(Planung!$V$15,"",MOD($C20-$C$12,Planung!$V$11)+1)</f>
        <v>3</v>
      </c>
      <c r="F20" s="403" t="s">
        <v>267</v>
      </c>
      <c r="G20" s="404" t="s">
        <v>4</v>
      </c>
      <c r="H20" s="405" t="s">
        <v>269</v>
      </c>
      <c r="I20" s="493" t="str">
        <f t="shared" ca="1" si="0"/>
        <v>FC Barcelona</v>
      </c>
      <c r="J20" s="494" t="s">
        <v>4</v>
      </c>
      <c r="K20" s="495" t="str">
        <f t="shared" ca="1" si="1"/>
        <v>Kickers Rodendorf</v>
      </c>
      <c r="L20" s="410">
        <v>25</v>
      </c>
      <c r="M20" s="411" t="str">
        <f>Sprache!$E$109</f>
        <v xml:space="preserve"> : </v>
      </c>
      <c r="N20" s="490">
        <v>11</v>
      </c>
      <c r="O20" s="410">
        <v>25</v>
      </c>
      <c r="P20" s="411" t="str">
        <f>Sprache!$E$109</f>
        <v xml:space="preserve"> : </v>
      </c>
      <c r="Q20" s="490">
        <v>16</v>
      </c>
      <c r="R20" s="410"/>
      <c r="S20" s="411" t="str">
        <f>Sprache!$E$109</f>
        <v xml:space="preserve"> : </v>
      </c>
      <c r="T20" s="619"/>
      <c r="U20" s="328"/>
      <c r="V20" s="683"/>
      <c r="X20" s="439" t="s">
        <v>276</v>
      </c>
      <c r="Y20" s="450" t="str">
        <f ca="1">IF(Vorrunde!$X$16="","",Vorrunde!$X$16)</f>
        <v>Maibach 1822 eV</v>
      </c>
      <c r="Z20" s="272"/>
      <c r="AA20" s="315" t="str">
        <f t="shared" ca="1" si="2"/>
        <v>FC Barcelona</v>
      </c>
      <c r="AB20" s="315" t="str">
        <f t="shared" ca="1" si="3"/>
        <v>Kickers Rodendorf</v>
      </c>
      <c r="AC20" s="315" t="b">
        <f>OR(NOT($AA$10),AND($L20&lt;&gt;"",$N20&lt;&gt;"",$O20&lt;&gt;"",$Q20&lt;&gt;"",$L20&lt;&gt;$N20,$O20&lt;&gt;$Q20,($L20&gt;$N20)+($O20&gt;$Q20)=1))</f>
        <v>0</v>
      </c>
      <c r="AD20" s="500" t="b">
        <f t="shared" ca="1" si="4"/>
        <v>1</v>
      </c>
      <c r="AE20" s="315" t="b">
        <f t="shared" si="5"/>
        <v>0</v>
      </c>
      <c r="AF20" s="500">
        <f t="shared" ca="1" si="6"/>
        <v>2</v>
      </c>
      <c r="AG20" s="500">
        <f t="shared" ca="1" si="7"/>
        <v>0</v>
      </c>
      <c r="AH20" s="315"/>
      <c r="AI20" s="315" t="b">
        <f>AND($AA$10,OR(AND($L20&lt;&gt;"",$L20=$N20),AND($O20&lt;&gt;"",$O20=$Q20)))</f>
        <v>0</v>
      </c>
      <c r="AJ20" s="315" t="b">
        <f>AND($AA$10,$R20&lt;&gt;"",$T20&lt;&gt;"",$R20=$T20,$AC20)</f>
        <v>0</v>
      </c>
      <c r="AK20" s="315"/>
      <c r="AL20" s="315" t="b">
        <f t="shared" ca="1" si="8"/>
        <v>1</v>
      </c>
      <c r="AM20" s="315" t="b">
        <f t="shared" ca="1" si="9"/>
        <v>1</v>
      </c>
      <c r="AN20" s="315" t="b">
        <f t="shared" ca="1" si="10"/>
        <v>0</v>
      </c>
      <c r="AO20" s="500">
        <f ca="1">(($L20&gt;$N20)+($L20=$N20)*0.5)*$AL20+(($O20&gt;$Q20)+($O20=$Q20)*0.5)*$AM20+(($R20&gt;$T20)+($R20=$T20)*0.5)*$AN20</f>
        <v>2</v>
      </c>
      <c r="AP20" s="500">
        <f ca="1">(($L20&lt;$N20)+($L20=$N20)*0.5)*$AL20+(($O20&lt;$Q20)+($O20=$Q20)*0.5)*$AM20+(($R20&lt;$T20)+($R20=$T20)*0.5)*$AN20</f>
        <v>0</v>
      </c>
      <c r="AQ20" s="315"/>
      <c r="AR20" s="500">
        <f t="shared" ca="1" si="11"/>
        <v>2</v>
      </c>
      <c r="AS20" s="500">
        <f t="shared" ca="1" si="12"/>
        <v>0</v>
      </c>
    </row>
    <row r="21" spans="2:45" ht="24" customHeight="1" x14ac:dyDescent="0.25">
      <c r="B21" s="528" t="str">
        <f>Sprache!$E$71&amp;10</f>
        <v>HF 10</v>
      </c>
      <c r="C21" s="505">
        <f t="array" aca="1" ref="C21" ca="1">ROW(70:70)-SUM(((Planung!$L$6:$L$65="")+(Planung!$N$6:$N$65="")&gt;0)*1)-SUM((($I$12:$I20="")+($K$12:$K20="")&gt;0)*1)</f>
        <v>48</v>
      </c>
      <c r="D21" s="171">
        <f t="array" aca="1" ref="D21" ca="1">IF(Planung!$V$15,"",$D$12+QUOTIENT(($C21-$C$12),Planung!$V$11)*(Planung!$S$7+Planung!$S$9)/1440+SUM($V$12:$V20)/1440)</f>
        <v>0.64236111111111116</v>
      </c>
      <c r="E21" s="173">
        <f ca="1">IF(Planung!$V$15,"",MOD($C21-$C$12,Planung!$V$11)+1)</f>
        <v>4</v>
      </c>
      <c r="F21" s="403" t="s">
        <v>268</v>
      </c>
      <c r="G21" s="404" t="s">
        <v>4</v>
      </c>
      <c r="H21" s="405" t="s">
        <v>321</v>
      </c>
      <c r="I21" s="493" t="str">
        <f t="shared" ca="1" si="0"/>
        <v>Manchester City</v>
      </c>
      <c r="J21" s="494" t="s">
        <v>4</v>
      </c>
      <c r="K21" s="495" t="str">
        <f t="shared" ca="1" si="1"/>
        <v>Paris St. Germain</v>
      </c>
      <c r="L21" s="410">
        <v>25</v>
      </c>
      <c r="M21" s="411" t="str">
        <f>Sprache!$E$109</f>
        <v xml:space="preserve"> : </v>
      </c>
      <c r="N21" s="490">
        <v>21</v>
      </c>
      <c r="O21" s="410">
        <v>25</v>
      </c>
      <c r="P21" s="411" t="str">
        <f>Sprache!$E$109</f>
        <v xml:space="preserve"> : </v>
      </c>
      <c r="Q21" s="490">
        <v>19</v>
      </c>
      <c r="R21" s="410"/>
      <c r="S21" s="411" t="str">
        <f>Sprache!$E$109</f>
        <v xml:space="preserve"> : </v>
      </c>
      <c r="T21" s="619"/>
      <c r="U21" s="328"/>
      <c r="V21" s="683"/>
      <c r="X21" s="419" t="s">
        <v>277</v>
      </c>
      <c r="Y21" s="451" t="str">
        <f ca="1">IF(Vorrunde!$X$26="","",Vorrunde!$X$26)</f>
        <v>FC Grönlingen</v>
      </c>
      <c r="Z21" s="272"/>
      <c r="AA21" s="315" t="str">
        <f t="shared" ca="1" si="2"/>
        <v>Manchester City</v>
      </c>
      <c r="AB21" s="315" t="str">
        <f t="shared" ca="1" si="3"/>
        <v>Paris St. Germain</v>
      </c>
      <c r="AC21" s="315" t="b">
        <f>OR(NOT($AA$10),AND($L21&lt;&gt;"",$N21&lt;&gt;"",$O21&lt;&gt;"",$Q21&lt;&gt;"",$L21&lt;&gt;$N21,$O21&lt;&gt;$Q21,($L21&gt;$N21)+($O21&gt;$Q21)=1))</f>
        <v>0</v>
      </c>
      <c r="AD21" s="500" t="b">
        <f t="shared" ca="1" si="4"/>
        <v>1</v>
      </c>
      <c r="AE21" s="315" t="b">
        <f t="shared" si="5"/>
        <v>0</v>
      </c>
      <c r="AF21" s="500">
        <f t="shared" ca="1" si="6"/>
        <v>2</v>
      </c>
      <c r="AG21" s="500">
        <f t="shared" ca="1" si="7"/>
        <v>0</v>
      </c>
      <c r="AH21" s="315"/>
      <c r="AI21" s="315" t="b">
        <f>AND($AA$10,OR(AND($L21&lt;&gt;"",$L21=$N21),AND($O21&lt;&gt;"",$O21=$Q21)))</f>
        <v>0</v>
      </c>
      <c r="AJ21" s="315" t="b">
        <f>AND($AA$10,$R21&lt;&gt;"",$T21&lt;&gt;"",$R21=$T21,$AC21)</f>
        <v>0</v>
      </c>
      <c r="AK21" s="315"/>
      <c r="AL21" s="315" t="b">
        <f t="shared" ca="1" si="8"/>
        <v>1</v>
      </c>
      <c r="AM21" s="315" t="b">
        <f t="shared" ca="1" si="9"/>
        <v>1</v>
      </c>
      <c r="AN21" s="315" t="b">
        <f t="shared" ca="1" si="10"/>
        <v>0</v>
      </c>
      <c r="AO21" s="500">
        <f ca="1">(($L21&gt;$N21)+($L21=$N21)*0.5)*$AL21+(($O21&gt;$Q21)+($O21=$Q21)*0.5)*$AM21+(($R21&gt;$T21)+($R21=$T21)*0.5)*$AN21</f>
        <v>2</v>
      </c>
      <c r="AP21" s="500">
        <f ca="1">(($L21&lt;$N21)+($L21=$N21)*0.5)*$AL21+(($O21&lt;$Q21)+($O21=$Q21)*0.5)*$AM21+(($R21&lt;$T21)+($R21=$T21)*0.5)*$AN21</f>
        <v>0</v>
      </c>
      <c r="AQ21" s="315"/>
      <c r="AR21" s="500">
        <f t="shared" ca="1" si="11"/>
        <v>2</v>
      </c>
      <c r="AS21" s="500">
        <f t="shared" ca="1" si="12"/>
        <v>0</v>
      </c>
    </row>
    <row r="22" spans="2:45" ht="24" customHeight="1" x14ac:dyDescent="0.25">
      <c r="B22" s="528" t="str">
        <f>Sprache!$E$71&amp;11</f>
        <v>HF 11</v>
      </c>
      <c r="C22" s="505">
        <f t="array" aca="1" ref="C22" ca="1">ROW(71:71)-SUM(((Planung!$L$6:$L$65="")+(Planung!$N$6:$N$65="")&gt;0)*1)-SUM((($I$12:$I21="")+($K$12:$K21="")&gt;0)*1)</f>
        <v>49</v>
      </c>
      <c r="D22" s="171">
        <f t="array" aca="1" ref="D22" ca="1">IF(Planung!$V$15,"",$D$12+QUOTIENT(($C22-$C$12),Planung!$V$11)*(Planung!$S$7+Planung!$S$9)/1440+SUM($V$12:$V21)/1440)</f>
        <v>0.66666666666666674</v>
      </c>
      <c r="E22" s="173">
        <f ca="1">IF(Planung!$V$15,"",MOD($C22-$C$12,Planung!$V$11)+1)</f>
        <v>1</v>
      </c>
      <c r="F22" s="403" t="s">
        <v>264</v>
      </c>
      <c r="G22" s="404"/>
      <c r="H22" s="405" t="s">
        <v>266</v>
      </c>
      <c r="I22" s="493" t="str">
        <f t="shared" ca="1" si="0"/>
        <v>Eintracht Frankfurt</v>
      </c>
      <c r="J22" s="494"/>
      <c r="K22" s="495" t="str">
        <f t="shared" ca="1" si="1"/>
        <v>Real Madrid</v>
      </c>
      <c r="L22" s="410">
        <v>25</v>
      </c>
      <c r="M22" s="411" t="str">
        <f>Sprache!$E$109</f>
        <v xml:space="preserve"> : </v>
      </c>
      <c r="N22" s="490">
        <v>22</v>
      </c>
      <c r="O22" s="410">
        <v>25</v>
      </c>
      <c r="P22" s="411" t="str">
        <f>Sprache!$E$109</f>
        <v xml:space="preserve"> : </v>
      </c>
      <c r="Q22" s="490">
        <v>23</v>
      </c>
      <c r="R22" s="410"/>
      <c r="S22" s="411" t="str">
        <f>Sprache!$E$109</f>
        <v xml:space="preserve"> : </v>
      </c>
      <c r="T22" s="619"/>
      <c r="U22" s="328"/>
      <c r="V22" s="683"/>
      <c r="X22" s="438" t="s">
        <v>278</v>
      </c>
      <c r="Y22" s="451" t="str">
        <f ca="1">IF(Vorrunde!$X$36="","",Vorrunde!$X$36)</f>
        <v>1. FC Nürnberg</v>
      </c>
      <c r="Z22" s="272"/>
      <c r="AA22" s="315" t="str">
        <f t="shared" ca="1" si="2"/>
        <v>Eintracht Frankfurt</v>
      </c>
      <c r="AB22" s="315" t="str">
        <f t="shared" ca="1" si="3"/>
        <v>Real Madrid</v>
      </c>
      <c r="AC22" s="315" t="b">
        <f>OR(NOT($AA$10),AND($L22&lt;&gt;"",$N22&lt;&gt;"",$O22&lt;&gt;"",$Q22&lt;&gt;"",$L22&lt;&gt;$N22,$O22&lt;&gt;$Q22,($L22&gt;$N22)+($O22&gt;$Q22)=1))</f>
        <v>0</v>
      </c>
      <c r="AD22" s="500" t="b">
        <f t="shared" ca="1" si="4"/>
        <v>1</v>
      </c>
      <c r="AE22" s="315" t="b">
        <f t="shared" si="5"/>
        <v>0</v>
      </c>
      <c r="AF22" s="500">
        <f t="shared" ca="1" si="6"/>
        <v>2</v>
      </c>
      <c r="AG22" s="500">
        <f t="shared" ca="1" si="7"/>
        <v>0</v>
      </c>
      <c r="AH22" s="315"/>
      <c r="AI22" s="315" t="b">
        <f>AND($AA$10,OR(AND($L22&lt;&gt;"",$L22=$N22),AND($O22&lt;&gt;"",$O22=$Q22)))</f>
        <v>0</v>
      </c>
      <c r="AJ22" s="315" t="b">
        <f>AND($AA$10,$R22&lt;&gt;"",$T22&lt;&gt;"",$R22=$T22,$AC22)</f>
        <v>0</v>
      </c>
      <c r="AK22" s="315"/>
      <c r="AL22" s="315" t="b">
        <f t="shared" ca="1" si="8"/>
        <v>1</v>
      </c>
      <c r="AM22" s="315" t="b">
        <f t="shared" ca="1" si="9"/>
        <v>1</v>
      </c>
      <c r="AN22" s="315" t="b">
        <f t="shared" ca="1" si="10"/>
        <v>0</v>
      </c>
      <c r="AO22" s="500">
        <f ca="1">(($L22&gt;$N22)+($L22=$N22)*0.5)*$AL22+(($O22&gt;$Q22)+($O22=$Q22)*0.5)*$AM22+(($R22&gt;$T22)+($R22=$T22)*0.5)*$AN22</f>
        <v>2</v>
      </c>
      <c r="AP22" s="500">
        <f ca="1">(($L22&lt;$N22)+($L22=$N22)*0.5)*$AL22+(($O22&lt;$Q22)+($O22=$Q22)*0.5)*$AM22+(($R22&lt;$T22)+($R22=$T22)*0.5)*$AN22</f>
        <v>0</v>
      </c>
      <c r="AQ22" s="315"/>
      <c r="AR22" s="500">
        <f t="shared" ca="1" si="11"/>
        <v>2</v>
      </c>
      <c r="AS22" s="500">
        <f t="shared" ca="1" si="12"/>
        <v>0</v>
      </c>
    </row>
    <row r="23" spans="2:45" ht="24" customHeight="1" thickBot="1" x14ac:dyDescent="0.3">
      <c r="B23" s="529" t="str">
        <f>Sprache!$E$71&amp;12</f>
        <v>HF 12</v>
      </c>
      <c r="C23" s="506">
        <f t="array" aca="1" ref="C23" ca="1">ROW(72:72)-SUM(((Planung!$L$6:$L$65="")+(Planung!$N$6:$N$65="")&gt;0)*1)-SUM((($I$12:$I22="")+($K$12:$K22="")&gt;0)*1)</f>
        <v>50</v>
      </c>
      <c r="D23" s="174">
        <f t="array" aca="1" ref="D23" ca="1">IF(Planung!$V$15,"",$D$12+QUOTIENT(($C23-$C$12),Planung!$V$11)*(Planung!$S$7+Planung!$S$9)/1440+SUM($V$12:$V22)/1440)</f>
        <v>0.66666666666666674</v>
      </c>
      <c r="E23" s="175">
        <f ca="1">IF(Planung!$V$15,"",MOD($C23-$C$12,Planung!$V$11)+1)</f>
        <v>2</v>
      </c>
      <c r="F23" s="406" t="s">
        <v>265</v>
      </c>
      <c r="G23" s="407" t="s">
        <v>4</v>
      </c>
      <c r="H23" s="408" t="s">
        <v>320</v>
      </c>
      <c r="I23" s="484" t="str">
        <f t="shared" ca="1" si="0"/>
        <v>Inter Mailand</v>
      </c>
      <c r="J23" s="485" t="s">
        <v>4</v>
      </c>
      <c r="K23" s="496" t="str">
        <f t="shared" ca="1" si="1"/>
        <v>TSG Saalberg eV</v>
      </c>
      <c r="L23" s="412">
        <v>15</v>
      </c>
      <c r="M23" s="352" t="str">
        <f>Sprache!$E$109</f>
        <v xml:space="preserve"> : </v>
      </c>
      <c r="N23" s="491">
        <v>25</v>
      </c>
      <c r="O23" s="412">
        <v>19</v>
      </c>
      <c r="P23" s="352" t="str">
        <f>Sprache!$E$109</f>
        <v xml:space="preserve"> : </v>
      </c>
      <c r="Q23" s="491">
        <v>25</v>
      </c>
      <c r="R23" s="412"/>
      <c r="S23" s="352" t="str">
        <f>Sprache!$E$109</f>
        <v xml:space="preserve"> : </v>
      </c>
      <c r="T23" s="620"/>
      <c r="U23" s="353"/>
      <c r="V23" s="699"/>
      <c r="X23" s="393" t="s">
        <v>324</v>
      </c>
      <c r="Y23" s="452" t="str">
        <f ca="1">IF(Vorrunde!$X$46="","",Vorrunde!$X$46)</f>
        <v>SV Oberredenburg</v>
      </c>
      <c r="Z23" s="272"/>
      <c r="AA23" s="315" t="str">
        <f t="shared" ca="1" si="2"/>
        <v>TSG Saalberg eV</v>
      </c>
      <c r="AB23" s="315" t="str">
        <f t="shared" ca="1" si="3"/>
        <v>Inter Mailand</v>
      </c>
      <c r="AC23" s="315" t="b">
        <f>OR(NOT($AA$10),AND($L23&lt;&gt;"",$N23&lt;&gt;"",$O23&lt;&gt;"",$Q23&lt;&gt;"",$L23&lt;&gt;$N23,$O23&lt;&gt;$Q23,($L23&gt;$N23)+($O23&gt;$Q23)=1))</f>
        <v>0</v>
      </c>
      <c r="AD23" s="500" t="b">
        <f t="shared" ca="1" si="4"/>
        <v>1</v>
      </c>
      <c r="AE23" s="315" t="b">
        <f t="shared" si="5"/>
        <v>0</v>
      </c>
      <c r="AF23" s="500">
        <f t="shared" ca="1" si="6"/>
        <v>0</v>
      </c>
      <c r="AG23" s="500">
        <f t="shared" ca="1" si="7"/>
        <v>2</v>
      </c>
      <c r="AH23" s="315"/>
      <c r="AI23" s="315" t="b">
        <f>AND($AA$10,OR(AND($L23&lt;&gt;"",$L23=$N23),AND($O23&lt;&gt;"",$O23=$Q23)))</f>
        <v>0</v>
      </c>
      <c r="AJ23" s="315" t="b">
        <f>AND($AA$10,$R23&lt;&gt;"",$T23&lt;&gt;"",$R23=$T23,$AC23)</f>
        <v>0</v>
      </c>
      <c r="AK23" s="315"/>
      <c r="AL23" s="315" t="b">
        <f t="shared" ca="1" si="8"/>
        <v>1</v>
      </c>
      <c r="AM23" s="315" t="b">
        <f t="shared" ca="1" si="9"/>
        <v>1</v>
      </c>
      <c r="AN23" s="315" t="b">
        <f t="shared" ca="1" si="10"/>
        <v>0</v>
      </c>
      <c r="AO23" s="500">
        <f ca="1">(($L23&gt;$N23)+($L23=$N23)*0.5)*$AL23+(($O23&gt;$Q23)+($O23=$Q23)*0.5)*$AM23+(($R23&gt;$T23)+($R23=$T23)*0.5)*$AN23</f>
        <v>0</v>
      </c>
      <c r="AP23" s="500">
        <f ca="1">(($L23&lt;$N23)+($L23=$N23)*0.5)*$AL23+(($O23&lt;$Q23)+($O23=$Q23)*0.5)*$AM23+(($R23&lt;$T23)+($R23=$T23)*0.5)*$AN23</f>
        <v>2</v>
      </c>
      <c r="AQ23" s="315"/>
      <c r="AR23" s="500">
        <f t="shared" ca="1" si="11"/>
        <v>0</v>
      </c>
      <c r="AS23" s="500">
        <f t="shared" ca="1" si="12"/>
        <v>2</v>
      </c>
    </row>
    <row r="24" spans="2:45" ht="24" customHeight="1" thickTop="1" x14ac:dyDescent="0.25">
      <c r="B24" s="304"/>
      <c r="C24" s="453"/>
      <c r="D24" s="454"/>
      <c r="E24" s="455"/>
      <c r="F24" s="456"/>
      <c r="G24" s="457"/>
      <c r="H24" s="458"/>
      <c r="I24" s="501" t="s">
        <v>242</v>
      </c>
      <c r="J24" s="459"/>
      <c r="K24" s="501" t="s">
        <v>242</v>
      </c>
      <c r="L24" s="460"/>
      <c r="M24" s="339"/>
      <c r="N24" s="461"/>
      <c r="O24" s="462"/>
      <c r="P24" s="462"/>
      <c r="Q24" s="462"/>
      <c r="R24" s="462"/>
      <c r="S24" s="462"/>
      <c r="T24" s="462"/>
      <c r="U24" s="462"/>
      <c r="V24" s="462"/>
      <c r="Y24" s="584">
        <f t="array" aca="1" ref="Y24" ca="1">SUM((Y20:Y23&lt;&gt;"")*1)</f>
        <v>4</v>
      </c>
      <c r="Z24" s="447"/>
      <c r="AA24" s="614"/>
      <c r="AB24" s="614"/>
    </row>
    <row r="25" spans="2:45" ht="24" customHeight="1" thickBot="1" x14ac:dyDescent="0.45">
      <c r="B25" s="304"/>
      <c r="C25" s="482"/>
      <c r="D25" s="482"/>
      <c r="E25" s="482"/>
      <c r="F25" s="482"/>
      <c r="G25" s="482"/>
      <c r="H25" s="482"/>
      <c r="I25" s="501" t="s">
        <v>242</v>
      </c>
      <c r="J25" s="459"/>
      <c r="K25" s="501" t="s">
        <v>242</v>
      </c>
      <c r="L25" s="460"/>
      <c r="M25" s="339"/>
      <c r="N25" s="461"/>
      <c r="O25" s="462"/>
      <c r="P25" s="462"/>
      <c r="Q25" s="462"/>
      <c r="R25" s="462"/>
      <c r="S25" s="462"/>
      <c r="T25" s="462"/>
      <c r="U25" s="462"/>
      <c r="V25" s="462"/>
      <c r="X25" s="878" t="str">
        <f>Sprache!$E$62</f>
        <v>Gruppenvierte</v>
      </c>
      <c r="Y25" s="878"/>
      <c r="Z25" s="447"/>
      <c r="AA25" s="614"/>
      <c r="AB25" s="614"/>
    </row>
    <row r="26" spans="2:45" ht="24" customHeight="1" thickTop="1" thickBot="1" x14ac:dyDescent="0.3">
      <c r="B26" s="304"/>
      <c r="C26" s="851" t="str">
        <f>Sprache!$E$67&amp;"21"&amp;Sprache!$E$68&amp;"24"</f>
        <v>Finalspiele um die Plätze 21 bis 24</v>
      </c>
      <c r="D26" s="851"/>
      <c r="E26" s="851"/>
      <c r="F26" s="851"/>
      <c r="G26" s="851"/>
      <c r="H26" s="851"/>
      <c r="I26" s="503" t="s">
        <v>242</v>
      </c>
      <c r="J26" s="502"/>
      <c r="K26" s="503" t="s">
        <v>242</v>
      </c>
      <c r="L26" s="965" t="str">
        <f>Sprache!$E$72</f>
        <v>1. Satz</v>
      </c>
      <c r="M26" s="966"/>
      <c r="N26" s="966"/>
      <c r="O26" s="966" t="str">
        <f>Sprache!$E$73</f>
        <v>2. Satz</v>
      </c>
      <c r="P26" s="966"/>
      <c r="Q26" s="966"/>
      <c r="R26" s="963" t="str">
        <f>Sprache!$E$75</f>
        <v>3. Satz</v>
      </c>
      <c r="S26" s="964"/>
      <c r="T26" s="964"/>
      <c r="U26" s="705"/>
      <c r="V26" s="462"/>
      <c r="X26" s="420"/>
      <c r="Y26" s="449" t="str">
        <f>Sprache!$E$10</f>
        <v>Teilnehmer bzw. Mannschaft</v>
      </c>
      <c r="Z26" s="270"/>
      <c r="AA26" s="614"/>
      <c r="AB26" s="614"/>
    </row>
    <row r="27" spans="2:45" ht="24" customHeight="1" thickTop="1" x14ac:dyDescent="0.25">
      <c r="B27" s="500"/>
      <c r="C27" s="508">
        <f t="array" aca="1" ref="C27" ca="1">ROW(73:73)-SUM(((Planung!$L$6:$L$65="")+(Planung!$N$6:$N$65="")&gt;0)*1)-SUM((($I$12:$I26="")+($K$12:$K26="")&gt;0)*1)</f>
        <v>51</v>
      </c>
      <c r="D27" s="463">
        <f t="array" aca="1" ref="D27" ca="1">IF(Planung!$V$15,"",$D$12+QUOTIENT(($C27-$C$12),Planung!$V$11)*(Planung!$S$7+Planung!$S$9)/1440+SUM($V$12:$V26)/1440)</f>
        <v>0.66666666666666674</v>
      </c>
      <c r="E27" s="464">
        <f ca="1">IF(Planung!$V$15,"",MOD($C27-$C$12,Planung!$V$11)+1)</f>
        <v>3</v>
      </c>
      <c r="F27" s="465" t="str">
        <f>"2. "&amp;B12</f>
        <v>2. HF 1</v>
      </c>
      <c r="G27" s="466" t="s">
        <v>4</v>
      </c>
      <c r="H27" s="467" t="str">
        <f>"2. "&amp;B13</f>
        <v>2. HF 2</v>
      </c>
      <c r="I27" s="468" t="str">
        <f ca="1">VLOOKUP(Sprache!$E$71&amp;MID($F27,7,2),$B$12:$AB$23,MID($F27,1,1)+25,0)</f>
        <v/>
      </c>
      <c r="J27" s="469" t="s">
        <v>4</v>
      </c>
      <c r="K27" s="470" t="str">
        <f ca="1">VLOOKUP(Sprache!$E$71&amp;MID($H27,7,2),$B$12:$AB$23,MID($H27,1,1)+25,0)</f>
        <v/>
      </c>
      <c r="L27" s="471"/>
      <c r="M27" s="347" t="str">
        <f>Sprache!$E$109</f>
        <v xml:space="preserve"> : </v>
      </c>
      <c r="N27" s="497"/>
      <c r="O27" s="346"/>
      <c r="P27" s="347" t="str">
        <f>Sprache!$E$109</f>
        <v xml:space="preserve"> : </v>
      </c>
      <c r="Q27" s="621"/>
      <c r="R27" s="624"/>
      <c r="S27" s="647" t="str">
        <f>Sprache!$E$109</f>
        <v xml:space="preserve"> : </v>
      </c>
      <c r="T27" s="627"/>
      <c r="U27" s="704"/>
      <c r="V27" s="682"/>
      <c r="X27" s="439" t="s">
        <v>273</v>
      </c>
      <c r="Y27" s="450" t="str">
        <f ca="1">IF(Vorrunde!$X$15="","",Vorrunde!$X$15)</f>
        <v>VFB Essenheim</v>
      </c>
      <c r="Z27" s="270"/>
      <c r="AA27" s="315" t="str">
        <f t="shared" ref="AA27:AA28" ca="1" si="13">IF(AR27&gt;AS27,$I27,IF(AR27&lt;AS27,$K27,""))</f>
        <v/>
      </c>
      <c r="AB27" s="315" t="str">
        <f t="shared" ref="AB27:AB28" ca="1" si="14">IF(AR27&lt;AS27,$I27,IF(AR27&gt;AS27,$K27,""))</f>
        <v/>
      </c>
      <c r="AC27" s="315" t="b">
        <f>OR(NOT($AA$10),AND($L27&lt;&gt;"",$N27&lt;&gt;"",$O27&lt;&gt;"",$Q27&lt;&gt;"",$L27&lt;&gt;$N27,$O27&lt;&gt;$Q27,($L27&gt;$N27)+($O27&gt;$Q27)=1))</f>
        <v>0</v>
      </c>
      <c r="AD27" s="500" t="b">
        <f t="shared" ref="AD27:AD28" ca="1" si="15">AND($L27&lt;&gt;"",$N27&lt;&gt;"",$L27&lt;&gt;$N27,OR(AND($O27="",$Q27=""),AND($O27&lt;&gt;"",$Q27&lt;&gt;"",$O27&lt;&gt;$Q27)),$I27&lt;&gt;"",$K27&lt;&gt;"",$I27&lt;&gt;$K27)</f>
        <v>0</v>
      </c>
      <c r="AE27" s="315" t="b">
        <f t="shared" ref="AE27:AE28" si="16">AND(AC27,$R27&lt;&gt;"",$T27&lt;&gt;"",$R27&lt;&gt;$T27)</f>
        <v>0</v>
      </c>
      <c r="AF27" s="500">
        <f t="shared" ref="AF27:AF28" ca="1" si="17">(($L27&gt;$N27)+($O27&gt;$Q27)+($R27&gt;$T27)*AE27)*AD27</f>
        <v>0</v>
      </c>
      <c r="AG27" s="500">
        <f t="shared" ref="AG27:AG28" ca="1" si="18">(($L27&lt;$N27)+($O27&lt;$Q27)+($R27&lt;$T27)*AE27)*AD27</f>
        <v>0</v>
      </c>
      <c r="AH27" s="315"/>
      <c r="AI27" s="500" t="b">
        <f>AND($AA$10,OR(AND($L27&lt;&gt;"",$L27=$N27),AND($O27&lt;&gt;"",$O27=$Q27)))</f>
        <v>0</v>
      </c>
      <c r="AJ27" s="500" t="b">
        <f>AND($AA$10,$R27&lt;&gt;"",$T27&lt;&gt;"",$R27=$T27,$AC27)</f>
        <v>0</v>
      </c>
      <c r="AL27" s="47" t="b">
        <f t="shared" ref="AL27:AL28" ca="1" si="19">AND($L27&lt;&gt;"",$N27&lt;&gt;"",$I27&lt;&gt;"",$K27&lt;&gt;"",$I27&lt;&gt;$K27)</f>
        <v>0</v>
      </c>
      <c r="AM27" s="47" t="b">
        <f t="shared" ref="AM27:AM28" ca="1" si="20">AND($O27&lt;&gt;"",$Q27&lt;&gt;"",$I27&lt;&gt;"",$K27&lt;&gt;"",$I27&lt;&gt;$K27)</f>
        <v>0</v>
      </c>
      <c r="AN27" s="47" t="b">
        <f t="shared" ref="AN27:AN28" ca="1" si="21">AND($R27&lt;&gt;"",$T27&lt;&gt;"",$I27&lt;&gt;"",$K27&lt;&gt;"",$I27&lt;&gt;$K27)</f>
        <v>0</v>
      </c>
      <c r="AO27" s="47">
        <f ca="1">(($L27&gt;$N27)+($L27=$N27)*0.5)*$AL27+(($O27&gt;$Q27)+($O27=$Q27)*0.5)*$AM27+(($R27&gt;$T27)+($R27=$T27)*0.5)*$AN27</f>
        <v>0</v>
      </c>
      <c r="AP27" s="47">
        <f ca="1">(($L27&lt;$N27)+($L27=$N27)*0.5)*$AL27+(($O27&lt;$Q27)+($O27=$Q27)*0.5)*$AM27+(($R27&lt;$T27)+($R27=$T27)*0.5)*$AN27</f>
        <v>0</v>
      </c>
      <c r="AR27" s="47">
        <f t="shared" ref="AR27:AR28" ca="1" si="22">IF($AA$10,$AF27,$AO27)</f>
        <v>0</v>
      </c>
      <c r="AS27" s="47">
        <f t="shared" ref="AS27:AS28" ca="1" si="23">IF($AA$10,$AG27,$AP27)</f>
        <v>0</v>
      </c>
    </row>
    <row r="28" spans="2:45" ht="24" customHeight="1" thickBot="1" x14ac:dyDescent="0.3">
      <c r="B28" s="500"/>
      <c r="C28" s="506">
        <f t="array" aca="1" ref="C28" ca="1">ROW(74:74)-SUM(((Planung!$L$6:$L$65="")+(Planung!$N$6:$N$65="")&gt;0)*1)-SUM((($I$12:$I27="")+($K$12:$K27="")&gt;0)*1)</f>
        <v>51</v>
      </c>
      <c r="D28" s="174">
        <f t="array" aca="1" ref="D28" ca="1">IF(Planung!$V$15,"",$D$12+QUOTIENT(($C28-$C$12),Planung!$V$11)*(Planung!$S$7+Planung!$S$9)/1440+SUM($V$12:$V27)/1440)</f>
        <v>0.66666666666666674</v>
      </c>
      <c r="E28" s="175">
        <f ca="1">IF(Planung!$V$15,"",MOD($C28-$C$12,Planung!$V$11)+1)</f>
        <v>3</v>
      </c>
      <c r="F28" s="406" t="str">
        <f>"1. "&amp;B12</f>
        <v>1. HF 1</v>
      </c>
      <c r="G28" s="407" t="s">
        <v>4</v>
      </c>
      <c r="H28" s="408" t="str">
        <f>"1. "&amp;B13</f>
        <v>1. HF 2</v>
      </c>
      <c r="I28" s="484" t="str">
        <f ca="1">VLOOKUP(Sprache!$E$71&amp;MID($F28,7,2),$B$12:$AB$23,MID($F28,1,1)+25,0)</f>
        <v/>
      </c>
      <c r="J28" s="485" t="s">
        <v>4</v>
      </c>
      <c r="K28" s="486" t="str">
        <f ca="1">VLOOKUP(Sprache!$E$71&amp;MID($H28,7,2),$B$12:$AB$23,MID($H28,1,1)+25,0)</f>
        <v/>
      </c>
      <c r="L28" s="412"/>
      <c r="M28" s="352" t="str">
        <f>Sprache!$E$109</f>
        <v xml:space="preserve"> : </v>
      </c>
      <c r="N28" s="491"/>
      <c r="O28" s="324"/>
      <c r="P28" s="352" t="str">
        <f>Sprache!$E$109</f>
        <v xml:space="preserve"> : </v>
      </c>
      <c r="Q28" s="622"/>
      <c r="R28" s="625"/>
      <c r="S28" s="644" t="str">
        <f>Sprache!$E$109</f>
        <v xml:space="preserve"> : </v>
      </c>
      <c r="T28" s="620"/>
      <c r="U28" s="701"/>
      <c r="V28" s="699"/>
      <c r="X28" s="419" t="s">
        <v>274</v>
      </c>
      <c r="Y28" s="451" t="str">
        <f ca="1">IF(Vorrunde!$X$25="","",Vorrunde!$X$25)</f>
        <v>SSV Wildbach</v>
      </c>
      <c r="Z28" s="270"/>
      <c r="AA28" s="315" t="str">
        <f t="shared" ca="1" si="13"/>
        <v/>
      </c>
      <c r="AB28" s="315" t="str">
        <f t="shared" ca="1" si="14"/>
        <v/>
      </c>
      <c r="AC28" s="315" t="b">
        <f>OR(NOT($AA$10),AND($L28&lt;&gt;"",$N28&lt;&gt;"",$O28&lt;&gt;"",$Q28&lt;&gt;"",$L28&lt;&gt;$N28,$O28&lt;&gt;$Q28,($L28&gt;$N28)+($O28&gt;$Q28)=1))</f>
        <v>0</v>
      </c>
      <c r="AD28" s="500" t="b">
        <f t="shared" ca="1" si="15"/>
        <v>0</v>
      </c>
      <c r="AE28" s="315" t="b">
        <f t="shared" si="16"/>
        <v>0</v>
      </c>
      <c r="AF28" s="500">
        <f t="shared" ca="1" si="17"/>
        <v>0</v>
      </c>
      <c r="AG28" s="500">
        <f t="shared" ca="1" si="18"/>
        <v>0</v>
      </c>
      <c r="AH28" s="315"/>
      <c r="AI28" s="500" t="b">
        <f>AND($AA$10,OR(AND($L28&lt;&gt;"",$L28=$N28),AND($O28&lt;&gt;"",$O28=$Q28)))</f>
        <v>0</v>
      </c>
      <c r="AJ28" s="500" t="b">
        <f>AND($AA$10,$R28&lt;&gt;"",$T28&lt;&gt;"",$R28=$T28,$AC28)</f>
        <v>0</v>
      </c>
      <c r="AL28" s="47" t="b">
        <f t="shared" ca="1" si="19"/>
        <v>0</v>
      </c>
      <c r="AM28" s="47" t="b">
        <f t="shared" ca="1" si="20"/>
        <v>0</v>
      </c>
      <c r="AN28" s="47" t="b">
        <f t="shared" ca="1" si="21"/>
        <v>0</v>
      </c>
      <c r="AO28" s="47">
        <f ca="1">(($L28&gt;$N28)+($L28=$N28)*0.5)*$AL28+(($O28&gt;$Q28)+($O28=$Q28)*0.5)*$AM28+(($R28&gt;$T28)+($R28=$T28)*0.5)*$AN28</f>
        <v>0</v>
      </c>
      <c r="AP28" s="47">
        <f ca="1">(($L28&lt;$N28)+($L28=$N28)*0.5)*$AL28+(($O28&lt;$Q28)+($O28=$Q28)*0.5)*$AM28+(($R28&lt;$T28)+($R28=$T28)*0.5)*$AN28</f>
        <v>0</v>
      </c>
      <c r="AR28" s="47">
        <f t="shared" ca="1" si="22"/>
        <v>0</v>
      </c>
      <c r="AS28" s="47">
        <f t="shared" ca="1" si="23"/>
        <v>0</v>
      </c>
    </row>
    <row r="29" spans="2:45" ht="24" customHeight="1" thickTop="1" thickBot="1" x14ac:dyDescent="0.25">
      <c r="B29" s="304"/>
      <c r="I29" s="501" t="s">
        <v>242</v>
      </c>
      <c r="J29" s="459"/>
      <c r="K29" s="501" t="s">
        <v>242</v>
      </c>
      <c r="X29" s="438" t="s">
        <v>275</v>
      </c>
      <c r="Y29" s="451" t="str">
        <f ca="1">IF(Vorrunde!$X$35="","",Vorrunde!$X$35)</f>
        <v>FSV Rauen</v>
      </c>
      <c r="Z29" s="446"/>
    </row>
    <row r="30" spans="2:45" ht="24" customHeight="1" thickBot="1" x14ac:dyDescent="0.3">
      <c r="B30" s="304"/>
      <c r="C30" s="851" t="str">
        <f>Sprache!$E$67&amp;"17"&amp;Sprache!$E$68&amp;"20"</f>
        <v>Finalspiele um die Plätze 17 bis 20</v>
      </c>
      <c r="D30" s="851"/>
      <c r="E30" s="851"/>
      <c r="F30" s="851"/>
      <c r="G30" s="851"/>
      <c r="H30" s="851"/>
      <c r="I30" s="503" t="s">
        <v>242</v>
      </c>
      <c r="J30" s="502"/>
      <c r="K30" s="503" t="s">
        <v>242</v>
      </c>
      <c r="L30" s="965" t="str">
        <f>Sprache!$E$72</f>
        <v>1. Satz</v>
      </c>
      <c r="M30" s="966"/>
      <c r="N30" s="966"/>
      <c r="O30" s="966" t="str">
        <f>Sprache!$E$73</f>
        <v>2. Satz</v>
      </c>
      <c r="P30" s="966"/>
      <c r="Q30" s="966"/>
      <c r="R30" s="963" t="str">
        <f>Sprache!$E$75</f>
        <v>3. Satz</v>
      </c>
      <c r="S30" s="964"/>
      <c r="T30" s="964"/>
      <c r="U30" s="705"/>
      <c r="V30" s="462"/>
      <c r="X30" s="393" t="s">
        <v>323</v>
      </c>
      <c r="Y30" s="452" t="str">
        <f ca="1">IF(Vorrunde!$X$45="","",Vorrunde!$X$45)</f>
        <v>HSV</v>
      </c>
      <c r="Z30" s="446"/>
    </row>
    <row r="31" spans="2:45" ht="24" customHeight="1" thickTop="1" x14ac:dyDescent="0.25">
      <c r="B31" s="500"/>
      <c r="C31" s="508">
        <f t="array" aca="1" ref="C31" ca="1">ROW(75:75)-SUM(((Planung!$L$6:$L$65="")+(Planung!$N$6:$N$65="")&gt;0)*1)-SUM((($I$12:$I30="")+($K$12:$K30="")&gt;0)*1)</f>
        <v>51</v>
      </c>
      <c r="D31" s="463">
        <f t="array" aca="1" ref="D31" ca="1">IF(Planung!$V$15,"",$D$12+QUOTIENT(($C31-$C$12),Planung!$V$11)*(Planung!$S$7+Planung!$S$9)/1440+SUM($V$12:$V30)/1440)</f>
        <v>0.66666666666666674</v>
      </c>
      <c r="E31" s="464">
        <f ca="1">IF(Planung!$V$15,"",MOD($C31-$C$12,Planung!$V$11)+1)</f>
        <v>3</v>
      </c>
      <c r="F31" s="465" t="str">
        <f>"2. "&amp;B14</f>
        <v>2. HF 3</v>
      </c>
      <c r="G31" s="466" t="s">
        <v>4</v>
      </c>
      <c r="H31" s="467" t="str">
        <f>"2. "&amp;B15</f>
        <v>2. HF 4</v>
      </c>
      <c r="I31" s="468" t="str">
        <f ca="1">VLOOKUP(Sprache!$E$71&amp;MID($F31,7,2),$B$12:$AB$23,MID($F31,1,1)+25,0)</f>
        <v>Maibach 1822 eV</v>
      </c>
      <c r="J31" s="469" t="s">
        <v>4</v>
      </c>
      <c r="K31" s="470" t="str">
        <f ca="1">VLOOKUP(Sprache!$E$71&amp;MID($H31,7,2),$B$12:$AB$23,MID($H31,1,1)+25,0)</f>
        <v>SV Oberredenburg</v>
      </c>
      <c r="L31" s="471">
        <v>25</v>
      </c>
      <c r="M31" s="347" t="str">
        <f>Sprache!$E$109</f>
        <v xml:space="preserve"> : </v>
      </c>
      <c r="N31" s="497">
        <v>15</v>
      </c>
      <c r="O31" s="346">
        <v>25</v>
      </c>
      <c r="P31" s="347" t="str">
        <f>Sprache!$E$109</f>
        <v xml:space="preserve"> : </v>
      </c>
      <c r="Q31" s="621">
        <v>12</v>
      </c>
      <c r="R31" s="624"/>
      <c r="S31" s="647" t="str">
        <f>Sprache!$E$109</f>
        <v xml:space="preserve"> : </v>
      </c>
      <c r="T31" s="627"/>
      <c r="U31" s="700"/>
      <c r="V31" s="682"/>
      <c r="Y31" s="584">
        <f t="array" aca="1" ref="Y31" ca="1">SUM((Y27:Y30&lt;&gt;"")*1)</f>
        <v>4</v>
      </c>
      <c r="Z31" s="446"/>
      <c r="AA31" s="315" t="str">
        <f t="shared" ref="AA31:AA32" ca="1" si="24">IF(AR31&gt;AS31,$I31,IF(AR31&lt;AS31,$K31,""))</f>
        <v>Maibach 1822 eV</v>
      </c>
      <c r="AB31" s="315" t="str">
        <f t="shared" ref="AB31:AB32" ca="1" si="25">IF(AR31&lt;AS31,$I31,IF(AR31&gt;AS31,$K31,""))</f>
        <v>SV Oberredenburg</v>
      </c>
      <c r="AC31" s="315" t="b">
        <f>OR(NOT($AA$10),AND($L31&lt;&gt;"",$N31&lt;&gt;"",$O31&lt;&gt;"",$Q31&lt;&gt;"",$L31&lt;&gt;$N31,$O31&lt;&gt;$Q31,($L31&gt;$N31)+($O31&gt;$Q31)=1))</f>
        <v>0</v>
      </c>
      <c r="AD31" s="500" t="b">
        <f t="shared" ref="AD31:AD32" ca="1" si="26">AND($L31&lt;&gt;"",$N31&lt;&gt;"",$L31&lt;&gt;$N31,OR(AND($O31="",$Q31=""),AND($O31&lt;&gt;"",$Q31&lt;&gt;"",$O31&lt;&gt;$Q31)),$I31&lt;&gt;"",$K31&lt;&gt;"",$I31&lt;&gt;$K31)</f>
        <v>1</v>
      </c>
      <c r="AE31" s="315" t="b">
        <f t="shared" ref="AE31:AE32" si="27">AND(AC31,$R31&lt;&gt;"",$T31&lt;&gt;"",$R31&lt;&gt;$T31)</f>
        <v>0</v>
      </c>
      <c r="AF31" s="500">
        <f t="shared" ref="AF31:AF32" ca="1" si="28">(($L31&gt;$N31)+($O31&gt;$Q31)+($R31&gt;$T31)*AE31)*AD31</f>
        <v>2</v>
      </c>
      <c r="AG31" s="500">
        <f t="shared" ref="AG31:AG32" ca="1" si="29">(($L31&lt;$N31)+($O31&lt;$Q31)+($R31&lt;$T31)*AE31)*AD31</f>
        <v>0</v>
      </c>
      <c r="AH31" s="315"/>
      <c r="AI31" s="500" t="b">
        <f>AND($AA$10,OR(AND($L31&lt;&gt;"",$L31=$N31),AND($O31&lt;&gt;"",$O31=$Q31)))</f>
        <v>0</v>
      </c>
      <c r="AJ31" s="500" t="b">
        <f>AND($AA$10,$R31&lt;&gt;"",$T31&lt;&gt;"",$R31=$T31,$AC31)</f>
        <v>0</v>
      </c>
      <c r="AL31" s="47" t="b">
        <f t="shared" ref="AL31:AL32" ca="1" si="30">AND($L31&lt;&gt;"",$N31&lt;&gt;"",$I31&lt;&gt;"",$K31&lt;&gt;"",$I31&lt;&gt;$K31)</f>
        <v>1</v>
      </c>
      <c r="AM31" s="47" t="b">
        <f t="shared" ref="AM31:AM32" ca="1" si="31">AND($O31&lt;&gt;"",$Q31&lt;&gt;"",$I31&lt;&gt;"",$K31&lt;&gt;"",$I31&lt;&gt;$K31)</f>
        <v>1</v>
      </c>
      <c r="AN31" s="47" t="b">
        <f t="shared" ref="AN31:AN32" ca="1" si="32">AND($R31&lt;&gt;"",$T31&lt;&gt;"",$I31&lt;&gt;"",$K31&lt;&gt;"",$I31&lt;&gt;$K31)</f>
        <v>0</v>
      </c>
      <c r="AO31" s="47">
        <f ca="1">(($L31&gt;$N31)+($L31=$N31)*0.5)*$AL31+(($O31&gt;$Q31)+($O31=$Q31)*0.5)*$AM31+(($R31&gt;$T31)+($R31=$T31)*0.5)*$AN31</f>
        <v>2</v>
      </c>
      <c r="AP31" s="47">
        <f ca="1">(($L31&lt;$N31)+($L31=$N31)*0.5)*$AL31+(($O31&lt;$Q31)+($O31=$Q31)*0.5)*$AM31+(($R31&lt;$T31)+($R31=$T31)*0.5)*$AN31</f>
        <v>0</v>
      </c>
      <c r="AR31" s="47">
        <f t="shared" ref="AR31:AR32" ca="1" si="33">IF($AA$10,$AF31,$AO31)</f>
        <v>2</v>
      </c>
      <c r="AS31" s="47">
        <f t="shared" ref="AS31:AS32" ca="1" si="34">IF($AA$10,$AG31,$AP31)</f>
        <v>0</v>
      </c>
    </row>
    <row r="32" spans="2:45" ht="24" customHeight="1" thickBot="1" x14ac:dyDescent="0.45">
      <c r="B32" s="500"/>
      <c r="C32" s="506">
        <f t="array" aca="1" ref="C32" ca="1">ROW(76:76)-SUM(((Planung!$L$6:$L$65="")+(Planung!$N$6:$N$65="")&gt;0)*1)-SUM((($I$12:$I31="")+($K$12:$K31="")&gt;0)*1)</f>
        <v>52</v>
      </c>
      <c r="D32" s="174">
        <f t="array" aca="1" ref="D32" ca="1">IF(Planung!$V$15,"",$D$12+QUOTIENT(($C32-$C$12),Planung!$V$11)*(Planung!$S$7+Planung!$S$9)/1440+SUM($V$12:$V31)/1440)</f>
        <v>0.66666666666666674</v>
      </c>
      <c r="E32" s="175">
        <f ca="1">IF(Planung!$V$15,"",MOD($C32-$C$12,Planung!$V$11)+1)</f>
        <v>4</v>
      </c>
      <c r="F32" s="406" t="str">
        <f>"1. "&amp;B14</f>
        <v>1. HF 3</v>
      </c>
      <c r="G32" s="407" t="s">
        <v>4</v>
      </c>
      <c r="H32" s="408" t="str">
        <f>"1. "&amp;B15</f>
        <v>1. HF 4</v>
      </c>
      <c r="I32" s="484" t="str">
        <f ca="1">VLOOKUP(Sprache!$E$71&amp;MID($F32,7,2),$B$12:$AB$23,MID($F32,1,1)+25,0)</f>
        <v>1. FC Nürnberg</v>
      </c>
      <c r="J32" s="485" t="s">
        <v>4</v>
      </c>
      <c r="K32" s="486" t="str">
        <f ca="1">VLOOKUP(Sprache!$E$71&amp;MID($H32,7,2),$B$12:$AB$23,MID($H32,1,1)+25,0)</f>
        <v>FC Grönlingen</v>
      </c>
      <c r="L32" s="412">
        <v>25</v>
      </c>
      <c r="M32" s="352" t="str">
        <f>Sprache!$E$109</f>
        <v xml:space="preserve"> : </v>
      </c>
      <c r="N32" s="491">
        <v>20</v>
      </c>
      <c r="O32" s="324">
        <v>25</v>
      </c>
      <c r="P32" s="352" t="str">
        <f>Sprache!$E$109</f>
        <v xml:space="preserve"> : </v>
      </c>
      <c r="Q32" s="622">
        <v>18</v>
      </c>
      <c r="R32" s="625"/>
      <c r="S32" s="644" t="str">
        <f>Sprache!$E$109</f>
        <v xml:space="preserve"> : </v>
      </c>
      <c r="T32" s="620"/>
      <c r="U32" s="701"/>
      <c r="V32" s="699"/>
      <c r="X32" s="878" t="str">
        <f>Sprache!$E$61</f>
        <v>Gruppendritte</v>
      </c>
      <c r="Y32" s="878"/>
      <c r="Z32" s="272"/>
      <c r="AA32" s="315" t="str">
        <f t="shared" ca="1" si="24"/>
        <v>1. FC Nürnberg</v>
      </c>
      <c r="AB32" s="315" t="str">
        <f t="shared" ca="1" si="25"/>
        <v>FC Grönlingen</v>
      </c>
      <c r="AC32" s="315" t="b">
        <f>OR(NOT($AA$10),AND($L32&lt;&gt;"",$N32&lt;&gt;"",$O32&lt;&gt;"",$Q32&lt;&gt;"",$L32&lt;&gt;$N32,$O32&lt;&gt;$Q32,($L32&gt;$N32)+($O32&gt;$Q32)=1))</f>
        <v>0</v>
      </c>
      <c r="AD32" s="500" t="b">
        <f t="shared" ca="1" si="26"/>
        <v>1</v>
      </c>
      <c r="AE32" s="315" t="b">
        <f t="shared" si="27"/>
        <v>0</v>
      </c>
      <c r="AF32" s="500">
        <f t="shared" ca="1" si="28"/>
        <v>2</v>
      </c>
      <c r="AG32" s="500">
        <f t="shared" ca="1" si="29"/>
        <v>0</v>
      </c>
      <c r="AH32" s="315"/>
      <c r="AI32" s="500" t="b">
        <f>AND($AA$10,OR(AND($L32&lt;&gt;"",$L32=$N32),AND($O32&lt;&gt;"",$O32=$Q32)))</f>
        <v>0</v>
      </c>
      <c r="AJ32" s="500" t="b">
        <f>AND($AA$10,$R32&lt;&gt;"",$T32&lt;&gt;"",$R32=$T32,$AC32)</f>
        <v>0</v>
      </c>
      <c r="AL32" s="47" t="b">
        <f t="shared" ca="1" si="30"/>
        <v>1</v>
      </c>
      <c r="AM32" s="47" t="b">
        <f t="shared" ca="1" si="31"/>
        <v>1</v>
      </c>
      <c r="AN32" s="47" t="b">
        <f t="shared" ca="1" si="32"/>
        <v>0</v>
      </c>
      <c r="AO32" s="47">
        <f ca="1">(($L32&gt;$N32)+($L32=$N32)*0.5)*$AL32+(($O32&gt;$Q32)+($O32=$Q32)*0.5)*$AM32+(($R32&gt;$T32)+($R32=$T32)*0.5)*$AN32</f>
        <v>2</v>
      </c>
      <c r="AP32" s="47">
        <f ca="1">(($L32&lt;$N32)+($L32=$N32)*0.5)*$AL32+(($O32&lt;$Q32)+($O32=$Q32)*0.5)*$AM32+(($R32&lt;$T32)+($R32=$T32)*0.5)*$AN32</f>
        <v>0</v>
      </c>
      <c r="AR32" s="47">
        <f t="shared" ca="1" si="33"/>
        <v>2</v>
      </c>
      <c r="AS32" s="47">
        <f t="shared" ca="1" si="34"/>
        <v>0</v>
      </c>
    </row>
    <row r="33" spans="2:45" ht="24" customHeight="1" thickTop="1" thickBot="1" x14ac:dyDescent="0.25">
      <c r="B33" s="304"/>
      <c r="I33" s="501" t="s">
        <v>242</v>
      </c>
      <c r="J33" s="459"/>
      <c r="K33" s="501" t="s">
        <v>242</v>
      </c>
      <c r="X33" s="420"/>
      <c r="Y33" s="449" t="str">
        <f>Sprache!$E$10</f>
        <v>Teilnehmer bzw. Mannschaft</v>
      </c>
      <c r="Z33" s="272"/>
    </row>
    <row r="34" spans="2:45" ht="24" customHeight="1" thickBot="1" x14ac:dyDescent="0.3">
      <c r="B34" s="304"/>
      <c r="C34" s="851" t="str">
        <f>Sprache!$E$67&amp;"13"&amp;Sprache!$E$68&amp;"16"</f>
        <v>Finalspiele um die Plätze 13 bis 16</v>
      </c>
      <c r="D34" s="851"/>
      <c r="E34" s="851"/>
      <c r="F34" s="851"/>
      <c r="G34" s="851"/>
      <c r="H34" s="851"/>
      <c r="I34" s="503" t="s">
        <v>242</v>
      </c>
      <c r="J34" s="502"/>
      <c r="K34" s="503" t="s">
        <v>242</v>
      </c>
      <c r="L34" s="965" t="str">
        <f>Sprache!$E$72</f>
        <v>1. Satz</v>
      </c>
      <c r="M34" s="966"/>
      <c r="N34" s="966"/>
      <c r="O34" s="966" t="str">
        <f>Sprache!$E$73</f>
        <v>2. Satz</v>
      </c>
      <c r="P34" s="966"/>
      <c r="Q34" s="966"/>
      <c r="R34" s="963" t="str">
        <f>Sprache!$E$75</f>
        <v>3. Satz</v>
      </c>
      <c r="S34" s="964"/>
      <c r="T34" s="964"/>
      <c r="U34" s="705"/>
      <c r="V34" s="462"/>
      <c r="X34" s="439" t="s">
        <v>270</v>
      </c>
      <c r="Y34" s="450" t="str">
        <f ca="1">IF(Vorrunde!$X$14="","",Vorrunde!$X$14)</f>
        <v>1. FC Riedwald</v>
      </c>
      <c r="Z34" s="272"/>
    </row>
    <row r="35" spans="2:45" ht="24" customHeight="1" thickTop="1" x14ac:dyDescent="0.25">
      <c r="B35" s="500"/>
      <c r="C35" s="508">
        <f t="array" aca="1" ref="C35" ca="1">ROW(77:77)-SUM(((Planung!$L$6:$L$65="")+(Planung!$N$6:$N$65="")&gt;0)*1)-SUM((($I$12:$I34="")+($K$12:$K34="")&gt;0)*1)</f>
        <v>53</v>
      </c>
      <c r="D35" s="463">
        <f t="array" aca="1" ref="D35" ca="1">IF(Planung!$V$15,"",$D$12+QUOTIENT(($C35-$C$12),Planung!$V$11)*(Planung!$S$7+Planung!$S$9)/1440+SUM($V$12:$V34)/1440)</f>
        <v>0.69097222222222221</v>
      </c>
      <c r="E35" s="464">
        <f ca="1">IF(Planung!$V$15,"",MOD($C35-$C$12,Planung!$V$11)+1)</f>
        <v>1</v>
      </c>
      <c r="F35" s="465" t="str">
        <f>"2. "&amp;B16</f>
        <v>2. HF 5</v>
      </c>
      <c r="G35" s="466" t="s">
        <v>4</v>
      </c>
      <c r="H35" s="467" t="str">
        <f>"2. "&amp;B17</f>
        <v>2. HF 6</v>
      </c>
      <c r="I35" s="468" t="str">
        <f ca="1">VLOOKUP(Sprache!$E$71&amp;MID($F35,7,2),$B$12:$AB$23,MID($F35,1,1)+25,0)</f>
        <v>FSV Rauen</v>
      </c>
      <c r="J35" s="469" t="s">
        <v>4</v>
      </c>
      <c r="K35" s="470" t="str">
        <f ca="1">VLOOKUP(Sprache!$E$71&amp;MID($H35,7,2),$B$12:$AB$23,MID($H35,1,1)+25,0)</f>
        <v>SSV Wildbach</v>
      </c>
      <c r="L35" s="471">
        <v>25</v>
      </c>
      <c r="M35" s="347" t="str">
        <f>Sprache!$E$109</f>
        <v xml:space="preserve"> : </v>
      </c>
      <c r="N35" s="497">
        <v>21</v>
      </c>
      <c r="O35" s="346">
        <v>25</v>
      </c>
      <c r="P35" s="347" t="str">
        <f>Sprache!$E$109</f>
        <v xml:space="preserve"> : </v>
      </c>
      <c r="Q35" s="621">
        <v>19</v>
      </c>
      <c r="R35" s="624"/>
      <c r="S35" s="647" t="str">
        <f>Sprache!$E$109</f>
        <v xml:space="preserve"> : </v>
      </c>
      <c r="T35" s="627"/>
      <c r="U35" s="700"/>
      <c r="V35" s="682"/>
      <c r="X35" s="419" t="s">
        <v>271</v>
      </c>
      <c r="Y35" s="451" t="str">
        <f ca="1">IF(Vorrunde!$X$24="","",Vorrunde!$X$24)</f>
        <v>Mainz 05</v>
      </c>
      <c r="Z35" s="272"/>
      <c r="AA35" s="315" t="str">
        <f t="shared" ref="AA35:AA36" ca="1" si="35">IF(AR35&gt;AS35,$I35,IF(AR35&lt;AS35,$K35,""))</f>
        <v>FSV Rauen</v>
      </c>
      <c r="AB35" s="315" t="str">
        <f t="shared" ref="AB35:AB36" ca="1" si="36">IF(AR35&lt;AS35,$I35,IF(AR35&gt;AS35,$K35,""))</f>
        <v>SSV Wildbach</v>
      </c>
      <c r="AC35" s="315" t="b">
        <f>OR(NOT($AA$10),AND($L35&lt;&gt;"",$N35&lt;&gt;"",$O35&lt;&gt;"",$Q35&lt;&gt;"",$L35&lt;&gt;$N35,$O35&lt;&gt;$Q35,($L35&gt;$N35)+($O35&gt;$Q35)=1))</f>
        <v>0</v>
      </c>
      <c r="AD35" s="500" t="b">
        <f t="shared" ref="AD35:AD36" ca="1" si="37">AND($L35&lt;&gt;"",$N35&lt;&gt;"",$L35&lt;&gt;$N35,OR(AND($O35="",$Q35=""),AND($O35&lt;&gt;"",$Q35&lt;&gt;"",$O35&lt;&gt;$Q35)),$I35&lt;&gt;"",$K35&lt;&gt;"",$I35&lt;&gt;$K35)</f>
        <v>1</v>
      </c>
      <c r="AE35" s="315" t="b">
        <f t="shared" ref="AE35:AE36" si="38">AND(AC35,$R35&lt;&gt;"",$T35&lt;&gt;"",$R35&lt;&gt;$T35)</f>
        <v>0</v>
      </c>
      <c r="AF35" s="500">
        <f t="shared" ref="AF35:AF36" ca="1" si="39">(($L35&gt;$N35)+($O35&gt;$Q35)+($R35&gt;$T35)*AE35)*AD35</f>
        <v>2</v>
      </c>
      <c r="AG35" s="500">
        <f t="shared" ref="AG35:AG36" ca="1" si="40">(($L35&lt;$N35)+($O35&lt;$Q35)+($R35&lt;$T35)*AE35)*AD35</f>
        <v>0</v>
      </c>
      <c r="AH35" s="315"/>
      <c r="AI35" s="500" t="b">
        <f>AND($AA$10,OR(AND($L35&lt;&gt;"",$L35=$N35),AND($O35&lt;&gt;"",$O35=$Q35)))</f>
        <v>0</v>
      </c>
      <c r="AJ35" s="500" t="b">
        <f>AND($AA$10,$R35&lt;&gt;"",$T35&lt;&gt;"",$R35=$T35,$AC35)</f>
        <v>0</v>
      </c>
      <c r="AL35" s="47" t="b">
        <f t="shared" ref="AL35:AL36" ca="1" si="41">AND($L35&lt;&gt;"",$N35&lt;&gt;"",$I35&lt;&gt;"",$K35&lt;&gt;"",$I35&lt;&gt;$K35)</f>
        <v>1</v>
      </c>
      <c r="AM35" s="47" t="b">
        <f t="shared" ref="AM35:AM36" ca="1" si="42">AND($O35&lt;&gt;"",$Q35&lt;&gt;"",$I35&lt;&gt;"",$K35&lt;&gt;"",$I35&lt;&gt;$K35)</f>
        <v>1</v>
      </c>
      <c r="AN35" s="47" t="b">
        <f t="shared" ref="AN35:AN36" ca="1" si="43">AND($R35&lt;&gt;"",$T35&lt;&gt;"",$I35&lt;&gt;"",$K35&lt;&gt;"",$I35&lt;&gt;$K35)</f>
        <v>0</v>
      </c>
      <c r="AO35" s="47">
        <f ca="1">(($L35&gt;$N35)+($L35=$N35)*0.5)*$AL35+(($O35&gt;$Q35)+($O35=$Q35)*0.5)*$AM35+(($R35&gt;$T35)+($R35=$T35)*0.5)*$AN35</f>
        <v>2</v>
      </c>
      <c r="AP35" s="47">
        <f ca="1">(($L35&lt;$N35)+($L35=$N35)*0.5)*$AL35+(($O35&lt;$Q35)+($O35=$Q35)*0.5)*$AM35+(($R35&lt;$T35)+($R35=$T35)*0.5)*$AN35</f>
        <v>0</v>
      </c>
      <c r="AR35" s="47">
        <f t="shared" ref="AR35:AR36" ca="1" si="44">IF($AA$10,$AF35,$AO35)</f>
        <v>2</v>
      </c>
      <c r="AS35" s="47">
        <f t="shared" ref="AS35:AS36" ca="1" si="45">IF($AA$10,$AG35,$AP35)</f>
        <v>0</v>
      </c>
    </row>
    <row r="36" spans="2:45" ht="24" customHeight="1" thickBot="1" x14ac:dyDescent="0.3">
      <c r="B36" s="500"/>
      <c r="C36" s="506">
        <f t="array" aca="1" ref="C36" ca="1">ROW(78:78)-SUM(((Planung!$L$6:$L$65="")+(Planung!$N$6:$N$65="")&gt;0)*1)-SUM((($I$12:$I35="")+($K$12:$K35="")&gt;0)*1)</f>
        <v>54</v>
      </c>
      <c r="D36" s="174">
        <f t="array" aca="1" ref="D36" ca="1">IF(Planung!$V$15,"",$D$12+QUOTIENT(($C36-$C$12),Planung!$V$11)*(Planung!$S$7+Planung!$S$9)/1440+SUM($V$12:$V35)/1440)</f>
        <v>0.69097222222222221</v>
      </c>
      <c r="E36" s="175">
        <f ca="1">IF(Planung!$V$15,"",MOD($C36-$C$12,Planung!$V$11)+1)</f>
        <v>2</v>
      </c>
      <c r="F36" s="406" t="str">
        <f>"1. "&amp;B16</f>
        <v>1. HF 5</v>
      </c>
      <c r="G36" s="407" t="s">
        <v>4</v>
      </c>
      <c r="H36" s="408" t="str">
        <f>"1. "&amp;B17</f>
        <v>1. HF 6</v>
      </c>
      <c r="I36" s="484" t="str">
        <f ca="1">VLOOKUP(Sprache!$E$71&amp;MID($F36,7,2),$B$12:$AB$23,MID($F36,1,1)+25,0)</f>
        <v>VFB Essenheim</v>
      </c>
      <c r="J36" s="485" t="s">
        <v>4</v>
      </c>
      <c r="K36" s="486" t="str">
        <f ca="1">VLOOKUP(Sprache!$E$71&amp;MID($H36,7,2),$B$12:$AB$23,MID($H36,1,1)+25,0)</f>
        <v>HSV</v>
      </c>
      <c r="L36" s="412">
        <v>25</v>
      </c>
      <c r="M36" s="352" t="str">
        <f>Sprache!$E$109</f>
        <v xml:space="preserve"> : </v>
      </c>
      <c r="N36" s="491">
        <v>22</v>
      </c>
      <c r="O36" s="324">
        <v>25</v>
      </c>
      <c r="P36" s="352" t="str">
        <f>Sprache!$E$109</f>
        <v xml:space="preserve"> : </v>
      </c>
      <c r="Q36" s="622">
        <v>17</v>
      </c>
      <c r="R36" s="625"/>
      <c r="S36" s="644" t="str">
        <f>Sprache!$E$109</f>
        <v xml:space="preserve"> : </v>
      </c>
      <c r="T36" s="620"/>
      <c r="U36" s="701"/>
      <c r="V36" s="699"/>
      <c r="X36" s="438" t="s">
        <v>272</v>
      </c>
      <c r="Y36" s="451" t="str">
        <f ca="1">IF(Vorrunde!$X$34="","",Vorrunde!$X$34)</f>
        <v>Borussia Dortmund</v>
      </c>
      <c r="Z36" s="272"/>
      <c r="AA36" s="315" t="str">
        <f t="shared" ca="1" si="35"/>
        <v>VFB Essenheim</v>
      </c>
      <c r="AB36" s="315" t="str">
        <f t="shared" ca="1" si="36"/>
        <v>HSV</v>
      </c>
      <c r="AC36" s="315" t="b">
        <f>OR(NOT($AA$10),AND($L36&lt;&gt;"",$N36&lt;&gt;"",$O36&lt;&gt;"",$Q36&lt;&gt;"",$L36&lt;&gt;$N36,$O36&lt;&gt;$Q36,($L36&gt;$N36)+($O36&gt;$Q36)=1))</f>
        <v>0</v>
      </c>
      <c r="AD36" s="500" t="b">
        <f t="shared" ca="1" si="37"/>
        <v>1</v>
      </c>
      <c r="AE36" s="315" t="b">
        <f t="shared" si="38"/>
        <v>0</v>
      </c>
      <c r="AF36" s="500">
        <f t="shared" ca="1" si="39"/>
        <v>2</v>
      </c>
      <c r="AG36" s="500">
        <f t="shared" ca="1" si="40"/>
        <v>0</v>
      </c>
      <c r="AH36" s="315"/>
      <c r="AI36" s="500" t="b">
        <f>AND($AA$10,OR(AND($L36&lt;&gt;"",$L36=$N36),AND($O36&lt;&gt;"",$O36=$Q36)))</f>
        <v>0</v>
      </c>
      <c r="AJ36" s="500" t="b">
        <f>AND($AA$10,$R36&lt;&gt;"",$T36&lt;&gt;"",$R36=$T36,$AC36)</f>
        <v>0</v>
      </c>
      <c r="AL36" s="47" t="b">
        <f t="shared" ca="1" si="41"/>
        <v>1</v>
      </c>
      <c r="AM36" s="47" t="b">
        <f t="shared" ca="1" si="42"/>
        <v>1</v>
      </c>
      <c r="AN36" s="47" t="b">
        <f t="shared" ca="1" si="43"/>
        <v>0</v>
      </c>
      <c r="AO36" s="47">
        <f ca="1">(($L36&gt;$N36)+($L36=$N36)*0.5)*$AL36+(($O36&gt;$Q36)+($O36=$Q36)*0.5)*$AM36+(($R36&gt;$T36)+($R36=$T36)*0.5)*$AN36</f>
        <v>2</v>
      </c>
      <c r="AP36" s="47">
        <f ca="1">(($L36&lt;$N36)+($L36=$N36)*0.5)*$AL36+(($O36&lt;$Q36)+($O36=$Q36)*0.5)*$AM36+(($R36&lt;$T36)+($R36=$T36)*0.5)*$AN36</f>
        <v>0</v>
      </c>
      <c r="AR36" s="47">
        <f t="shared" ca="1" si="44"/>
        <v>2</v>
      </c>
      <c r="AS36" s="47">
        <f t="shared" ca="1" si="45"/>
        <v>0</v>
      </c>
    </row>
    <row r="37" spans="2:45" ht="24" customHeight="1" thickTop="1" thickBot="1" x14ac:dyDescent="0.25">
      <c r="B37" s="304"/>
      <c r="I37" s="501" t="s">
        <v>242</v>
      </c>
      <c r="J37" s="459"/>
      <c r="K37" s="501" t="s">
        <v>242</v>
      </c>
      <c r="X37" s="393" t="s">
        <v>322</v>
      </c>
      <c r="Y37" s="452" t="str">
        <f ca="1">IF(Vorrunde!$X$44="","",Vorrunde!$X$44)</f>
        <v>RB Leipzig</v>
      </c>
      <c r="Z37" s="272"/>
    </row>
    <row r="38" spans="2:45" ht="24" customHeight="1" thickTop="1" thickBot="1" x14ac:dyDescent="0.3">
      <c r="B38" s="304"/>
      <c r="C38" s="851" t="str">
        <f>Sprache!$E$67&amp;"9"&amp;Sprache!$E$68&amp;"12"</f>
        <v>Finalspiele um die Plätze 9 bis 12</v>
      </c>
      <c r="D38" s="851"/>
      <c r="E38" s="851"/>
      <c r="F38" s="851"/>
      <c r="G38" s="851"/>
      <c r="H38" s="851"/>
      <c r="I38" s="503" t="s">
        <v>242</v>
      </c>
      <c r="J38" s="502"/>
      <c r="K38" s="503" t="s">
        <v>242</v>
      </c>
      <c r="L38" s="965" t="str">
        <f>Sprache!$E$72</f>
        <v>1. Satz</v>
      </c>
      <c r="M38" s="966"/>
      <c r="N38" s="966"/>
      <c r="O38" s="966" t="str">
        <f>Sprache!$E$73</f>
        <v>2. Satz</v>
      </c>
      <c r="P38" s="966"/>
      <c r="Q38" s="966"/>
      <c r="R38" s="963" t="str">
        <f>Sprache!$E$75</f>
        <v>3. Satz</v>
      </c>
      <c r="S38" s="964"/>
      <c r="T38" s="964"/>
      <c r="U38" s="705"/>
      <c r="V38" s="462"/>
      <c r="Y38" s="584">
        <f t="array" aca="1" ref="Y38" ca="1">SUM((Y34:Y37&lt;&gt;"")*1)</f>
        <v>4</v>
      </c>
      <c r="Z38" s="272"/>
    </row>
    <row r="39" spans="2:45" ht="24" customHeight="1" thickTop="1" thickBot="1" x14ac:dyDescent="0.45">
      <c r="B39" s="500"/>
      <c r="C39" s="508">
        <f t="array" aca="1" ref="C39" ca="1">ROW(79:79)-SUM(((Planung!$L$6:$L$65="")+(Planung!$N$6:$N$65="")&gt;0)*1)-SUM((($I$12:$I38="")+($K$12:$K38="")&gt;0)*1)</f>
        <v>55</v>
      </c>
      <c r="D39" s="463">
        <f t="array" aca="1" ref="D39" ca="1">IF(Planung!$V$15,"",$D$12+QUOTIENT(($C39-$C$12),Planung!$V$11)*(Planung!$S$7+Planung!$S$9)/1440+SUM($V$12:$V38)/1440)</f>
        <v>0.69097222222222221</v>
      </c>
      <c r="E39" s="464">
        <f ca="1">IF(Planung!$V$15,"",MOD($C39-$C$12,Planung!$V$11)+1)</f>
        <v>3</v>
      </c>
      <c r="F39" s="465" t="str">
        <f>"2. "&amp;B18</f>
        <v>2. HF 7</v>
      </c>
      <c r="G39" s="466" t="s">
        <v>4</v>
      </c>
      <c r="H39" s="467" t="str">
        <f>"2. "&amp;B19</f>
        <v>2. HF 8</v>
      </c>
      <c r="I39" s="468" t="str">
        <f ca="1">VLOOKUP(Sprache!$E$71&amp;MID($F39,7,2),$B$12:$AB$23,MID($F39,1,1)+25,0)</f>
        <v>1. FC Riedwald</v>
      </c>
      <c r="J39" s="469" t="s">
        <v>4</v>
      </c>
      <c r="K39" s="470" t="str">
        <f ca="1">VLOOKUP(Sprache!$E$71&amp;MID($H39,7,2),$B$12:$AB$23,MID($H39,1,1)+25,0)</f>
        <v>Mainz 05</v>
      </c>
      <c r="L39" s="471">
        <v>25</v>
      </c>
      <c r="M39" s="347" t="str">
        <f>Sprache!$E$109</f>
        <v xml:space="preserve"> : </v>
      </c>
      <c r="N39" s="497">
        <v>17</v>
      </c>
      <c r="O39" s="346">
        <v>25</v>
      </c>
      <c r="P39" s="347" t="str">
        <f>Sprache!$E$109</f>
        <v xml:space="preserve"> : </v>
      </c>
      <c r="Q39" s="621">
        <v>14</v>
      </c>
      <c r="R39" s="624"/>
      <c r="S39" s="647" t="str">
        <f>Sprache!$E$109</f>
        <v xml:space="preserve"> : </v>
      </c>
      <c r="T39" s="627"/>
      <c r="U39" s="700"/>
      <c r="V39" s="682"/>
      <c r="X39" s="878" t="str">
        <f>Sprache!$E$60</f>
        <v>Gruppenzweite</v>
      </c>
      <c r="Y39" s="878"/>
      <c r="Z39" s="272"/>
      <c r="AA39" s="315" t="str">
        <f t="shared" ref="AA39:AA40" ca="1" si="46">IF(AR39&gt;AS39,$I39,IF(AR39&lt;AS39,$K39,""))</f>
        <v>1. FC Riedwald</v>
      </c>
      <c r="AB39" s="315" t="str">
        <f t="shared" ref="AB39:AB40" ca="1" si="47">IF(AR39&lt;AS39,$I39,IF(AR39&gt;AS39,$K39,""))</f>
        <v>Mainz 05</v>
      </c>
      <c r="AC39" s="315" t="b">
        <f>OR(NOT($AA$10),AND($L39&lt;&gt;"",$N39&lt;&gt;"",$O39&lt;&gt;"",$Q39&lt;&gt;"",$L39&lt;&gt;$N39,$O39&lt;&gt;$Q39,($L39&gt;$N39)+($O39&gt;$Q39)=1))</f>
        <v>0</v>
      </c>
      <c r="AD39" s="500" t="b">
        <f t="shared" ref="AD39:AD40" ca="1" si="48">AND($L39&lt;&gt;"",$N39&lt;&gt;"",$L39&lt;&gt;$N39,OR(AND($O39="",$Q39=""),AND($O39&lt;&gt;"",$Q39&lt;&gt;"",$O39&lt;&gt;$Q39)),$I39&lt;&gt;"",$K39&lt;&gt;"",$I39&lt;&gt;$K39)</f>
        <v>1</v>
      </c>
      <c r="AE39" s="315" t="b">
        <f t="shared" ref="AE39:AE40" si="49">AND(AC39,$R39&lt;&gt;"",$T39&lt;&gt;"",$R39&lt;&gt;$T39)</f>
        <v>0</v>
      </c>
      <c r="AF39" s="500">
        <f t="shared" ref="AF39:AF40" ca="1" si="50">(($L39&gt;$N39)+($O39&gt;$Q39)+($R39&gt;$T39)*AE39)*AD39</f>
        <v>2</v>
      </c>
      <c r="AG39" s="500">
        <f t="shared" ref="AG39:AG40" ca="1" si="51">(($L39&lt;$N39)+($O39&lt;$Q39)+($R39&lt;$T39)*AE39)*AD39</f>
        <v>0</v>
      </c>
      <c r="AH39" s="315"/>
      <c r="AI39" s="500" t="b">
        <f>AND($AA$10,OR(AND($L39&lt;&gt;"",$L39=$N39),AND($O39&lt;&gt;"",$O39=$Q39)))</f>
        <v>0</v>
      </c>
      <c r="AJ39" s="500" t="b">
        <f>AND($AA$10,$R39&lt;&gt;"",$T39&lt;&gt;"",$R39=$T39,$AC39)</f>
        <v>0</v>
      </c>
      <c r="AL39" s="47" t="b">
        <f t="shared" ref="AL39:AL40" ca="1" si="52">AND($L39&lt;&gt;"",$N39&lt;&gt;"",$I39&lt;&gt;"",$K39&lt;&gt;"",$I39&lt;&gt;$K39)</f>
        <v>1</v>
      </c>
      <c r="AM39" s="47" t="b">
        <f t="shared" ref="AM39:AM40" ca="1" si="53">AND($O39&lt;&gt;"",$Q39&lt;&gt;"",$I39&lt;&gt;"",$K39&lt;&gt;"",$I39&lt;&gt;$K39)</f>
        <v>1</v>
      </c>
      <c r="AN39" s="47" t="b">
        <f t="shared" ref="AN39:AN40" ca="1" si="54">AND($R39&lt;&gt;"",$T39&lt;&gt;"",$I39&lt;&gt;"",$K39&lt;&gt;"",$I39&lt;&gt;$K39)</f>
        <v>0</v>
      </c>
      <c r="AO39" s="47">
        <f ca="1">(($L39&gt;$N39)+($L39=$N39)*0.5)*$AL39+(($O39&gt;$Q39)+($O39=$Q39)*0.5)*$AM39+(($R39&gt;$T39)+($R39=$T39)*0.5)*$AN39</f>
        <v>2</v>
      </c>
      <c r="AP39" s="47">
        <f ca="1">(($L39&lt;$N39)+($L39=$N39)*0.5)*$AL39+(($O39&lt;$Q39)+($O39=$Q39)*0.5)*$AM39+(($R39&lt;$T39)+($R39=$T39)*0.5)*$AN39</f>
        <v>0</v>
      </c>
      <c r="AR39" s="47">
        <f t="shared" ref="AR39:AR40" ca="1" si="55">IF($AA$10,$AF39,$AO39)</f>
        <v>2</v>
      </c>
      <c r="AS39" s="47">
        <f t="shared" ref="AS39:AS40" ca="1" si="56">IF($AA$10,$AG39,$AP39)</f>
        <v>0</v>
      </c>
    </row>
    <row r="40" spans="2:45" ht="24" customHeight="1" thickTop="1" thickBot="1" x14ac:dyDescent="0.3">
      <c r="B40" s="500"/>
      <c r="C40" s="506">
        <f t="array" aca="1" ref="C40" ca="1">ROW(80:80)-SUM(((Planung!$L$6:$L$65="")+(Planung!$N$6:$N$65="")&gt;0)*1)-SUM((($I$12:$I39="")+($K$12:$K39="")&gt;0)*1)</f>
        <v>56</v>
      </c>
      <c r="D40" s="174">
        <f t="array" aca="1" ref="D40" ca="1">IF(Planung!$V$15,"",$D$12+QUOTIENT(($C40-$C$12),Planung!$V$11)*(Planung!$S$7+Planung!$S$9)/1440+SUM($V$12:$V39)/1440)</f>
        <v>0.69097222222222221</v>
      </c>
      <c r="E40" s="175">
        <f ca="1">IF(Planung!$V$15,"",MOD($C40-$C$12,Planung!$V$11)+1)</f>
        <v>4</v>
      </c>
      <c r="F40" s="406" t="str">
        <f>"1. "&amp;B18</f>
        <v>1. HF 7</v>
      </c>
      <c r="G40" s="407" t="s">
        <v>4</v>
      </c>
      <c r="H40" s="408" t="str">
        <f>"1. "&amp;B19</f>
        <v>1. HF 8</v>
      </c>
      <c r="I40" s="484" t="str">
        <f ca="1">VLOOKUP(Sprache!$E$71&amp;MID($F40,7,2),$B$12:$AB$23,MID($F40,1,1)+25,0)</f>
        <v>Borussia Dortmund</v>
      </c>
      <c r="J40" s="485" t="s">
        <v>4</v>
      </c>
      <c r="K40" s="486" t="str">
        <f ca="1">VLOOKUP(Sprache!$E$71&amp;MID($H40,7,2),$B$12:$AB$23,MID($H40,1,1)+25,0)</f>
        <v>RB Leipzig</v>
      </c>
      <c r="L40" s="412">
        <v>25</v>
      </c>
      <c r="M40" s="352" t="str">
        <f>Sprache!$E$109</f>
        <v xml:space="preserve"> : </v>
      </c>
      <c r="N40" s="491">
        <v>15</v>
      </c>
      <c r="O40" s="324">
        <v>25</v>
      </c>
      <c r="P40" s="352" t="str">
        <f>Sprache!$E$109</f>
        <v xml:space="preserve"> : </v>
      </c>
      <c r="Q40" s="622">
        <v>20</v>
      </c>
      <c r="R40" s="625"/>
      <c r="S40" s="644" t="str">
        <f>Sprache!$E$109</f>
        <v xml:space="preserve"> : </v>
      </c>
      <c r="T40" s="620"/>
      <c r="U40" s="701"/>
      <c r="V40" s="699"/>
      <c r="X40" s="420"/>
      <c r="Y40" s="449" t="str">
        <f>Sprache!$E$10</f>
        <v>Teilnehmer bzw. Mannschaft</v>
      </c>
      <c r="Z40" s="272"/>
      <c r="AA40" s="315" t="str">
        <f t="shared" ca="1" si="46"/>
        <v>Borussia Dortmund</v>
      </c>
      <c r="AB40" s="315" t="str">
        <f t="shared" ca="1" si="47"/>
        <v>RB Leipzig</v>
      </c>
      <c r="AC40" s="315" t="b">
        <f>OR(NOT($AA$10),AND($L40&lt;&gt;"",$N40&lt;&gt;"",$O40&lt;&gt;"",$Q40&lt;&gt;"",$L40&lt;&gt;$N40,$O40&lt;&gt;$Q40,($L40&gt;$N40)+($O40&gt;$Q40)=1))</f>
        <v>0</v>
      </c>
      <c r="AD40" s="500" t="b">
        <f t="shared" ca="1" si="48"/>
        <v>1</v>
      </c>
      <c r="AE40" s="315" t="b">
        <f t="shared" si="49"/>
        <v>0</v>
      </c>
      <c r="AF40" s="500">
        <f t="shared" ca="1" si="50"/>
        <v>2</v>
      </c>
      <c r="AG40" s="500">
        <f t="shared" ca="1" si="51"/>
        <v>0</v>
      </c>
      <c r="AH40" s="315"/>
      <c r="AI40" s="500" t="b">
        <f>AND($AA$10,OR(AND($L40&lt;&gt;"",$L40=$N40),AND($O40&lt;&gt;"",$O40=$Q40)))</f>
        <v>0</v>
      </c>
      <c r="AJ40" s="500" t="b">
        <f>AND($AA$10,$R40&lt;&gt;"",$T40&lt;&gt;"",$R40=$T40,$AC40)</f>
        <v>0</v>
      </c>
      <c r="AL40" s="47" t="b">
        <f t="shared" ca="1" si="52"/>
        <v>1</v>
      </c>
      <c r="AM40" s="47" t="b">
        <f t="shared" ca="1" si="53"/>
        <v>1</v>
      </c>
      <c r="AN40" s="47" t="b">
        <f t="shared" ca="1" si="54"/>
        <v>0</v>
      </c>
      <c r="AO40" s="47">
        <f ca="1">(($L40&gt;$N40)+($L40=$N40)*0.5)*$AL40+(($O40&gt;$Q40)+($O40=$Q40)*0.5)*$AM40+(($R40&gt;$T40)+($R40=$T40)*0.5)*$AN40</f>
        <v>2</v>
      </c>
      <c r="AP40" s="47">
        <f ca="1">(($L40&lt;$N40)+($L40=$N40)*0.5)*$AL40+(($O40&lt;$Q40)+($O40=$Q40)*0.5)*$AM40+(($R40&lt;$T40)+($R40=$T40)*0.5)*$AN40</f>
        <v>0</v>
      </c>
      <c r="AR40" s="47">
        <f t="shared" ca="1" si="55"/>
        <v>2</v>
      </c>
      <c r="AS40" s="47">
        <f t="shared" ca="1" si="56"/>
        <v>0</v>
      </c>
    </row>
    <row r="41" spans="2:45" ht="24" customHeight="1" thickTop="1" thickBot="1" x14ac:dyDescent="0.25">
      <c r="B41" s="304"/>
      <c r="I41" s="501" t="s">
        <v>242</v>
      </c>
      <c r="J41" s="459"/>
      <c r="K41" s="501" t="s">
        <v>242</v>
      </c>
      <c r="X41" s="439" t="s">
        <v>267</v>
      </c>
      <c r="Y41" s="450" t="str">
        <f ca="1">IF(Vorrunde!$X$13="","",Vorrunde!$X$13)</f>
        <v>FC Barcelona</v>
      </c>
      <c r="Z41" s="272"/>
    </row>
    <row r="42" spans="2:45" ht="24" customHeight="1" thickBot="1" x14ac:dyDescent="0.3">
      <c r="B42" s="304"/>
      <c r="C42" s="851" t="str">
        <f>Sprache!$E$67&amp;"5"&amp;Sprache!$E$68&amp;"8"</f>
        <v>Finalspiele um die Plätze 5 bis 8</v>
      </c>
      <c r="D42" s="851"/>
      <c r="E42" s="851"/>
      <c r="F42" s="851"/>
      <c r="G42" s="851"/>
      <c r="H42" s="851"/>
      <c r="I42" s="503" t="s">
        <v>242</v>
      </c>
      <c r="J42" s="502"/>
      <c r="K42" s="503" t="s">
        <v>242</v>
      </c>
      <c r="L42" s="965" t="str">
        <f>Sprache!$E$72</f>
        <v>1. Satz</v>
      </c>
      <c r="M42" s="966"/>
      <c r="N42" s="966"/>
      <c r="O42" s="966" t="str">
        <f>Sprache!$E$73</f>
        <v>2. Satz</v>
      </c>
      <c r="P42" s="966"/>
      <c r="Q42" s="966"/>
      <c r="R42" s="966" t="str">
        <f>Sprache!$E$75</f>
        <v>3. Satz</v>
      </c>
      <c r="S42" s="966"/>
      <c r="T42" s="963"/>
      <c r="U42" s="705"/>
      <c r="V42" s="462"/>
      <c r="X42" s="419" t="s">
        <v>268</v>
      </c>
      <c r="Y42" s="451" t="str">
        <f ca="1">IF(Vorrunde!$X$23="","",Vorrunde!$X$23)</f>
        <v>Manchester City</v>
      </c>
      <c r="Z42" s="272"/>
    </row>
    <row r="43" spans="2:45" ht="24" customHeight="1" thickTop="1" x14ac:dyDescent="0.25">
      <c r="B43" s="500"/>
      <c r="C43" s="508">
        <f t="array" aca="1" ref="C43" ca="1">ROW(81:81)-SUM(((Planung!$L$6:$L$65="")+(Planung!$N$6:$N$65="")&gt;0)*1)-SUM((($I$12:$I42="")+($K$12:$K42="")&gt;0)*1)</f>
        <v>57</v>
      </c>
      <c r="D43" s="463">
        <f t="array" aca="1" ref="D43" ca="1">IF(Planung!$V$15,"",$D$12+QUOTIENT(($C43-$C$12),Planung!$V$11)*(Planung!$S$7+Planung!$S$9)/1440+SUM($V$12:$V42)/1440)</f>
        <v>0.71527777777777779</v>
      </c>
      <c r="E43" s="464">
        <f ca="1">IF(Planung!$V$15,"",MOD($C43-$C$12,Planung!$V$11)+1)</f>
        <v>1</v>
      </c>
      <c r="F43" s="465" t="str">
        <f>"2. "&amp;B20</f>
        <v>2. HF 9</v>
      </c>
      <c r="G43" s="466" t="s">
        <v>4</v>
      </c>
      <c r="H43" s="467" t="str">
        <f>"2. "&amp;B21</f>
        <v>2. HF 10</v>
      </c>
      <c r="I43" s="468" t="str">
        <f ca="1">VLOOKUP(Sprache!$E$71&amp;MID($F43,7,2),$B$12:$AB$23,MID($F43,1,1)+25,0)</f>
        <v>Kickers Rodendorf</v>
      </c>
      <c r="J43" s="469" t="s">
        <v>4</v>
      </c>
      <c r="K43" s="470" t="str">
        <f ca="1">VLOOKUP(Sprache!$E$71&amp;MID($H43,7,2),$B$12:$AB$23,MID($H43,1,1)+25,0)</f>
        <v>Paris St. Germain</v>
      </c>
      <c r="L43" s="471">
        <v>25</v>
      </c>
      <c r="M43" s="347" t="str">
        <f>Sprache!$E$109</f>
        <v xml:space="preserve"> : </v>
      </c>
      <c r="N43" s="497">
        <v>19</v>
      </c>
      <c r="O43" s="346">
        <v>14</v>
      </c>
      <c r="P43" s="347" t="str">
        <f>Sprache!$E$109</f>
        <v xml:space="preserve"> : </v>
      </c>
      <c r="Q43" s="621">
        <v>25</v>
      </c>
      <c r="R43" s="624">
        <v>11</v>
      </c>
      <c r="S43" s="647" t="str">
        <f>Sprache!$E$109</f>
        <v xml:space="preserve"> : </v>
      </c>
      <c r="T43" s="627">
        <v>15</v>
      </c>
      <c r="U43" s="700"/>
      <c r="V43" s="682"/>
      <c r="X43" s="438" t="s">
        <v>269</v>
      </c>
      <c r="Y43" s="451" t="str">
        <f ca="1">IF(Vorrunde!$X$33="","",Vorrunde!$X$33)</f>
        <v>Kickers Rodendorf</v>
      </c>
      <c r="Z43" s="272"/>
      <c r="AA43" s="315" t="str">
        <f t="shared" ref="AA43:AA44" ca="1" si="57">IF(AR43&gt;AS43,$I43,IF(AR43&lt;AS43,$K43,""))</f>
        <v>Paris St. Germain</v>
      </c>
      <c r="AB43" s="315" t="str">
        <f t="shared" ref="AB43:AB44" ca="1" si="58">IF(AR43&lt;AS43,$I43,IF(AR43&gt;AS43,$K43,""))</f>
        <v>Kickers Rodendorf</v>
      </c>
      <c r="AC43" s="315" t="b">
        <f>OR(NOT($AA$10),AND($L43&lt;&gt;"",$N43&lt;&gt;"",$O43&lt;&gt;"",$Q43&lt;&gt;"",$L43&lt;&gt;$N43,$O43&lt;&gt;$Q43,($L43&gt;$N43)+($O43&gt;$Q43)=1))</f>
        <v>1</v>
      </c>
      <c r="AD43" s="500" t="b">
        <f t="shared" ref="AD43:AD44" ca="1" si="59">AND($L43&lt;&gt;"",$N43&lt;&gt;"",$L43&lt;&gt;$N43,OR(AND($O43="",$Q43=""),AND($O43&lt;&gt;"",$Q43&lt;&gt;"",$O43&lt;&gt;$Q43)),$I43&lt;&gt;"",$K43&lt;&gt;"",$I43&lt;&gt;$K43)</f>
        <v>1</v>
      </c>
      <c r="AE43" s="315" t="b">
        <f t="shared" ref="AE43:AE44" si="60">AND(AC43,$R43&lt;&gt;"",$T43&lt;&gt;"",$R43&lt;&gt;$T43)</f>
        <v>1</v>
      </c>
      <c r="AF43" s="500">
        <f t="shared" ref="AF43:AF44" ca="1" si="61">(($L43&gt;$N43)+($O43&gt;$Q43)+($R43&gt;$T43)*AE43)*AD43</f>
        <v>1</v>
      </c>
      <c r="AG43" s="500">
        <f t="shared" ref="AG43:AG44" ca="1" si="62">(($L43&lt;$N43)+($O43&lt;$Q43)+($R43&lt;$T43)*AE43)*AD43</f>
        <v>2</v>
      </c>
      <c r="AH43" s="315"/>
      <c r="AI43" s="500" t="b">
        <f>AND($AA$10,OR(AND($L43&lt;&gt;"",$L43=$N43),AND($O43&lt;&gt;"",$O43=$Q43)))</f>
        <v>0</v>
      </c>
      <c r="AJ43" s="500" t="b">
        <f>AND($AA$10,$R43&lt;&gt;"",$T43&lt;&gt;"",$R43=$T43,$AC43)</f>
        <v>0</v>
      </c>
      <c r="AL43" s="47" t="b">
        <f t="shared" ref="AL43:AL44" ca="1" si="63">AND($L43&lt;&gt;"",$N43&lt;&gt;"",$I43&lt;&gt;"",$K43&lt;&gt;"",$I43&lt;&gt;$K43)</f>
        <v>1</v>
      </c>
      <c r="AM43" s="47" t="b">
        <f t="shared" ref="AM43:AM44" ca="1" si="64">AND($O43&lt;&gt;"",$Q43&lt;&gt;"",$I43&lt;&gt;"",$K43&lt;&gt;"",$I43&lt;&gt;$K43)</f>
        <v>1</v>
      </c>
      <c r="AN43" s="47" t="b">
        <f t="shared" ref="AN43:AN44" ca="1" si="65">AND($R43&lt;&gt;"",$T43&lt;&gt;"",$I43&lt;&gt;"",$K43&lt;&gt;"",$I43&lt;&gt;$K43)</f>
        <v>1</v>
      </c>
      <c r="AO43" s="47">
        <f ca="1">(($L43&gt;$N43)+($L43=$N43)*0.5)*$AL43+(($O43&gt;$Q43)+($O43=$Q43)*0.5)*$AM43+(($R43&gt;$T43)+($R43=$T43)*0.5)*$AN43</f>
        <v>1</v>
      </c>
      <c r="AP43" s="47">
        <f ca="1">(($L43&lt;$N43)+($L43=$N43)*0.5)*$AL43+(($O43&lt;$Q43)+($O43=$Q43)*0.5)*$AM43+(($R43&lt;$T43)+($R43=$T43)*0.5)*$AN43</f>
        <v>2</v>
      </c>
      <c r="AR43" s="47">
        <f t="shared" ref="AR43:AR44" ca="1" si="66">IF($AA$10,$AF43,$AO43)</f>
        <v>1</v>
      </c>
      <c r="AS43" s="47">
        <f t="shared" ref="AS43:AS44" ca="1" si="67">IF($AA$10,$AG43,$AP43)</f>
        <v>2</v>
      </c>
    </row>
    <row r="44" spans="2:45" ht="24" customHeight="1" thickBot="1" x14ac:dyDescent="0.3">
      <c r="B44" s="500"/>
      <c r="C44" s="506">
        <f t="array" aca="1" ref="C44" ca="1">ROW(82:82)-SUM(((Planung!$L$6:$L$65="")+(Planung!$N$6:$N$65="")&gt;0)*1)-SUM((($I$12:$I43="")+($K$12:$K43="")&gt;0)*1)</f>
        <v>58</v>
      </c>
      <c r="D44" s="174">
        <f t="array" aca="1" ref="D44" ca="1">IF(Planung!$V$15,"",$D$12+QUOTIENT(($C44-$C$12),Planung!$V$11)*(Planung!$S$7+Planung!$S$9)/1440+SUM($V$12:$V43)/1440)</f>
        <v>0.71527777777777779</v>
      </c>
      <c r="E44" s="175">
        <f ca="1">IF(Planung!$V$15,"",MOD($C44-$C$12,Planung!$V$11)+1)</f>
        <v>2</v>
      </c>
      <c r="F44" s="406" t="str">
        <f>"1. "&amp;B20</f>
        <v>1. HF 9</v>
      </c>
      <c r="G44" s="407" t="s">
        <v>4</v>
      </c>
      <c r="H44" s="408" t="str">
        <f>"1. "&amp;B21</f>
        <v>1. HF 10</v>
      </c>
      <c r="I44" s="484" t="str">
        <f ca="1">VLOOKUP(Sprache!$E$71&amp;MID($F44,7,2),$B$12:$AB$23,MID($F44,1,1)+25,0)</f>
        <v>FC Barcelona</v>
      </c>
      <c r="J44" s="485" t="s">
        <v>4</v>
      </c>
      <c r="K44" s="486" t="str">
        <f ca="1">VLOOKUP(Sprache!$E$71&amp;MID($H44,7,2),$B$12:$AB$23,MID($H44,1,1)+25,0)</f>
        <v>Manchester City</v>
      </c>
      <c r="L44" s="412">
        <v>25</v>
      </c>
      <c r="M44" s="352" t="str">
        <f>Sprache!$E$109</f>
        <v xml:space="preserve"> : </v>
      </c>
      <c r="N44" s="491">
        <v>17</v>
      </c>
      <c r="O44" s="324">
        <v>25</v>
      </c>
      <c r="P44" s="352" t="str">
        <f>Sprache!$E$109</f>
        <v xml:space="preserve"> : </v>
      </c>
      <c r="Q44" s="622">
        <v>12</v>
      </c>
      <c r="R44" s="625"/>
      <c r="S44" s="644" t="str">
        <f>Sprache!$E$109</f>
        <v xml:space="preserve"> : </v>
      </c>
      <c r="T44" s="620"/>
      <c r="U44" s="701"/>
      <c r="V44" s="699"/>
      <c r="X44" s="393" t="s">
        <v>321</v>
      </c>
      <c r="Y44" s="452" t="str">
        <f ca="1">IF(Vorrunde!$X$43="","",Vorrunde!$X$43)</f>
        <v>Paris St. Germain</v>
      </c>
      <c r="Z44" s="447"/>
      <c r="AA44" s="315" t="str">
        <f t="shared" ca="1" si="57"/>
        <v>FC Barcelona</v>
      </c>
      <c r="AB44" s="315" t="str">
        <f t="shared" ca="1" si="58"/>
        <v>Manchester City</v>
      </c>
      <c r="AC44" s="315" t="b">
        <f>OR(NOT($AA$10),AND($L44&lt;&gt;"",$N44&lt;&gt;"",$O44&lt;&gt;"",$Q44&lt;&gt;"",$L44&lt;&gt;$N44,$O44&lt;&gt;$Q44,($L44&gt;$N44)+($O44&gt;$Q44)=1))</f>
        <v>0</v>
      </c>
      <c r="AD44" s="500" t="b">
        <f t="shared" ca="1" si="59"/>
        <v>1</v>
      </c>
      <c r="AE44" s="315" t="b">
        <f t="shared" si="60"/>
        <v>0</v>
      </c>
      <c r="AF44" s="500">
        <f t="shared" ca="1" si="61"/>
        <v>2</v>
      </c>
      <c r="AG44" s="500">
        <f t="shared" ca="1" si="62"/>
        <v>0</v>
      </c>
      <c r="AH44" s="315"/>
      <c r="AI44" s="500" t="b">
        <f>AND($AA$10,OR(AND($L44&lt;&gt;"",$L44=$N44),AND($O44&lt;&gt;"",$O44=$Q44)))</f>
        <v>0</v>
      </c>
      <c r="AJ44" s="500" t="b">
        <f>AND($AA$10,$R44&lt;&gt;"",$T44&lt;&gt;"",$R44=$T44,$AC44)</f>
        <v>0</v>
      </c>
      <c r="AL44" s="47" t="b">
        <f t="shared" ca="1" si="63"/>
        <v>1</v>
      </c>
      <c r="AM44" s="47" t="b">
        <f t="shared" ca="1" si="64"/>
        <v>1</v>
      </c>
      <c r="AN44" s="47" t="b">
        <f t="shared" ca="1" si="65"/>
        <v>0</v>
      </c>
      <c r="AO44" s="47">
        <f ca="1">(($L44&gt;$N44)+($L44=$N44)*0.5)*$AL44+(($O44&gt;$Q44)+($O44=$Q44)*0.5)*$AM44+(($R44&gt;$T44)+($R44=$T44)*0.5)*$AN44</f>
        <v>2</v>
      </c>
      <c r="AP44" s="47">
        <f ca="1">(($L44&lt;$N44)+($L44=$N44)*0.5)*$AL44+(($O44&lt;$Q44)+($O44=$Q44)*0.5)*$AM44+(($R44&lt;$T44)+($R44=$T44)*0.5)*$AN44</f>
        <v>0</v>
      </c>
      <c r="AR44" s="47">
        <f t="shared" ca="1" si="66"/>
        <v>2</v>
      </c>
      <c r="AS44" s="47">
        <f t="shared" ca="1" si="67"/>
        <v>0</v>
      </c>
    </row>
    <row r="45" spans="2:45" ht="24" customHeight="1" thickTop="1" thickBot="1" x14ac:dyDescent="0.25">
      <c r="B45" s="304"/>
      <c r="I45" s="501" t="s">
        <v>242</v>
      </c>
      <c r="J45" s="459"/>
      <c r="K45" s="501" t="s">
        <v>242</v>
      </c>
      <c r="Y45" s="584">
        <f t="array" aca="1" ref="Y45" ca="1">SUM((Y41:Y44&lt;&gt;"")*1)</f>
        <v>4</v>
      </c>
      <c r="Z45" s="447"/>
    </row>
    <row r="46" spans="2:45" ht="24" customHeight="1" thickBot="1" x14ac:dyDescent="0.45">
      <c r="B46" s="304"/>
      <c r="C46" s="851" t="str">
        <f>Sprache!$E$66</f>
        <v>Spiel um den dritten Platz</v>
      </c>
      <c r="D46" s="851"/>
      <c r="E46" s="851"/>
      <c r="F46" s="851"/>
      <c r="G46" s="851"/>
      <c r="H46" s="851"/>
      <c r="I46" s="503" t="s">
        <v>242</v>
      </c>
      <c r="J46" s="502"/>
      <c r="K46" s="503" t="s">
        <v>242</v>
      </c>
      <c r="L46" s="965" t="str">
        <f>Sprache!$E$72</f>
        <v>1. Satz</v>
      </c>
      <c r="M46" s="966"/>
      <c r="N46" s="966"/>
      <c r="O46" s="966" t="str">
        <f>Sprache!$E$73</f>
        <v>2. Satz</v>
      </c>
      <c r="P46" s="966"/>
      <c r="Q46" s="966"/>
      <c r="R46" s="966" t="str">
        <f>Sprache!$E$75</f>
        <v>3. Satz</v>
      </c>
      <c r="S46" s="966"/>
      <c r="T46" s="963"/>
      <c r="U46" s="705"/>
      <c r="V46" s="462"/>
      <c r="X46" s="878" t="str">
        <f>Sprache!$E$59</f>
        <v>Gruppenerste</v>
      </c>
      <c r="Y46" s="878"/>
      <c r="Z46" s="447"/>
    </row>
    <row r="47" spans="2:45" ht="24" customHeight="1" thickTop="1" thickBot="1" x14ac:dyDescent="0.3">
      <c r="B47" s="500"/>
      <c r="C47" s="507">
        <f t="array" aca="1" ref="C47" ca="1">ROW(83:83)-SUM(((Planung!$L$6:$L$65="")+(Planung!$N$6:$N$65="")&gt;0)*1)-SUM((($I$12:$I46="")+($K$12:$K46="")&gt;0)*1)</f>
        <v>59</v>
      </c>
      <c r="D47" s="512">
        <f ca="1">IF(Planung!$V$15,"",$D$44+($V$44+Planung!$S$9+Planung!$S$7)/1440)</f>
        <v>0.73958333333333337</v>
      </c>
      <c r="E47" s="473">
        <f>IF(Planung!$V$15,"",1)</f>
        <v>1</v>
      </c>
      <c r="F47" s="474" t="str">
        <f>"2. "&amp;B22</f>
        <v>2. HF 11</v>
      </c>
      <c r="G47" s="475" t="s">
        <v>4</v>
      </c>
      <c r="H47" s="476" t="str">
        <f>"2. "&amp;B23</f>
        <v>2. HF 12</v>
      </c>
      <c r="I47" s="477" t="str">
        <f ca="1">VLOOKUP(Sprache!$E$71&amp;MID($F47,7,2),$B$12:$AB$23,MID($F47,1,1)+25,0)</f>
        <v>Real Madrid</v>
      </c>
      <c r="J47" s="478" t="s">
        <v>4</v>
      </c>
      <c r="K47" s="479" t="str">
        <f ca="1">VLOOKUP(Sprache!$E$71&amp;MID($H47,7,2),$B$12:$AB$23,MID($H47,1,1)+25,0)</f>
        <v>Inter Mailand</v>
      </c>
      <c r="L47" s="480">
        <v>22</v>
      </c>
      <c r="M47" s="481" t="str">
        <f>Sprache!$E$109</f>
        <v xml:space="preserve"> : </v>
      </c>
      <c r="N47" s="498">
        <v>25</v>
      </c>
      <c r="O47" s="499">
        <v>21</v>
      </c>
      <c r="P47" s="481" t="str">
        <f>Sprache!$E$109</f>
        <v xml:space="preserve"> : </v>
      </c>
      <c r="Q47" s="623">
        <v>25</v>
      </c>
      <c r="R47" s="626"/>
      <c r="S47" s="648" t="str">
        <f>Sprache!$E$109</f>
        <v xml:space="preserve"> : </v>
      </c>
      <c r="T47" s="628"/>
      <c r="U47" s="703"/>
      <c r="V47" s="702"/>
      <c r="X47" s="420"/>
      <c r="Y47" s="449" t="str">
        <f>Sprache!$E$10</f>
        <v>Teilnehmer bzw. Mannschaft</v>
      </c>
      <c r="Z47" s="447"/>
      <c r="AA47" s="315" t="str">
        <f t="shared" ref="AA47" ca="1" si="68">IF(AR47&gt;AS47,$I47,IF(AR47&lt;AS47,$K47,""))</f>
        <v>Inter Mailand</v>
      </c>
      <c r="AB47" s="315" t="str">
        <f t="shared" ref="AB47" ca="1" si="69">IF(AR47&lt;AS47,$I47,IF(AR47&gt;AS47,$K47,""))</f>
        <v>Real Madrid</v>
      </c>
      <c r="AC47" s="315" t="b">
        <f>OR(NOT($AA$10),AND($L47&lt;&gt;"",$N47&lt;&gt;"",$O47&lt;&gt;"",$Q47&lt;&gt;"",$L47&lt;&gt;$N47,$O47&lt;&gt;$Q47,($L47&gt;$N47)+($O47&gt;$Q47)=1))</f>
        <v>0</v>
      </c>
      <c r="AD47" s="500" t="b">
        <f t="shared" ref="AD47" ca="1" si="70">AND($L47&lt;&gt;"",$N47&lt;&gt;"",$L47&lt;&gt;$N47,OR(AND($O47="",$Q47=""),AND($O47&lt;&gt;"",$Q47&lt;&gt;"",$O47&lt;&gt;$Q47)),$I47&lt;&gt;"",$K47&lt;&gt;"",$I47&lt;&gt;$K47)</f>
        <v>1</v>
      </c>
      <c r="AE47" s="315" t="b">
        <f t="shared" ref="AE47" si="71">AND(AC47,$R47&lt;&gt;"",$T47&lt;&gt;"",$R47&lt;&gt;$T47)</f>
        <v>0</v>
      </c>
      <c r="AF47" s="500">
        <f t="shared" ref="AF47" ca="1" si="72">(($L47&gt;$N47)+($O47&gt;$Q47)+($R47&gt;$T47)*AE47)*AD47</f>
        <v>0</v>
      </c>
      <c r="AG47" s="500">
        <f t="shared" ref="AG47" ca="1" si="73">(($L47&lt;$N47)+($O47&lt;$Q47)+($R47&lt;$T47)*AE47)*AD47</f>
        <v>2</v>
      </c>
      <c r="AH47" s="315"/>
      <c r="AI47" s="500" t="b">
        <f>AND($AA$10,OR(AND($L47&lt;&gt;"",$L47=$N47),AND($O47&lt;&gt;"",$O47=$Q47)))</f>
        <v>0</v>
      </c>
      <c r="AJ47" s="500" t="b">
        <f>AND($AA$10,$R47&lt;&gt;"",$T47&lt;&gt;"",$R47=$T47,$AC47)</f>
        <v>0</v>
      </c>
      <c r="AL47" s="47" t="b">
        <f t="shared" ref="AL47" ca="1" si="74">AND($L47&lt;&gt;"",$N47&lt;&gt;"",$I47&lt;&gt;"",$K47&lt;&gt;"",$I47&lt;&gt;$K47)</f>
        <v>1</v>
      </c>
      <c r="AM47" s="47" t="b">
        <f t="shared" ref="AM47" ca="1" si="75">AND($O47&lt;&gt;"",$Q47&lt;&gt;"",$I47&lt;&gt;"",$K47&lt;&gt;"",$I47&lt;&gt;$K47)</f>
        <v>1</v>
      </c>
      <c r="AN47" s="47" t="b">
        <f t="shared" ref="AN47" ca="1" si="76">AND($R47&lt;&gt;"",$T47&lt;&gt;"",$I47&lt;&gt;"",$K47&lt;&gt;"",$I47&lt;&gt;$K47)</f>
        <v>0</v>
      </c>
      <c r="AO47" s="47">
        <f ca="1">(($L47&gt;$N47)+($L47=$N47)*0.5)*$AL47+(($O47&gt;$Q47)+($O47=$Q47)*0.5)*$AM47+(($R47&gt;$T47)+($R47=$T47)*0.5)*$AN47</f>
        <v>0</v>
      </c>
      <c r="AP47" s="47">
        <f ca="1">(($L47&lt;$N47)+($L47=$N47)*0.5)*$AL47+(($O47&lt;$Q47)+($O47=$Q47)*0.5)*$AM47+(($R47&lt;$T47)+($R47=$T47)*0.5)*$AN47</f>
        <v>2</v>
      </c>
      <c r="AR47" s="47">
        <f t="shared" ref="AR47" ca="1" si="77">IF($AA$10,$AF47,$AO47)</f>
        <v>0</v>
      </c>
      <c r="AS47" s="47">
        <f t="shared" ref="AS47" ca="1" si="78">IF($AA$10,$AG47,$AP47)</f>
        <v>2</v>
      </c>
    </row>
    <row r="48" spans="2:45" ht="24" customHeight="1" thickTop="1" thickBot="1" x14ac:dyDescent="0.25">
      <c r="B48" s="304"/>
      <c r="I48" s="501" t="s">
        <v>242</v>
      </c>
      <c r="J48" s="459"/>
      <c r="K48" s="501" t="s">
        <v>242</v>
      </c>
      <c r="X48" s="439" t="s">
        <v>264</v>
      </c>
      <c r="Y48" s="450" t="str">
        <f ca="1">IF(Vorrunde!$X$12="","",Vorrunde!$X$12)</f>
        <v>Eintracht Frankfurt</v>
      </c>
      <c r="Z48" s="447"/>
    </row>
    <row r="49" spans="2:45" ht="24" customHeight="1" thickBot="1" x14ac:dyDescent="0.3">
      <c r="B49" s="304"/>
      <c r="C49" s="851" t="str">
        <f>Sprache!$E$65</f>
        <v>Finale</v>
      </c>
      <c r="D49" s="851"/>
      <c r="E49" s="851"/>
      <c r="F49" s="851"/>
      <c r="G49" s="851"/>
      <c r="H49" s="851"/>
      <c r="I49" s="503" t="s">
        <v>242</v>
      </c>
      <c r="J49" s="502"/>
      <c r="K49" s="503" t="s">
        <v>242</v>
      </c>
      <c r="L49" s="965" t="str">
        <f>Sprache!$E$72</f>
        <v>1. Satz</v>
      </c>
      <c r="M49" s="966"/>
      <c r="N49" s="966"/>
      <c r="O49" s="966" t="str">
        <f>Sprache!$E$73</f>
        <v>2. Satz</v>
      </c>
      <c r="P49" s="966"/>
      <c r="Q49" s="966"/>
      <c r="R49" s="966" t="str">
        <f>Sprache!$E$75</f>
        <v>3. Satz</v>
      </c>
      <c r="S49" s="966"/>
      <c r="T49" s="963"/>
      <c r="U49" s="705"/>
      <c r="V49" s="462"/>
      <c r="X49" s="419" t="s">
        <v>265</v>
      </c>
      <c r="Y49" s="451" t="str">
        <f ca="1">IF(Vorrunde!$X$22="","",Vorrunde!$X$22)</f>
        <v>Inter Mailand</v>
      </c>
      <c r="Z49" s="447"/>
    </row>
    <row r="50" spans="2:45" ht="24" customHeight="1" thickTop="1" thickBot="1" x14ac:dyDescent="0.3">
      <c r="B50" s="500"/>
      <c r="C50" s="505">
        <f ca="1">$C$47+1</f>
        <v>60</v>
      </c>
      <c r="D50" s="171">
        <f ca="1">IF(Planung!$V$15,"",$D$47+($V$47+Planung!$S$9+Planung!$S$7)/1440)</f>
        <v>0.76388888888888895</v>
      </c>
      <c r="E50" s="173">
        <f>IF(Planung!$V$15,"",1)</f>
        <v>1</v>
      </c>
      <c r="F50" s="474" t="str">
        <f>"1. "&amp;B22</f>
        <v>1. HF 11</v>
      </c>
      <c r="G50" s="475" t="s">
        <v>4</v>
      </c>
      <c r="H50" s="476" t="str">
        <f>"1. "&amp;B23</f>
        <v>1. HF 12</v>
      </c>
      <c r="I50" s="477" t="str">
        <f ca="1">VLOOKUP(Sprache!$E$71&amp;MID($F50,7,2),$B$12:$AB$23,MID($F50,1,1)+25,0)</f>
        <v>Eintracht Frankfurt</v>
      </c>
      <c r="J50" s="478" t="s">
        <v>4</v>
      </c>
      <c r="K50" s="479" t="str">
        <f ca="1">VLOOKUP(Sprache!$E$71&amp;MID($H50,7,2),$B$12:$AB$23,MID($H50,1,1)+25,0)</f>
        <v>TSG Saalberg eV</v>
      </c>
      <c r="L50" s="480">
        <v>22</v>
      </c>
      <c r="M50" s="481" t="str">
        <f>Sprache!$E$109</f>
        <v xml:space="preserve"> : </v>
      </c>
      <c r="N50" s="498">
        <v>25</v>
      </c>
      <c r="O50" s="499">
        <v>21</v>
      </c>
      <c r="P50" s="352" t="str">
        <f>Sprache!$E$109</f>
        <v xml:space="preserve"> : </v>
      </c>
      <c r="Q50" s="623">
        <v>25</v>
      </c>
      <c r="R50" s="626"/>
      <c r="S50" s="648" t="str">
        <f>Sprache!$E$109</f>
        <v xml:space="preserve"> : </v>
      </c>
      <c r="T50" s="628"/>
      <c r="U50" s="703"/>
      <c r="V50" s="462"/>
      <c r="X50" s="438" t="s">
        <v>266</v>
      </c>
      <c r="Y50" s="451" t="str">
        <f ca="1">IF(Vorrunde!$X$32="","",Vorrunde!$X$32)</f>
        <v>Real Madrid</v>
      </c>
      <c r="Z50" s="270"/>
      <c r="AA50" s="315" t="str">
        <f t="shared" ref="AA50" ca="1" si="79">IF(AR50&gt;AS50,$I50,IF(AR50&lt;AS50,$K50,""))</f>
        <v>TSG Saalberg eV</v>
      </c>
      <c r="AB50" s="315" t="str">
        <f t="shared" ref="AB50" ca="1" si="80">IF(AR50&lt;AS50,$I50,IF(AR50&gt;AS50,$K50,""))</f>
        <v>Eintracht Frankfurt</v>
      </c>
      <c r="AC50" s="315" t="b">
        <f>OR(NOT($AA$10),AND($L50&lt;&gt;"",$N50&lt;&gt;"",$O50&lt;&gt;"",$Q50&lt;&gt;"",$L50&lt;&gt;$N50,$O50&lt;&gt;$Q50,($L50&gt;$N50)+($O50&gt;$Q50)=1))</f>
        <v>0</v>
      </c>
      <c r="AD50" s="500" t="b">
        <f t="shared" ref="AD50" ca="1" si="81">AND($L50&lt;&gt;"",$N50&lt;&gt;"",$L50&lt;&gt;$N50,OR(AND($O50="",$Q50=""),AND($O50&lt;&gt;"",$Q50&lt;&gt;"",$O50&lt;&gt;$Q50)),$I50&lt;&gt;"",$K50&lt;&gt;"",$I50&lt;&gt;$K50)</f>
        <v>1</v>
      </c>
      <c r="AE50" s="315" t="b">
        <f t="shared" ref="AE50" si="82">AND(AC50,$R50&lt;&gt;"",$T50&lt;&gt;"",$R50&lt;&gt;$T50)</f>
        <v>0</v>
      </c>
      <c r="AF50" s="500">
        <f t="shared" ref="AF50" ca="1" si="83">(($L50&gt;$N50)+($O50&gt;$Q50)+($R50&gt;$T50)*AE50)*AD50</f>
        <v>0</v>
      </c>
      <c r="AG50" s="500">
        <f t="shared" ref="AG50" ca="1" si="84">(($L50&lt;$N50)+($O50&lt;$Q50)+($R50&lt;$T50)*AE50)*AD50</f>
        <v>2</v>
      </c>
      <c r="AH50" s="315"/>
      <c r="AI50" s="500" t="b">
        <f>AND($AA$10,OR(AND($L50&lt;&gt;"",$L50=$N50),AND($O50&lt;&gt;"",$O50=$Q50)))</f>
        <v>0</v>
      </c>
      <c r="AJ50" s="500" t="b">
        <f>AND($AA$10,$R50&lt;&gt;"",$T50&lt;&gt;"",$R50=$T50,$AC50)</f>
        <v>0</v>
      </c>
      <c r="AL50" s="47" t="b">
        <f t="shared" ref="AL50" ca="1" si="85">AND($L50&lt;&gt;"",$N50&lt;&gt;"",$I50&lt;&gt;"",$K50&lt;&gt;"",$I50&lt;&gt;$K50)</f>
        <v>1</v>
      </c>
      <c r="AM50" s="47" t="b">
        <f t="shared" ref="AM50" ca="1" si="86">AND($O50&lt;&gt;"",$Q50&lt;&gt;"",$I50&lt;&gt;"",$K50&lt;&gt;"",$I50&lt;&gt;$K50)</f>
        <v>1</v>
      </c>
      <c r="AN50" s="47" t="b">
        <f t="shared" ref="AN50" ca="1" si="87">AND($R50&lt;&gt;"",$T50&lt;&gt;"",$I50&lt;&gt;"",$K50&lt;&gt;"",$I50&lt;&gt;$K50)</f>
        <v>0</v>
      </c>
      <c r="AO50" s="47">
        <f ca="1">(($L50&gt;$N50)+($L50=$N50)*0.5)*$AL50+(($O50&gt;$Q50)+($O50=$Q50)*0.5)*$AM50+(($R50&gt;$T50)+($R50=$T50)*0.5)*$AN50</f>
        <v>0</v>
      </c>
      <c r="AP50" s="47">
        <f ca="1">(($L50&lt;$N50)+($L50=$N50)*0.5)*$AL50+(($O50&lt;$Q50)+($O50=$Q50)*0.5)*$AM50+(($R50&lt;$T50)+($R50=$T50)*0.5)*$AN50</f>
        <v>2</v>
      </c>
      <c r="AR50" s="47">
        <f t="shared" ref="AR50" ca="1" si="88">IF($AA$10,$AF50,$AO50)</f>
        <v>0</v>
      </c>
      <c r="AS50" s="47">
        <f t="shared" ref="AS50" ca="1" si="89">IF($AA$10,$AG50,$AP50)</f>
        <v>2</v>
      </c>
    </row>
    <row r="51" spans="2:45" ht="24" customHeight="1" thickTop="1" thickBot="1" x14ac:dyDescent="0.25">
      <c r="C51" s="520"/>
      <c r="D51" s="520"/>
      <c r="E51" s="520"/>
      <c r="F51" s="520"/>
      <c r="G51" s="520"/>
      <c r="H51" s="520"/>
      <c r="I51" s="520"/>
      <c r="J51" s="520"/>
      <c r="K51" s="520"/>
      <c r="L51" s="520"/>
      <c r="M51" s="520"/>
      <c r="N51" s="520"/>
      <c r="O51" s="520"/>
      <c r="P51" s="520"/>
      <c r="Q51" s="520"/>
      <c r="R51" s="613"/>
      <c r="S51" s="613"/>
      <c r="T51" s="613"/>
      <c r="U51" s="613"/>
      <c r="V51" s="519"/>
      <c r="X51" s="393" t="s">
        <v>320</v>
      </c>
      <c r="Y51" s="452" t="str">
        <f ca="1">IF(Vorrunde!$X$42="","",Vorrunde!$X$42)</f>
        <v>TSG Saalberg eV</v>
      </c>
      <c r="Z51" s="270"/>
      <c r="AA51" s="614"/>
      <c r="AB51" s="614"/>
    </row>
    <row r="52" spans="2:45" ht="24" customHeight="1" thickTop="1" x14ac:dyDescent="0.2">
      <c r="C52" s="941" t="str">
        <f>Sprache!$E$29</f>
        <v>Turnierende:</v>
      </c>
      <c r="D52" s="941"/>
      <c r="E52" s="941"/>
      <c r="F52" s="941"/>
      <c r="G52" s="941"/>
      <c r="H52" s="941"/>
      <c r="I52" s="941"/>
      <c r="J52" s="942">
        <f ca="1">IF(Planung!$S$13="","",$D$50+Planung!$S$7/1440)</f>
        <v>0.78472222222222232</v>
      </c>
      <c r="K52" s="942"/>
      <c r="L52" s="942"/>
      <c r="M52" s="942"/>
      <c r="N52" s="942"/>
      <c r="O52" s="942"/>
      <c r="P52" s="942"/>
      <c r="Q52" s="942"/>
      <c r="R52" s="942"/>
      <c r="S52" s="942"/>
      <c r="T52" s="942"/>
      <c r="U52" s="942"/>
      <c r="V52" s="942"/>
      <c r="Y52" s="584">
        <f t="array" aca="1" ref="Y52" ca="1">SUM((Y48:Y51&lt;&gt;"")*1)</f>
        <v>4</v>
      </c>
      <c r="Z52" s="270"/>
    </row>
    <row r="53" spans="2:45" ht="24" customHeight="1" thickBot="1" x14ac:dyDescent="0.25">
      <c r="L53" s="518"/>
      <c r="M53" s="518"/>
      <c r="Z53" s="446"/>
    </row>
    <row r="54" spans="2:45" ht="24" customHeight="1" thickBot="1" x14ac:dyDescent="0.25">
      <c r="F54" s="947" t="str">
        <f>Sprache!$E$117</f>
        <v>Rang</v>
      </c>
      <c r="G54" s="948"/>
      <c r="H54" s="948"/>
      <c r="I54" s="955" t="str">
        <f>Sprache!$E$10</f>
        <v>Teilnehmer bzw. Mannschaft</v>
      </c>
      <c r="J54" s="955"/>
      <c r="K54" s="956"/>
      <c r="L54" s="530"/>
      <c r="M54" s="530"/>
      <c r="N54" s="167"/>
      <c r="O54" s="167"/>
      <c r="P54" s="531"/>
      <c r="Q54" s="167"/>
      <c r="R54" s="167"/>
      <c r="S54" s="167"/>
      <c r="T54" s="167"/>
      <c r="U54" s="167"/>
      <c r="V54" s="167"/>
      <c r="Z54" s="446"/>
    </row>
    <row r="55" spans="2:45" ht="24" customHeight="1" thickTop="1" x14ac:dyDescent="0.2">
      <c r="F55" s="949">
        <v>1</v>
      </c>
      <c r="G55" s="950"/>
      <c r="H55" s="950"/>
      <c r="I55" s="957" t="str">
        <f ca="1">$AA$50</f>
        <v>TSG Saalberg eV</v>
      </c>
      <c r="J55" s="957"/>
      <c r="K55" s="958"/>
      <c r="L55" s="530"/>
      <c r="M55" s="530"/>
      <c r="N55" s="167"/>
      <c r="O55" s="167"/>
      <c r="P55" s="531"/>
      <c r="Q55" s="167"/>
      <c r="R55" s="167"/>
      <c r="S55" s="167"/>
      <c r="T55" s="167"/>
      <c r="U55" s="167"/>
      <c r="V55" s="167"/>
      <c r="Z55" s="446"/>
    </row>
    <row r="56" spans="2:45" ht="24" customHeight="1" x14ac:dyDescent="0.2">
      <c r="F56" s="951">
        <v>2</v>
      </c>
      <c r="G56" s="952"/>
      <c r="H56" s="952"/>
      <c r="I56" s="959" t="str">
        <f ca="1">$AB$50</f>
        <v>Eintracht Frankfurt</v>
      </c>
      <c r="J56" s="959"/>
      <c r="K56" s="960"/>
      <c r="L56" s="530"/>
      <c r="M56" s="530"/>
      <c r="N56" s="167"/>
      <c r="O56" s="167"/>
      <c r="P56" s="531"/>
      <c r="Q56" s="167"/>
      <c r="R56" s="167"/>
      <c r="S56" s="167"/>
      <c r="T56" s="167"/>
      <c r="U56" s="167"/>
      <c r="V56" s="167"/>
      <c r="Z56" s="272"/>
    </row>
    <row r="57" spans="2:45" ht="24" customHeight="1" x14ac:dyDescent="0.2">
      <c r="F57" s="953">
        <v>3</v>
      </c>
      <c r="G57" s="954"/>
      <c r="H57" s="954"/>
      <c r="I57" s="961" t="str">
        <f ca="1">$AA$47</f>
        <v>Inter Mailand</v>
      </c>
      <c r="J57" s="961"/>
      <c r="K57" s="962"/>
      <c r="L57" s="530"/>
      <c r="M57" s="530"/>
      <c r="N57" s="167"/>
      <c r="O57" s="167"/>
      <c r="P57" s="531"/>
      <c r="Q57" s="167"/>
      <c r="R57" s="167"/>
      <c r="S57" s="167"/>
      <c r="T57" s="167"/>
      <c r="U57" s="167"/>
      <c r="V57" s="167"/>
      <c r="Z57" s="272"/>
    </row>
    <row r="58" spans="2:45" ht="24" customHeight="1" x14ac:dyDescent="0.2">
      <c r="F58" s="943">
        <v>4</v>
      </c>
      <c r="G58" s="944"/>
      <c r="H58" s="944"/>
      <c r="I58" s="937" t="str">
        <f ca="1">$AB$47</f>
        <v>Real Madrid</v>
      </c>
      <c r="J58" s="937"/>
      <c r="K58" s="938"/>
      <c r="L58" s="530"/>
      <c r="M58" s="530"/>
      <c r="N58" s="167"/>
      <c r="O58" s="167"/>
      <c r="P58" s="531"/>
      <c r="Q58" s="167"/>
      <c r="R58" s="167"/>
      <c r="S58" s="167"/>
      <c r="T58" s="167"/>
      <c r="U58" s="167"/>
      <c r="V58" s="167"/>
      <c r="Z58" s="272"/>
    </row>
    <row r="59" spans="2:45" ht="24" customHeight="1" x14ac:dyDescent="0.2">
      <c r="F59" s="943">
        <v>5</v>
      </c>
      <c r="G59" s="944"/>
      <c r="H59" s="944"/>
      <c r="I59" s="937" t="str">
        <f ca="1">$AA$44</f>
        <v>FC Barcelona</v>
      </c>
      <c r="J59" s="937"/>
      <c r="K59" s="938"/>
      <c r="L59" s="530"/>
      <c r="M59" s="530"/>
      <c r="N59" s="167"/>
      <c r="O59" s="167"/>
      <c r="P59" s="531"/>
      <c r="Q59" s="167"/>
      <c r="R59" s="167"/>
      <c r="S59" s="167"/>
      <c r="T59" s="167"/>
      <c r="U59" s="167"/>
      <c r="V59" s="167"/>
      <c r="Z59" s="272"/>
    </row>
    <row r="60" spans="2:45" ht="24" customHeight="1" x14ac:dyDescent="0.25">
      <c r="C60" s="472"/>
      <c r="F60" s="943">
        <v>6</v>
      </c>
      <c r="G60" s="944"/>
      <c r="H60" s="944"/>
      <c r="I60" s="937" t="str">
        <f ca="1">$AB$44</f>
        <v>Manchester City</v>
      </c>
      <c r="J60" s="937"/>
      <c r="K60" s="938"/>
      <c r="L60" s="530"/>
      <c r="M60" s="530"/>
      <c r="N60" s="461"/>
      <c r="O60" s="462"/>
      <c r="P60" s="462"/>
      <c r="Q60" s="462"/>
      <c r="R60" s="462"/>
      <c r="S60" s="462"/>
      <c r="T60" s="462"/>
      <c r="U60" s="462"/>
      <c r="V60" s="462"/>
      <c r="Y60" s="167"/>
      <c r="Z60" s="272"/>
    </row>
    <row r="61" spans="2:45" ht="24" customHeight="1" x14ac:dyDescent="0.25">
      <c r="C61" s="472"/>
      <c r="F61" s="943">
        <v>7</v>
      </c>
      <c r="G61" s="944"/>
      <c r="H61" s="944"/>
      <c r="I61" s="937" t="str">
        <f ca="1">$AA$43</f>
        <v>Paris St. Germain</v>
      </c>
      <c r="J61" s="937"/>
      <c r="K61" s="938"/>
      <c r="L61" s="530"/>
      <c r="M61" s="530"/>
      <c r="N61" s="461"/>
      <c r="O61" s="462"/>
      <c r="P61" s="462"/>
      <c r="Q61" s="462"/>
      <c r="R61" s="462"/>
      <c r="S61" s="462"/>
      <c r="T61" s="462"/>
      <c r="U61" s="462"/>
      <c r="V61" s="462"/>
      <c r="Y61" s="167"/>
      <c r="Z61" s="272"/>
    </row>
    <row r="62" spans="2:45" ht="24" customHeight="1" x14ac:dyDescent="0.25">
      <c r="C62" s="472"/>
      <c r="F62" s="943">
        <v>8</v>
      </c>
      <c r="G62" s="944"/>
      <c r="H62" s="944"/>
      <c r="I62" s="937" t="str">
        <f ca="1">$AB$43</f>
        <v>Kickers Rodendorf</v>
      </c>
      <c r="J62" s="937"/>
      <c r="K62" s="938"/>
      <c r="L62" s="530"/>
      <c r="M62" s="530"/>
      <c r="N62" s="461"/>
      <c r="O62" s="462"/>
      <c r="P62" s="462"/>
      <c r="Q62" s="462"/>
      <c r="R62" s="462"/>
      <c r="S62" s="462"/>
      <c r="T62" s="462"/>
      <c r="U62" s="462"/>
      <c r="V62" s="462"/>
      <c r="Y62" s="167"/>
      <c r="Z62" s="447"/>
    </row>
    <row r="63" spans="2:45" ht="24" customHeight="1" x14ac:dyDescent="0.25">
      <c r="C63" s="472"/>
      <c r="F63" s="943">
        <v>9</v>
      </c>
      <c r="G63" s="944"/>
      <c r="H63" s="944"/>
      <c r="I63" s="937" t="str">
        <f ca="1">$AA$40</f>
        <v>Borussia Dortmund</v>
      </c>
      <c r="J63" s="937"/>
      <c r="K63" s="938"/>
      <c r="L63" s="530"/>
      <c r="M63" s="530"/>
      <c r="N63" s="461"/>
      <c r="O63" s="462"/>
      <c r="P63" s="462"/>
      <c r="Q63" s="462"/>
      <c r="R63" s="462"/>
      <c r="S63" s="462"/>
      <c r="T63" s="462"/>
      <c r="U63" s="462"/>
      <c r="V63" s="462"/>
      <c r="X63" s="395"/>
      <c r="Y63" s="423"/>
      <c r="Z63" s="447"/>
    </row>
    <row r="64" spans="2:45" ht="24" customHeight="1" x14ac:dyDescent="0.25">
      <c r="C64" s="472"/>
      <c r="F64" s="943">
        <v>10</v>
      </c>
      <c r="G64" s="944"/>
      <c r="H64" s="944"/>
      <c r="I64" s="937" t="str">
        <f ca="1">$AB$40</f>
        <v>RB Leipzig</v>
      </c>
      <c r="J64" s="937"/>
      <c r="K64" s="938"/>
      <c r="L64" s="530"/>
      <c r="M64" s="530"/>
      <c r="N64" s="461"/>
      <c r="O64" s="462"/>
      <c r="P64" s="462"/>
      <c r="Q64" s="462"/>
      <c r="R64" s="462"/>
      <c r="S64" s="462"/>
      <c r="T64" s="462"/>
      <c r="U64" s="462"/>
      <c r="V64" s="462"/>
      <c r="X64" s="395"/>
      <c r="Y64" s="423"/>
      <c r="Z64" s="270"/>
    </row>
    <row r="65" spans="3:27" ht="24" customHeight="1" x14ac:dyDescent="0.25">
      <c r="C65" s="472"/>
      <c r="F65" s="943">
        <v>11</v>
      </c>
      <c r="G65" s="944"/>
      <c r="H65" s="944"/>
      <c r="I65" s="937" t="str">
        <f ca="1">$AA$39</f>
        <v>1. FC Riedwald</v>
      </c>
      <c r="J65" s="937"/>
      <c r="K65" s="938"/>
      <c r="L65" s="530"/>
      <c r="M65" s="530"/>
      <c r="N65" s="461"/>
      <c r="O65" s="462"/>
      <c r="P65" s="462"/>
      <c r="Q65" s="462"/>
      <c r="R65" s="462"/>
      <c r="S65" s="462"/>
      <c r="T65" s="462"/>
      <c r="U65" s="462"/>
      <c r="V65" s="462"/>
      <c r="Y65" s="167"/>
      <c r="Z65" s="446"/>
    </row>
    <row r="66" spans="3:27" ht="24" customHeight="1" x14ac:dyDescent="0.25">
      <c r="C66" s="472"/>
      <c r="F66" s="943">
        <v>12</v>
      </c>
      <c r="G66" s="944"/>
      <c r="H66" s="944"/>
      <c r="I66" s="937" t="str">
        <f ca="1">$AB$39</f>
        <v>Mainz 05</v>
      </c>
      <c r="J66" s="937"/>
      <c r="K66" s="938"/>
      <c r="L66" s="530"/>
      <c r="M66" s="530"/>
      <c r="N66" s="461"/>
      <c r="O66" s="462"/>
      <c r="P66" s="462"/>
      <c r="Q66" s="462"/>
      <c r="R66" s="462"/>
      <c r="S66" s="462"/>
      <c r="T66" s="462"/>
      <c r="U66" s="462"/>
      <c r="V66" s="462"/>
      <c r="Y66" s="167"/>
      <c r="Z66" s="272"/>
    </row>
    <row r="67" spans="3:27" ht="24" customHeight="1" x14ac:dyDescent="0.2">
      <c r="F67" s="943">
        <v>13</v>
      </c>
      <c r="G67" s="944"/>
      <c r="H67" s="944"/>
      <c r="I67" s="937" t="str">
        <f ca="1">$AA$36</f>
        <v>VFB Essenheim</v>
      </c>
      <c r="J67" s="937"/>
      <c r="K67" s="938"/>
      <c r="L67" s="530"/>
      <c r="M67" s="530"/>
      <c r="N67" s="167"/>
      <c r="O67" s="167"/>
      <c r="P67" s="531"/>
      <c r="Q67" s="167"/>
      <c r="R67" s="167"/>
      <c r="S67" s="167"/>
      <c r="T67" s="167"/>
      <c r="U67" s="167"/>
      <c r="V67" s="167"/>
      <c r="Y67" s="167"/>
      <c r="Z67" s="272"/>
    </row>
    <row r="68" spans="3:27" ht="24" customHeight="1" x14ac:dyDescent="0.2">
      <c r="F68" s="943">
        <v>14</v>
      </c>
      <c r="G68" s="944"/>
      <c r="H68" s="944"/>
      <c r="I68" s="937" t="str">
        <f ca="1">$AB$36</f>
        <v>HSV</v>
      </c>
      <c r="J68" s="937"/>
      <c r="K68" s="938"/>
      <c r="L68" s="530"/>
      <c r="M68" s="530"/>
      <c r="N68" s="167"/>
      <c r="O68" s="167"/>
      <c r="P68" s="531"/>
      <c r="Q68" s="167"/>
      <c r="R68" s="167"/>
      <c r="S68" s="167"/>
      <c r="T68" s="167"/>
      <c r="U68" s="167"/>
      <c r="V68" s="167"/>
      <c r="Z68" s="272"/>
    </row>
    <row r="69" spans="3:27" ht="24" customHeight="1" x14ac:dyDescent="0.2">
      <c r="F69" s="943">
        <v>15</v>
      </c>
      <c r="G69" s="944"/>
      <c r="H69" s="944"/>
      <c r="I69" s="937" t="str">
        <f ca="1">$AA$35</f>
        <v>FSV Rauen</v>
      </c>
      <c r="J69" s="937"/>
      <c r="K69" s="938"/>
      <c r="L69" s="530"/>
      <c r="M69" s="530"/>
      <c r="N69" s="167"/>
      <c r="O69" s="167"/>
      <c r="P69" s="531"/>
      <c r="Q69" s="167"/>
      <c r="R69" s="167"/>
      <c r="S69" s="167"/>
      <c r="T69" s="167"/>
      <c r="U69" s="167"/>
      <c r="V69" s="167"/>
      <c r="Z69" s="272"/>
    </row>
    <row r="70" spans="3:27" ht="24" customHeight="1" x14ac:dyDescent="0.2">
      <c r="F70" s="943">
        <v>16</v>
      </c>
      <c r="G70" s="944"/>
      <c r="H70" s="944"/>
      <c r="I70" s="937" t="str">
        <f ca="1">$AB$35</f>
        <v>SSV Wildbach</v>
      </c>
      <c r="J70" s="937"/>
      <c r="K70" s="938"/>
      <c r="L70" s="530"/>
      <c r="M70" s="530"/>
      <c r="N70" s="167"/>
      <c r="O70" s="167"/>
      <c r="P70" s="531"/>
      <c r="Q70" s="167"/>
      <c r="R70" s="167"/>
      <c r="S70" s="167"/>
      <c r="T70" s="167"/>
      <c r="U70" s="167"/>
      <c r="V70" s="167"/>
      <c r="Z70" s="447"/>
    </row>
    <row r="71" spans="3:27" ht="24" customHeight="1" x14ac:dyDescent="0.2">
      <c r="F71" s="943">
        <v>17</v>
      </c>
      <c r="G71" s="944"/>
      <c r="H71" s="944"/>
      <c r="I71" s="937" t="str">
        <f ca="1">$AA$32</f>
        <v>1. FC Nürnberg</v>
      </c>
      <c r="J71" s="937"/>
      <c r="K71" s="938"/>
      <c r="L71" s="530"/>
      <c r="M71" s="530"/>
      <c r="N71" s="167"/>
      <c r="O71" s="167"/>
      <c r="P71" s="531"/>
      <c r="Q71" s="167"/>
      <c r="R71" s="167"/>
      <c r="S71" s="167"/>
      <c r="T71" s="167"/>
      <c r="U71" s="167"/>
      <c r="V71" s="167"/>
      <c r="Z71" s="447"/>
    </row>
    <row r="72" spans="3:27" ht="24" customHeight="1" x14ac:dyDescent="0.2">
      <c r="F72" s="943">
        <v>18</v>
      </c>
      <c r="G72" s="944"/>
      <c r="H72" s="944"/>
      <c r="I72" s="937" t="str">
        <f ca="1">$AB$32</f>
        <v>FC Grönlingen</v>
      </c>
      <c r="J72" s="937"/>
      <c r="K72" s="938"/>
      <c r="L72" s="530"/>
      <c r="M72" s="530"/>
      <c r="N72" s="167"/>
      <c r="O72" s="167"/>
      <c r="P72" s="531"/>
      <c r="Q72" s="167"/>
      <c r="R72" s="167"/>
      <c r="S72" s="167"/>
      <c r="T72" s="167"/>
      <c r="U72" s="167"/>
      <c r="V72" s="167"/>
      <c r="Z72" s="270"/>
      <c r="AA72" s="270"/>
    </row>
    <row r="73" spans="3:27" ht="24" customHeight="1" x14ac:dyDescent="0.2">
      <c r="F73" s="943">
        <v>19</v>
      </c>
      <c r="G73" s="944"/>
      <c r="H73" s="944"/>
      <c r="I73" s="937" t="str">
        <f ca="1">$AA$31</f>
        <v>Maibach 1822 eV</v>
      </c>
      <c r="J73" s="937"/>
      <c r="K73" s="938"/>
      <c r="L73" s="530"/>
      <c r="M73" s="530"/>
      <c r="N73" s="167"/>
      <c r="O73" s="167"/>
      <c r="P73" s="531"/>
      <c r="Q73" s="167"/>
      <c r="R73" s="167"/>
      <c r="S73" s="167"/>
      <c r="T73" s="167"/>
      <c r="U73" s="167"/>
      <c r="V73" s="167"/>
    </row>
    <row r="74" spans="3:27" ht="24" customHeight="1" x14ac:dyDescent="0.2">
      <c r="F74" s="943">
        <v>20</v>
      </c>
      <c r="G74" s="944"/>
      <c r="H74" s="944"/>
      <c r="I74" s="937" t="str">
        <f ca="1">$AB$31</f>
        <v>SV Oberredenburg</v>
      </c>
      <c r="J74" s="937"/>
      <c r="K74" s="938"/>
      <c r="L74" s="530"/>
      <c r="M74" s="530"/>
      <c r="N74" s="167"/>
      <c r="O74" s="167"/>
      <c r="P74" s="531"/>
      <c r="Q74" s="167"/>
      <c r="R74" s="167"/>
      <c r="S74" s="167"/>
      <c r="T74" s="167"/>
      <c r="U74" s="167"/>
      <c r="V74" s="167"/>
    </row>
    <row r="75" spans="3:27" ht="24" customHeight="1" x14ac:dyDescent="0.2">
      <c r="F75" s="943">
        <v>21</v>
      </c>
      <c r="G75" s="944"/>
      <c r="H75" s="944"/>
      <c r="I75" s="937" t="str">
        <f ca="1">$AA$28</f>
        <v/>
      </c>
      <c r="J75" s="937"/>
      <c r="K75" s="938"/>
      <c r="L75" s="530"/>
      <c r="M75" s="530"/>
      <c r="N75" s="167"/>
      <c r="O75" s="167"/>
      <c r="P75" s="531"/>
      <c r="Q75" s="167"/>
      <c r="R75" s="167"/>
      <c r="S75" s="167"/>
      <c r="T75" s="167"/>
      <c r="U75" s="167"/>
      <c r="V75" s="167"/>
    </row>
    <row r="76" spans="3:27" ht="24" customHeight="1" x14ac:dyDescent="0.2">
      <c r="F76" s="943">
        <v>22</v>
      </c>
      <c r="G76" s="944"/>
      <c r="H76" s="944"/>
      <c r="I76" s="937" t="str">
        <f ca="1">$AB$28</f>
        <v/>
      </c>
      <c r="J76" s="937"/>
      <c r="K76" s="938"/>
      <c r="L76" s="530"/>
      <c r="M76" s="530"/>
      <c r="N76" s="167"/>
      <c r="O76" s="167"/>
      <c r="P76" s="531"/>
      <c r="Q76" s="167"/>
      <c r="R76" s="167"/>
      <c r="S76" s="167"/>
      <c r="T76" s="167"/>
      <c r="U76" s="167"/>
      <c r="V76" s="167"/>
    </row>
    <row r="77" spans="3:27" ht="24" customHeight="1" x14ac:dyDescent="0.2">
      <c r="F77" s="943">
        <v>23</v>
      </c>
      <c r="G77" s="944"/>
      <c r="H77" s="944"/>
      <c r="I77" s="937" t="str">
        <f ca="1">$AA$27</f>
        <v/>
      </c>
      <c r="J77" s="937"/>
      <c r="K77" s="938"/>
      <c r="L77" s="530"/>
      <c r="M77" s="530"/>
      <c r="N77" s="167"/>
      <c r="O77" s="167"/>
      <c r="P77" s="531"/>
      <c r="Q77" s="167"/>
      <c r="R77" s="167"/>
      <c r="S77" s="167"/>
      <c r="T77" s="167"/>
      <c r="U77" s="167"/>
      <c r="V77" s="167"/>
    </row>
    <row r="78" spans="3:27" ht="24" customHeight="1" thickBot="1" x14ac:dyDescent="0.25">
      <c r="F78" s="945">
        <v>24</v>
      </c>
      <c r="G78" s="946"/>
      <c r="H78" s="946"/>
      <c r="I78" s="939" t="str">
        <f ca="1">$AB$27</f>
        <v/>
      </c>
      <c r="J78" s="939"/>
      <c r="K78" s="940"/>
      <c r="L78" s="167"/>
      <c r="M78" s="167"/>
      <c r="N78" s="167"/>
      <c r="O78" s="167"/>
      <c r="P78" s="531"/>
      <c r="Q78" s="167"/>
      <c r="R78" s="167"/>
      <c r="S78" s="167"/>
      <c r="T78" s="167"/>
      <c r="U78" s="167"/>
      <c r="V78" s="167"/>
    </row>
    <row r="79" spans="3:27" ht="24" customHeight="1" thickTop="1" x14ac:dyDescent="0.2"/>
    <row r="80" spans="3:27" x14ac:dyDescent="0.2"/>
    <row r="81" x14ac:dyDescent="0.2"/>
  </sheetData>
  <sheetProtection sheet="1" selectLockedCells="1"/>
  <mergeCells count="104">
    <mergeCell ref="AO11:AP11"/>
    <mergeCell ref="AR11:AS11"/>
    <mergeCell ref="AC10:AG10"/>
    <mergeCell ref="AI10:AJ10"/>
    <mergeCell ref="AL10:AP10"/>
    <mergeCell ref="F2:W2"/>
    <mergeCell ref="F3:W3"/>
    <mergeCell ref="F4:W4"/>
    <mergeCell ref="F5:W5"/>
    <mergeCell ref="J7:T8"/>
    <mergeCell ref="R49:T49"/>
    <mergeCell ref="L49:N49"/>
    <mergeCell ref="O49:Q49"/>
    <mergeCell ref="V10:V11"/>
    <mergeCell ref="O11:Q11"/>
    <mergeCell ref="O26:Q26"/>
    <mergeCell ref="L26:N26"/>
    <mergeCell ref="L30:N30"/>
    <mergeCell ref="O30:Q30"/>
    <mergeCell ref="O34:Q34"/>
    <mergeCell ref="L38:N38"/>
    <mergeCell ref="O38:Q38"/>
    <mergeCell ref="L42:N42"/>
    <mergeCell ref="O42:Q42"/>
    <mergeCell ref="R11:T11"/>
    <mergeCell ref="R26:T26"/>
    <mergeCell ref="C26:H26"/>
    <mergeCell ref="L34:N34"/>
    <mergeCell ref="X39:Y39"/>
    <mergeCell ref="X46:Y46"/>
    <mergeCell ref="L46:N46"/>
    <mergeCell ref="O46:Q46"/>
    <mergeCell ref="R34:T34"/>
    <mergeCell ref="R38:T38"/>
    <mergeCell ref="R42:T42"/>
    <mergeCell ref="R46:T46"/>
    <mergeCell ref="I76:K76"/>
    <mergeCell ref="C10:D10"/>
    <mergeCell ref="X18:Y18"/>
    <mergeCell ref="X11:Y11"/>
    <mergeCell ref="X25:Y25"/>
    <mergeCell ref="X32:Y32"/>
    <mergeCell ref="F11:H11"/>
    <mergeCell ref="I11:K11"/>
    <mergeCell ref="L11:N11"/>
    <mergeCell ref="C49:H49"/>
    <mergeCell ref="C46:H46"/>
    <mergeCell ref="C42:H42"/>
    <mergeCell ref="C38:H38"/>
    <mergeCell ref="C34:H34"/>
    <mergeCell ref="C30:H30"/>
    <mergeCell ref="R30:T30"/>
    <mergeCell ref="I71:K71"/>
    <mergeCell ref="I72:K72"/>
    <mergeCell ref="I73:K73"/>
    <mergeCell ref="I74:K74"/>
    <mergeCell ref="I75:K75"/>
    <mergeCell ref="I68:K68"/>
    <mergeCell ref="I69:K69"/>
    <mergeCell ref="I70:K70"/>
    <mergeCell ref="F54:H54"/>
    <mergeCell ref="F55:H55"/>
    <mergeCell ref="F56:H56"/>
    <mergeCell ref="F57:H57"/>
    <mergeCell ref="F58:H58"/>
    <mergeCell ref="F68:H68"/>
    <mergeCell ref="I63:K63"/>
    <mergeCell ref="I54:K54"/>
    <mergeCell ref="I55:K55"/>
    <mergeCell ref="I56:K56"/>
    <mergeCell ref="I57:K57"/>
    <mergeCell ref="I58:K58"/>
    <mergeCell ref="F59:H59"/>
    <mergeCell ref="F76:H76"/>
    <mergeCell ref="F77:H77"/>
    <mergeCell ref="F78:H78"/>
    <mergeCell ref="F69:H69"/>
    <mergeCell ref="F70:H70"/>
    <mergeCell ref="F71:H71"/>
    <mergeCell ref="F72:H72"/>
    <mergeCell ref="F73:H73"/>
    <mergeCell ref="F60:H60"/>
    <mergeCell ref="F61:H61"/>
    <mergeCell ref="F62:H62"/>
    <mergeCell ref="F63:H63"/>
    <mergeCell ref="I59:K59"/>
    <mergeCell ref="I60:K60"/>
    <mergeCell ref="I61:K61"/>
    <mergeCell ref="I62:K62"/>
    <mergeCell ref="AF11:AG11"/>
    <mergeCell ref="I77:K77"/>
    <mergeCell ref="I78:K78"/>
    <mergeCell ref="C52:I52"/>
    <mergeCell ref="J52:V52"/>
    <mergeCell ref="I64:K64"/>
    <mergeCell ref="I65:K65"/>
    <mergeCell ref="I66:K66"/>
    <mergeCell ref="I67:K67"/>
    <mergeCell ref="F74:H74"/>
    <mergeCell ref="F75:H75"/>
    <mergeCell ref="F64:H64"/>
    <mergeCell ref="F65:H65"/>
    <mergeCell ref="F66:H66"/>
    <mergeCell ref="F67:H67"/>
  </mergeCells>
  <conditionalFormatting sqref="C27:U28 C31:U32 C35:U36 C39:U40 C43:U44 C47:U47 C50:U50 C12:T13 C14:K23 M14:M23 P14:P23 R14:T23">
    <cfRule type="expression" dxfId="29" priority="8">
      <formula>OR($I12="",$K12="")</formula>
    </cfRule>
  </conditionalFormatting>
  <conditionalFormatting sqref="R12:T23 R27:U28 R31:U32 R35:U36 R39:U40 R43:U44 R47:U47 R50:U50">
    <cfRule type="expression" dxfId="28" priority="6">
      <formula>NOT($AC12)</formula>
    </cfRule>
  </conditionalFormatting>
  <conditionalFormatting sqref="L14:L23">
    <cfRule type="expression" dxfId="27" priority="5">
      <formula>OR($I14="",$K14="")</formula>
    </cfRule>
  </conditionalFormatting>
  <conditionalFormatting sqref="N14:O23">
    <cfRule type="expression" dxfId="26" priority="4">
      <formula>OR($I14="",$K14="")</formula>
    </cfRule>
  </conditionalFormatting>
  <conditionalFormatting sqref="Q14:Q23">
    <cfRule type="expression" dxfId="25" priority="3">
      <formula>OR($I14="",$K14="")</formula>
    </cfRule>
  </conditionalFormatting>
  <conditionalFormatting sqref="L12:Q23 L27:Q28 L31:Q32 L35:Q36 L39:Q40 L43:Q44 L47:Q47 L50:Q50">
    <cfRule type="expression" dxfId="24" priority="2">
      <formula>$AI12</formula>
    </cfRule>
  </conditionalFormatting>
  <conditionalFormatting sqref="R12:T23 R27:T28 R31:T32 R35:T36 R39:T40 R43:T44 R47:T47 R50:T50">
    <cfRule type="expression" dxfId="22" priority="1">
      <formula>$AJ12</formula>
    </cfRule>
  </conditionalFormatting>
  <dataValidations count="1">
    <dataValidation allowBlank="1" showInputMessage="1" showErrorMessage="1" errorTitle="Unzulässige Teilnehmernummer" error="Es müssen Zahlen von 1 bis 9 eingetragen werden!" sqref="H50 F50 H46:H47 F46:F47 H42:H44 F42:F44 F38:F40 H38:H40 H34:H36 F34:F36 F30:F32 F12:F28 H30:H32 H12:H28" xr:uid="{D5B13F29-6FD3-4B89-A2A8-1D3A42BA0B24}"/>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9" id="{15A8FA8E-E6F6-4E25-908B-69E13EC79089}">
            <xm:f>$F55&gt;4*Calc1!$F$14</xm:f>
            <x14:dxf>
              <numFmt numFmtId="165" formatCode=";;;"/>
            </x14:dxf>
          </x14:cfRule>
          <xm:sqref>F55:H78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T34"/>
  <sheetViews>
    <sheetView showGridLines="0" showRowColHeaders="0" workbookViewId="0">
      <selection activeCell="L12" sqref="L12"/>
    </sheetView>
  </sheetViews>
  <sheetFormatPr baseColWidth="10" defaultColWidth="0" defaultRowHeight="12.75" zeroHeight="1" x14ac:dyDescent="0.2"/>
  <cols>
    <col min="1" max="1" width="6.42578125" style="47" customWidth="1"/>
    <col min="2" max="3" width="5.28515625" style="47" customWidth="1"/>
    <col min="4" max="4" width="11.42578125" style="47" customWidth="1"/>
    <col min="5" max="5" width="9.140625" style="47" customWidth="1"/>
    <col min="6" max="6" width="5.7109375" style="47" customWidth="1"/>
    <col min="7" max="7" width="2" style="47" customWidth="1"/>
    <col min="8" max="8" width="5.7109375" style="47" customWidth="1"/>
    <col min="9" max="9" width="28.7109375" style="47" customWidth="1"/>
    <col min="10" max="10" width="2.85546875" style="47" customWidth="1"/>
    <col min="11" max="11" width="28.7109375" style="47" customWidth="1"/>
    <col min="12" max="12" width="4.7109375" style="47" customWidth="1"/>
    <col min="13" max="13" width="2.28515625" style="47" customWidth="1"/>
    <col min="14" max="15" width="4.7109375" style="47" customWidth="1"/>
    <col min="16" max="16" width="2.28515625" style="47" customWidth="1"/>
    <col min="17" max="18" width="4.7109375" style="47" customWidth="1"/>
    <col min="19" max="19" width="2.28515625" style="47" customWidth="1"/>
    <col min="20" max="20" width="4.7109375" style="47" customWidth="1"/>
    <col min="21" max="21" width="15.7109375" style="47" customWidth="1"/>
    <col min="22" max="22" width="8" style="47" customWidth="1"/>
    <col min="23" max="23" width="11.42578125" style="47" customWidth="1"/>
    <col min="24" max="24" width="6.42578125" customWidth="1"/>
    <col min="25" max="25" width="36.7109375" customWidth="1"/>
    <col min="26" max="26" width="6.7109375" customWidth="1"/>
    <col min="27" max="27" width="6.7109375" hidden="1"/>
    <col min="28" max="28" width="20" hidden="1"/>
    <col min="29" max="29" width="17.5703125" hidden="1"/>
    <col min="30" max="30" width="10.28515625" hidden="1"/>
    <col min="31" max="31" width="9.140625" hidden="1"/>
    <col min="32" max="32" width="8.42578125" hidden="1"/>
    <col min="33" max="33" width="4.85546875" hidden="1"/>
    <col min="34" max="34" width="5.28515625" hidden="1"/>
    <col min="35" max="35" width="2.28515625" hidden="1"/>
    <col min="36" max="37" width="11.42578125" hidden="1"/>
    <col min="38" max="38" width="2.5703125" hidden="1"/>
    <col min="39" max="41" width="11.42578125" hidden="1"/>
    <col min="42" max="42" width="4.7109375" hidden="1"/>
    <col min="43" max="43" width="4.5703125" hidden="1"/>
    <col min="44" max="44" width="1.7109375" hidden="1"/>
    <col min="45" max="45" width="5.28515625" hidden="1"/>
    <col min="46" max="46" width="5.140625" hidden="1"/>
    <col min="47" max="16384" width="11.42578125" hidden="1"/>
  </cols>
  <sheetData>
    <row r="1" spans="1:46" ht="13.5" thickBot="1" x14ac:dyDescent="0.25"/>
    <row r="2" spans="1:46" ht="36.75" thickTop="1" x14ac:dyDescent="0.2">
      <c r="H2" s="915" t="str">
        <f>Vorrunde!$H$2</f>
        <v>Internationales U10-Turnier am 27.01.2026</v>
      </c>
      <c r="I2" s="916"/>
      <c r="J2" s="916"/>
      <c r="K2" s="916"/>
      <c r="L2" s="916"/>
      <c r="M2" s="916"/>
      <c r="N2" s="916"/>
      <c r="O2" s="916"/>
      <c r="P2" s="916"/>
      <c r="Q2" s="916"/>
      <c r="R2" s="916"/>
      <c r="S2" s="916"/>
      <c r="T2" s="916"/>
      <c r="U2" s="916"/>
      <c r="V2" s="916"/>
      <c r="W2" s="916"/>
      <c r="X2" s="917"/>
      <c r="Y2" s="723"/>
    </row>
    <row r="3" spans="1:46" ht="30" customHeight="1" x14ac:dyDescent="0.2">
      <c r="H3" s="918" t="str">
        <f>Vorrunde!$H$3</f>
        <v>Veranstalter:  1. FC Riedwald</v>
      </c>
      <c r="I3" s="919"/>
      <c r="J3" s="919"/>
      <c r="K3" s="919"/>
      <c r="L3" s="919"/>
      <c r="M3" s="919"/>
      <c r="N3" s="919"/>
      <c r="O3" s="919"/>
      <c r="P3" s="919"/>
      <c r="Q3" s="919"/>
      <c r="R3" s="919"/>
      <c r="S3" s="919"/>
      <c r="T3" s="919"/>
      <c r="U3" s="919"/>
      <c r="V3" s="919"/>
      <c r="W3" s="919"/>
      <c r="X3" s="920"/>
      <c r="Y3" s="724"/>
    </row>
    <row r="4" spans="1:46" ht="30" customHeight="1" x14ac:dyDescent="0.2">
      <c r="H4" s="921" t="str">
        <f>Vorrunde!$H$4</f>
        <v>Sporthalle Wiesengrund, Wendiger Str. 51, 65432 Riedwald</v>
      </c>
      <c r="I4" s="922"/>
      <c r="J4" s="922"/>
      <c r="K4" s="922"/>
      <c r="L4" s="922"/>
      <c r="M4" s="922"/>
      <c r="N4" s="922"/>
      <c r="O4" s="922"/>
      <c r="P4" s="922"/>
      <c r="Q4" s="922"/>
      <c r="R4" s="922"/>
      <c r="S4" s="922"/>
      <c r="T4" s="922"/>
      <c r="U4" s="922"/>
      <c r="V4" s="922"/>
      <c r="W4" s="922"/>
      <c r="X4" s="923"/>
      <c r="Y4" s="725"/>
    </row>
    <row r="5" spans="1:46" ht="30" customHeight="1" thickBot="1" x14ac:dyDescent="0.25">
      <c r="H5" s="924" t="str">
        <f>Vorrunde!$H$5</f>
        <v>Beginn:  9:00 Uhr</v>
      </c>
      <c r="I5" s="925"/>
      <c r="J5" s="925"/>
      <c r="K5" s="925"/>
      <c r="L5" s="925"/>
      <c r="M5" s="925"/>
      <c r="N5" s="925"/>
      <c r="O5" s="925"/>
      <c r="P5" s="925"/>
      <c r="Q5" s="925"/>
      <c r="R5" s="925"/>
      <c r="S5" s="925"/>
      <c r="T5" s="925"/>
      <c r="U5" s="925"/>
      <c r="V5" s="925"/>
      <c r="W5" s="925"/>
      <c r="X5" s="926"/>
      <c r="Y5" s="725"/>
    </row>
    <row r="6" spans="1:46" ht="18" customHeight="1" thickTop="1" thickBot="1" x14ac:dyDescent="0.25"/>
    <row r="7" spans="1:46" ht="30" customHeight="1" thickTop="1" x14ac:dyDescent="0.9">
      <c r="J7" s="985" t="str">
        <f>Sprache!$E$19</f>
        <v>Endrunde</v>
      </c>
      <c r="K7" s="986"/>
      <c r="L7" s="986"/>
      <c r="M7" s="986"/>
      <c r="N7" s="986"/>
      <c r="O7" s="986"/>
      <c r="P7" s="986"/>
      <c r="Q7" s="986"/>
      <c r="R7" s="986"/>
      <c r="S7" s="986"/>
      <c r="T7" s="987"/>
      <c r="U7" s="565"/>
      <c r="V7" s="729"/>
      <c r="W7" s="729"/>
    </row>
    <row r="8" spans="1:46" ht="30" customHeight="1" thickBot="1" x14ac:dyDescent="0.95">
      <c r="J8" s="988"/>
      <c r="K8" s="989"/>
      <c r="L8" s="989"/>
      <c r="M8" s="989"/>
      <c r="N8" s="989"/>
      <c r="O8" s="989"/>
      <c r="P8" s="989"/>
      <c r="Q8" s="989"/>
      <c r="R8" s="989"/>
      <c r="S8" s="989"/>
      <c r="T8" s="990"/>
      <c r="U8" s="565"/>
      <c r="V8" s="729"/>
      <c r="W8" s="729"/>
    </row>
    <row r="9" spans="1:46" ht="12.6" customHeight="1" thickTop="1" x14ac:dyDescent="0.2">
      <c r="V9" s="852" t="str">
        <f>Sprache!$E$20</f>
        <v>Zusätzl. Pause (min)</v>
      </c>
      <c r="AB9" s="1048" t="s">
        <v>468</v>
      </c>
      <c r="AC9" s="47"/>
      <c r="AD9" s="47"/>
      <c r="AE9" s="47"/>
      <c r="AF9" s="47"/>
      <c r="AG9" s="47"/>
      <c r="AH9" s="47"/>
      <c r="AI9" s="47"/>
      <c r="AJ9" s="47"/>
      <c r="AK9" s="47"/>
      <c r="AL9" s="47"/>
      <c r="AM9" s="47"/>
      <c r="AN9" s="47"/>
      <c r="AO9" s="47"/>
      <c r="AP9" s="47"/>
      <c r="AQ9" s="47"/>
      <c r="AR9" s="47"/>
      <c r="AS9" s="47"/>
      <c r="AT9" s="47"/>
    </row>
    <row r="10" spans="1:46" ht="27.95" customHeight="1" thickBot="1" x14ac:dyDescent="0.35">
      <c r="C10" s="981" t="str">
        <f>Sprache!$E$58</f>
        <v>Viertelfinale</v>
      </c>
      <c r="D10" s="981"/>
      <c r="E10" s="981"/>
      <c r="F10" s="981"/>
      <c r="G10" s="981"/>
      <c r="H10" s="981"/>
      <c r="V10" s="852"/>
      <c r="AB10" s="738" t="b">
        <f>Einstellungen!$B$45=Sprache!$E$90</f>
        <v>1</v>
      </c>
      <c r="AC10" s="47"/>
      <c r="AD10" s="1049" t="s">
        <v>474</v>
      </c>
      <c r="AE10" s="1049"/>
      <c r="AF10" s="1049"/>
      <c r="AG10" s="1049"/>
      <c r="AH10" s="1049"/>
      <c r="AI10" s="47"/>
      <c r="AJ10" s="1050" t="s">
        <v>475</v>
      </c>
      <c r="AK10" s="1050"/>
      <c r="AL10" s="47"/>
      <c r="AM10" s="1049" t="s">
        <v>476</v>
      </c>
      <c r="AN10" s="1049"/>
      <c r="AO10" s="1049"/>
      <c r="AP10" s="1049"/>
      <c r="AQ10" s="1049"/>
      <c r="AR10" s="47"/>
      <c r="AS10" s="47"/>
      <c r="AT10" s="47"/>
    </row>
    <row r="11" spans="1:46" ht="24" customHeight="1" thickTop="1" thickBot="1" x14ac:dyDescent="0.45">
      <c r="B11" s="330"/>
      <c r="C11" s="378" t="str">
        <f>Sprache!$E$9</f>
        <v>Nr.</v>
      </c>
      <c r="D11" s="329" t="str">
        <f>Sprache!$E$39</f>
        <v>Beginn:</v>
      </c>
      <c r="E11" s="322" t="str">
        <f>Sprache!$E$48</f>
        <v>Feld</v>
      </c>
      <c r="F11" s="928"/>
      <c r="G11" s="929"/>
      <c r="H11" s="930"/>
      <c r="I11" s="888" t="str">
        <f>Sprache!$E$14</f>
        <v>Spielpaarung</v>
      </c>
      <c r="J11" s="889"/>
      <c r="K11" s="890"/>
      <c r="L11" s="928" t="str">
        <f>Sprache!$E$72</f>
        <v>1. Satz</v>
      </c>
      <c r="M11" s="929"/>
      <c r="N11" s="930"/>
      <c r="O11" s="928" t="str">
        <f>Sprache!$E$73</f>
        <v>2. Satz</v>
      </c>
      <c r="P11" s="929"/>
      <c r="Q11" s="930"/>
      <c r="R11" s="928" t="str">
        <f>Sprache!$E$75</f>
        <v>3. Satz</v>
      </c>
      <c r="S11" s="929"/>
      <c r="T11" s="931"/>
      <c r="U11" s="687" t="str">
        <f>Sprache!$E$78</f>
        <v>Schiedsrichter</v>
      </c>
      <c r="V11" s="853"/>
      <c r="X11" s="878" t="str">
        <f>Sprache!$E$60</f>
        <v>Gruppenzweite</v>
      </c>
      <c r="Y11" s="878"/>
      <c r="AB11" s="675" t="s">
        <v>409</v>
      </c>
      <c r="AC11" s="675" t="s">
        <v>410</v>
      </c>
      <c r="AD11" s="832" t="s">
        <v>411</v>
      </c>
      <c r="AE11" s="832" t="s">
        <v>412</v>
      </c>
      <c r="AF11" s="832" t="s">
        <v>413</v>
      </c>
      <c r="AG11" s="936" t="s">
        <v>372</v>
      </c>
      <c r="AH11" s="936"/>
      <c r="AI11" s="47"/>
      <c r="AJ11" s="832" t="s">
        <v>469</v>
      </c>
      <c r="AK11" s="832" t="s">
        <v>470</v>
      </c>
      <c r="AL11" s="47"/>
      <c r="AM11" s="832" t="s">
        <v>471</v>
      </c>
      <c r="AN11" s="832" t="s">
        <v>472</v>
      </c>
      <c r="AO11" s="832" t="s">
        <v>413</v>
      </c>
      <c r="AP11" s="936" t="s">
        <v>372</v>
      </c>
      <c r="AQ11" s="936"/>
      <c r="AR11" s="47"/>
      <c r="AS11" s="936" t="s">
        <v>473</v>
      </c>
      <c r="AT11" s="936"/>
    </row>
    <row r="12" spans="1:46" ht="24" customHeight="1" thickTop="1" x14ac:dyDescent="0.2">
      <c r="A12" s="315"/>
      <c r="B12" s="527" t="str">
        <f>Sprache!$E$70&amp;1</f>
        <v>VF 1</v>
      </c>
      <c r="C12" s="370">
        <f t="array" aca="1" ref="C12" ca="1">61-SUM(((Planung!$L$6:$L$65="")+(Planung!$N$6:$N$65="")&gt;0)*1)</f>
        <v>41</v>
      </c>
      <c r="D12" s="373">
        <f ca="1">IF(Planung!$V$15,"",Planung!$S$13+(Planung!$S$9+Planung!$Q$65)/1440)</f>
        <v>0.61805555555555558</v>
      </c>
      <c r="E12" s="354" t="str">
        <f>IF(Planung!$V$15,"","1")</f>
        <v>1</v>
      </c>
      <c r="F12" s="403" t="s">
        <v>264</v>
      </c>
      <c r="G12" s="404" t="s">
        <v>4</v>
      </c>
      <c r="H12" s="405" t="s">
        <v>269</v>
      </c>
      <c r="I12" s="355" t="str">
        <f ca="1">VLOOKUP($F12,$X$13:$Y$23,2,0)</f>
        <v>Eintracht Frankfurt</v>
      </c>
      <c r="J12" s="151" t="s">
        <v>4</v>
      </c>
      <c r="K12" s="356" t="str">
        <f ca="1">VLOOKUP($H12,$X$13:$Y$23,2,0)</f>
        <v>Kickers Rodendorf</v>
      </c>
      <c r="L12" s="357">
        <v>25</v>
      </c>
      <c r="M12" s="358" t="str">
        <f>Sprache!$E$109</f>
        <v xml:space="preserve"> : </v>
      </c>
      <c r="N12" s="359">
        <v>23</v>
      </c>
      <c r="O12" s="357">
        <v>25</v>
      </c>
      <c r="P12" s="671" t="str">
        <f>Sprache!$E$109</f>
        <v xml:space="preserve"> : </v>
      </c>
      <c r="Q12" s="649">
        <v>21</v>
      </c>
      <c r="R12" s="360"/>
      <c r="S12" s="358" t="str">
        <f>Sprache!$E$109</f>
        <v xml:space="preserve"> : </v>
      </c>
      <c r="T12" s="361"/>
      <c r="U12" s="688"/>
      <c r="V12" s="707"/>
      <c r="W12" s="315"/>
      <c r="X12" s="420"/>
      <c r="Y12" s="449" t="str">
        <f>Sprache!$E$10</f>
        <v>Teilnehmer bzw. Mannschaft</v>
      </c>
      <c r="AB12" s="315" t="str">
        <f ca="1">IF(AS12&gt;AT12,$I12,IF(AS12&lt;AT12,$K12,""))</f>
        <v>Eintracht Frankfurt</v>
      </c>
      <c r="AC12" s="315" t="str">
        <f ca="1">IF(AS12&lt;AT12,$I12,IF(AS12&gt;AT12,$K12,""))</f>
        <v>Kickers Rodendorf</v>
      </c>
      <c r="AD12" s="315" t="b">
        <f>OR(NOT($AB$10),AND($L12&lt;&gt;"",$N12&lt;&gt;"",$O12&lt;&gt;"",$Q12&lt;&gt;"",$L12&lt;&gt;$N12,$O12&lt;&gt;$Q12,($L12&gt;$N12)+($O12&gt;$Q12)=1))</f>
        <v>0</v>
      </c>
      <c r="AE12" s="500" t="b">
        <f ca="1">AND($L12&lt;&gt;"",$N12&lt;&gt;"",$L12&lt;&gt;$N12,OR(AND($O12="",$Q12=""),AND($O12&lt;&gt;"",$Q12&lt;&gt;"",$O12&lt;&gt;$Q12)),$I12&lt;&gt;"",$K12&lt;&gt;"",$I12&lt;&gt;$K12)</f>
        <v>1</v>
      </c>
      <c r="AF12" s="315" t="b">
        <f>AND(AD12,$R12&lt;&gt;"",$T12&lt;&gt;"",$R12&lt;&gt;$T12)</f>
        <v>0</v>
      </c>
      <c r="AG12" s="500">
        <f ca="1">(($L12&gt;$N12)+($O12&gt;$Q12)+($R12&gt;$T12)*AF12)*AE12</f>
        <v>2</v>
      </c>
      <c r="AH12" s="500">
        <f ca="1">(($L12&lt;$N12)+($O12&lt;$Q12)+($R12&lt;$T12)*AF12)*AE12</f>
        <v>0</v>
      </c>
      <c r="AI12" s="315"/>
      <c r="AJ12" s="315" t="b">
        <f>AND($AB$10,OR(AND($L12&lt;&gt;"",$L12=$N12),AND($O12&lt;&gt;"",$O12=$Q12)))</f>
        <v>0</v>
      </c>
      <c r="AK12" s="315" t="b">
        <f>AND($AB$10,$R12&lt;&gt;"",$T12&lt;&gt;"",$R12=$T12,$AD12)</f>
        <v>0</v>
      </c>
      <c r="AL12" s="315"/>
      <c r="AM12" s="315" t="b">
        <f ca="1">AND($L12&lt;&gt;"",$N12&lt;&gt;"",$I12&lt;&gt;"",$K12&lt;&gt;"",$I12&lt;&gt;$K12)</f>
        <v>1</v>
      </c>
      <c r="AN12" s="315" t="b">
        <f ca="1">AND($O12&lt;&gt;"",$Q12&lt;&gt;"",$I12&lt;&gt;"",$K12&lt;&gt;"",$I12&lt;&gt;$K12)</f>
        <v>1</v>
      </c>
      <c r="AO12" s="315" t="b">
        <f ca="1">AND($R12&lt;&gt;"",$T12&lt;&gt;"",$I12&lt;&gt;"",$K12&lt;&gt;"",$I12&lt;&gt;$K12)</f>
        <v>0</v>
      </c>
      <c r="AP12" s="500">
        <f ca="1">(($L12&gt;$N12)+($L12=$N12)*0.5)*$AM12+(($O12&gt;$Q12)+($O12=$Q12)*0.5)*$AN12+(($R12&gt;$T12)+($R12=$T12)*0.5)*$AO12</f>
        <v>2</v>
      </c>
      <c r="AQ12" s="500">
        <f ca="1">(($L12&lt;$N12)+($L12=$N12)*0.5)*$AM12+(($O12&lt;$Q12)+($O12=$Q12)*0.5)*$AN12+(($R12&lt;$T12)+($R12=$T12)*0.5)*$AO12</f>
        <v>0</v>
      </c>
      <c r="AR12" s="315"/>
      <c r="AS12" s="500">
        <f ca="1">IF($AB$10,$AG12,$AP12)</f>
        <v>2</v>
      </c>
      <c r="AT12" s="500">
        <f ca="1">IF($AB$10,$AH12,$AQ12)</f>
        <v>0</v>
      </c>
    </row>
    <row r="13" spans="1:46" ht="24" customHeight="1" x14ac:dyDescent="0.2">
      <c r="A13" s="315"/>
      <c r="B13" s="528" t="str">
        <f>Sprache!$E$70&amp;2</f>
        <v>VF 2</v>
      </c>
      <c r="C13" s="371">
        <f t="array" aca="1" ref="C13" ca="1">ROW(62:62)-SUM(((Planung!$L$6:$L$65="")+(Planung!$N$6:$N$65="")&gt;0)*1)-SUM((($I$12:$I12="")+($K$12:$K12="")&gt;0)*1)</f>
        <v>42</v>
      </c>
      <c r="D13" s="374">
        <f t="array" aca="1" ref="D13" ca="1">IF(Planung!$V$15,"",$D$12+QUOTIENT(($C13-$C$12),Planung!$V$11)*(Planung!$S$7+Planung!$S$9)/1440+SUM($V$12:$V12)/1440)</f>
        <v>0.61805555555555558</v>
      </c>
      <c r="E13" s="354">
        <f ca="1">IF(Planung!$V$15,"",MOD($C13-$C$12,Planung!$V$11)+1)</f>
        <v>2</v>
      </c>
      <c r="F13" s="403" t="s">
        <v>265</v>
      </c>
      <c r="G13" s="404" t="s">
        <v>4</v>
      </c>
      <c r="H13" s="405" t="s">
        <v>321</v>
      </c>
      <c r="I13" s="355" t="str">
        <f t="shared" ref="I13:I15" ca="1" si="0">VLOOKUP($F13,$X$13:$Y$23,2,0)</f>
        <v>Inter Mailand</v>
      </c>
      <c r="J13" s="151" t="s">
        <v>4</v>
      </c>
      <c r="K13" s="356" t="str">
        <f t="shared" ref="K13:K15" ca="1" si="1">VLOOKUP($H13,$X$13:$Y$23,2,0)</f>
        <v>Paris St. Germain</v>
      </c>
      <c r="L13" s="323">
        <v>25</v>
      </c>
      <c r="M13" s="325" t="str">
        <f>Sprache!$E$109</f>
        <v xml:space="preserve"> : </v>
      </c>
      <c r="N13" s="316">
        <v>22</v>
      </c>
      <c r="O13" s="323">
        <v>25</v>
      </c>
      <c r="P13" s="643" t="str">
        <f>Sprache!$E$109</f>
        <v xml:space="preserve"> : </v>
      </c>
      <c r="Q13" s="650">
        <v>17</v>
      </c>
      <c r="R13" s="333"/>
      <c r="S13" s="325" t="str">
        <f>Sprache!$E$109</f>
        <v xml:space="preserve"> : </v>
      </c>
      <c r="T13" s="317"/>
      <c r="U13" s="328"/>
      <c r="V13" s="708"/>
      <c r="W13" s="315"/>
      <c r="X13" s="510" t="s">
        <v>267</v>
      </c>
      <c r="Y13" s="450" t="str">
        <f ca="1">IF(Vorrunde!$X$13="","",Vorrunde!$X$13)</f>
        <v>FC Barcelona</v>
      </c>
      <c r="AB13" s="315" t="str">
        <f t="shared" ref="AB13:AB21" ca="1" si="2">IF(AS13&gt;AT13,$I13,IF(AS13&lt;AT13,$K13,""))</f>
        <v>Inter Mailand</v>
      </c>
      <c r="AC13" s="315" t="str">
        <f t="shared" ref="AC13:AC21" ca="1" si="3">IF(AS13&lt;AT13,$I13,IF(AS13&gt;AT13,$K13,""))</f>
        <v>Paris St. Germain</v>
      </c>
      <c r="AD13" s="315" t="b">
        <f t="shared" ref="AD13:AD21" si="4">OR(NOT($AB$10),AND($L13&lt;&gt;"",$N13&lt;&gt;"",$O13&lt;&gt;"",$Q13&lt;&gt;"",$L13&lt;&gt;$N13,$O13&lt;&gt;$Q13,($L13&gt;$N13)+($O13&gt;$Q13)=1))</f>
        <v>0</v>
      </c>
      <c r="AE13" s="500" t="b">
        <f t="shared" ref="AE13:AE21" ca="1" si="5">AND($L13&lt;&gt;"",$N13&lt;&gt;"",$L13&lt;&gt;$N13,OR(AND($O13="",$Q13=""),AND($O13&lt;&gt;"",$Q13&lt;&gt;"",$O13&lt;&gt;$Q13)),$I13&lt;&gt;"",$K13&lt;&gt;"",$I13&lt;&gt;$K13)</f>
        <v>1</v>
      </c>
      <c r="AF13" s="315" t="b">
        <f t="shared" ref="AF13:AF21" si="6">AND(AD13,$R13&lt;&gt;"",$T13&lt;&gt;"",$R13&lt;&gt;$T13)</f>
        <v>0</v>
      </c>
      <c r="AG13" s="500">
        <f t="shared" ref="AG13:AG21" ca="1" si="7">(($L13&gt;$N13)+($O13&gt;$Q13)+($R13&gt;$T13)*AF13)*AE13</f>
        <v>2</v>
      </c>
      <c r="AH13" s="500">
        <f t="shared" ref="AH13:AH21" ca="1" si="8">(($L13&lt;$N13)+($O13&lt;$Q13)+($R13&lt;$T13)*AF13)*AE13</f>
        <v>0</v>
      </c>
      <c r="AI13" s="315"/>
      <c r="AJ13" s="315" t="b">
        <f t="shared" ref="AJ13:AJ21" si="9">AND($AB$10,OR(AND($L13&lt;&gt;"",$L13=$N13),AND($O13&lt;&gt;"",$O13=$Q13)))</f>
        <v>0</v>
      </c>
      <c r="AK13" s="315" t="b">
        <f t="shared" ref="AK13:AK21" si="10">AND($AB$10,$R13&lt;&gt;"",$T13&lt;&gt;"",$R13=$T13,$AD13)</f>
        <v>0</v>
      </c>
      <c r="AL13" s="315"/>
      <c r="AM13" s="315" t="b">
        <f t="shared" ref="AM13:AM21" ca="1" si="11">AND($L13&lt;&gt;"",$N13&lt;&gt;"",$I13&lt;&gt;"",$K13&lt;&gt;"",$I13&lt;&gt;$K13)</f>
        <v>1</v>
      </c>
      <c r="AN13" s="315" t="b">
        <f t="shared" ref="AN13:AN21" ca="1" si="12">AND($O13&lt;&gt;"",$Q13&lt;&gt;"",$I13&lt;&gt;"",$K13&lt;&gt;"",$I13&lt;&gt;$K13)</f>
        <v>1</v>
      </c>
      <c r="AO13" s="315" t="b">
        <f t="shared" ref="AO13:AO21" ca="1" si="13">AND($R13&lt;&gt;"",$T13&lt;&gt;"",$I13&lt;&gt;"",$K13&lt;&gt;"",$I13&lt;&gt;$K13)</f>
        <v>0</v>
      </c>
      <c r="AP13" s="500">
        <f t="shared" ref="AP13:AP21" ca="1" si="14">(($L13&gt;$N13)+($L13=$N13)*0.5)*$AM13+(($O13&gt;$Q13)+($O13=$Q13)*0.5)*$AN13+(($R13&gt;$T13)+($R13=$T13)*0.5)*$AO13</f>
        <v>2</v>
      </c>
      <c r="AQ13" s="500">
        <f t="shared" ref="AQ13:AQ21" ca="1" si="15">(($L13&lt;$N13)+($L13=$N13)*0.5)*$AM13+(($O13&lt;$Q13)+($O13=$Q13)*0.5)*$AN13+(($R13&lt;$T13)+($R13=$T13)*0.5)*$AO13</f>
        <v>0</v>
      </c>
      <c r="AR13" s="315"/>
      <c r="AS13" s="500">
        <f t="shared" ref="AS13:AS21" ca="1" si="16">IF($AB$10,$AG13,$AP13)</f>
        <v>2</v>
      </c>
      <c r="AT13" s="500">
        <f t="shared" ref="AT13:AT21" ca="1" si="17">IF($AB$10,$AH13,$AQ13)</f>
        <v>0</v>
      </c>
    </row>
    <row r="14" spans="1:46" ht="24" customHeight="1" x14ac:dyDescent="0.2">
      <c r="A14" s="315"/>
      <c r="B14" s="528" t="str">
        <f>Sprache!$E$70&amp;3</f>
        <v>VF 3</v>
      </c>
      <c r="C14" s="371">
        <f t="array" aca="1" ref="C14" ca="1">ROW(63:63)-SUM(((Planung!$L$6:$L$65="")+(Planung!$N$6:$N$65="")&gt;0)*1)-SUM((($I$12:$I13="")+($K$12:$K13="")&gt;0)*1)</f>
        <v>43</v>
      </c>
      <c r="D14" s="374">
        <f t="array" aca="1" ref="D14" ca="1">IF(Planung!$V$15,"",$D$12+QUOTIENT(($C14-$C$12),Planung!$V$11)*(Planung!$S$7+Planung!$S$9)/1440+SUM($V$12:$V13)/1440)</f>
        <v>0.61805555555555558</v>
      </c>
      <c r="E14" s="354">
        <f ca="1">IF(Planung!$V$15,"",MOD($C14-$C$12,Planung!$V$11)+1)</f>
        <v>3</v>
      </c>
      <c r="F14" s="403" t="s">
        <v>266</v>
      </c>
      <c r="G14" s="404" t="s">
        <v>4</v>
      </c>
      <c r="H14" s="405" t="s">
        <v>267</v>
      </c>
      <c r="I14" s="355" t="str">
        <f t="shared" ca="1" si="0"/>
        <v>Real Madrid</v>
      </c>
      <c r="J14" s="151" t="s">
        <v>4</v>
      </c>
      <c r="K14" s="356" t="str">
        <f t="shared" ca="1" si="1"/>
        <v>FC Barcelona</v>
      </c>
      <c r="L14" s="323">
        <v>25</v>
      </c>
      <c r="M14" s="325" t="str">
        <f>Sprache!$E$109</f>
        <v xml:space="preserve"> : </v>
      </c>
      <c r="N14" s="316">
        <v>15</v>
      </c>
      <c r="O14" s="323">
        <v>18</v>
      </c>
      <c r="P14" s="643" t="str">
        <f>Sprache!$E$109</f>
        <v xml:space="preserve"> : </v>
      </c>
      <c r="Q14" s="650">
        <v>25</v>
      </c>
      <c r="R14" s="333">
        <v>12</v>
      </c>
      <c r="S14" s="325" t="str">
        <f>Sprache!$E$109</f>
        <v xml:space="preserve"> : </v>
      </c>
      <c r="T14" s="317">
        <v>15</v>
      </c>
      <c r="U14" s="328"/>
      <c r="V14" s="708"/>
      <c r="W14" s="315"/>
      <c r="X14" s="419" t="s">
        <v>268</v>
      </c>
      <c r="Y14" s="451" t="str">
        <f ca="1">IF(Vorrunde!$X$23="","",Vorrunde!$X$23)</f>
        <v>Manchester City</v>
      </c>
      <c r="AB14" s="315" t="str">
        <f t="shared" ca="1" si="2"/>
        <v>FC Barcelona</v>
      </c>
      <c r="AC14" s="315" t="str">
        <f t="shared" ca="1" si="3"/>
        <v>Real Madrid</v>
      </c>
      <c r="AD14" s="315" t="b">
        <f t="shared" si="4"/>
        <v>1</v>
      </c>
      <c r="AE14" s="500" t="b">
        <f t="shared" ca="1" si="5"/>
        <v>1</v>
      </c>
      <c r="AF14" s="315" t="b">
        <f t="shared" si="6"/>
        <v>1</v>
      </c>
      <c r="AG14" s="500">
        <f t="shared" ca="1" si="7"/>
        <v>1</v>
      </c>
      <c r="AH14" s="500">
        <f t="shared" ca="1" si="8"/>
        <v>2</v>
      </c>
      <c r="AI14" s="315"/>
      <c r="AJ14" s="315" t="b">
        <f t="shared" si="9"/>
        <v>0</v>
      </c>
      <c r="AK14" s="315" t="b">
        <f t="shared" si="10"/>
        <v>0</v>
      </c>
      <c r="AL14" s="315"/>
      <c r="AM14" s="315" t="b">
        <f t="shared" ca="1" si="11"/>
        <v>1</v>
      </c>
      <c r="AN14" s="315" t="b">
        <f t="shared" ca="1" si="12"/>
        <v>1</v>
      </c>
      <c r="AO14" s="315" t="b">
        <f t="shared" ca="1" si="13"/>
        <v>1</v>
      </c>
      <c r="AP14" s="500">
        <f t="shared" ca="1" si="14"/>
        <v>1</v>
      </c>
      <c r="AQ14" s="500">
        <f t="shared" ca="1" si="15"/>
        <v>2</v>
      </c>
      <c r="AR14" s="315"/>
      <c r="AS14" s="500">
        <f t="shared" ca="1" si="16"/>
        <v>1</v>
      </c>
      <c r="AT14" s="500">
        <f t="shared" ca="1" si="17"/>
        <v>2</v>
      </c>
    </row>
    <row r="15" spans="1:46" ht="24" customHeight="1" thickBot="1" x14ac:dyDescent="0.25">
      <c r="A15" s="315"/>
      <c r="B15" s="529" t="str">
        <f>Sprache!$E$70&amp;4</f>
        <v>VF 4</v>
      </c>
      <c r="C15" s="372">
        <f t="array" aca="1" ref="C15" ca="1">ROW(64:64)-SUM(((Planung!$L$6:$L$65="")+(Planung!$N$6:$N$65="")&gt;0)*1)-SUM((($I$12:$I14="")+($K$12:$K14="")&gt;0)*1)</f>
        <v>44</v>
      </c>
      <c r="D15" s="375">
        <f t="array" aca="1" ref="D15" ca="1">IF(Planung!$V$15,"",$D$12+QUOTIENT(($C15-$C$12),Planung!$V$11)*(Planung!$S$7+Planung!$S$9)/1440+SUM($V$12:$V14)/1440)</f>
        <v>0.61805555555555558</v>
      </c>
      <c r="E15" s="517">
        <f ca="1">IF(Planung!$V$15,"",MOD($C15-$C$12,Planung!$V$11)+1)</f>
        <v>4</v>
      </c>
      <c r="F15" s="406" t="s">
        <v>320</v>
      </c>
      <c r="G15" s="407" t="s">
        <v>4</v>
      </c>
      <c r="H15" s="408" t="s">
        <v>268</v>
      </c>
      <c r="I15" s="513" t="str">
        <f t="shared" ca="1" si="0"/>
        <v>TSG Saalberg eV</v>
      </c>
      <c r="J15" s="514" t="s">
        <v>4</v>
      </c>
      <c r="K15" s="515" t="str">
        <f t="shared" ca="1" si="1"/>
        <v>Manchester City</v>
      </c>
      <c r="L15" s="324">
        <v>14</v>
      </c>
      <c r="M15" s="352" t="str">
        <f>Sprache!$E$109</f>
        <v xml:space="preserve"> : </v>
      </c>
      <c r="N15" s="318">
        <v>25</v>
      </c>
      <c r="O15" s="324">
        <v>18</v>
      </c>
      <c r="P15" s="644" t="str">
        <f>Sprache!$E$109</f>
        <v xml:space="preserve"> : </v>
      </c>
      <c r="Q15" s="622">
        <v>25</v>
      </c>
      <c r="R15" s="334"/>
      <c r="S15" s="352" t="str">
        <f>Sprache!$E$109</f>
        <v xml:space="preserve"> : </v>
      </c>
      <c r="T15" s="319"/>
      <c r="U15" s="353"/>
      <c r="V15" s="709"/>
      <c r="W15" s="315"/>
      <c r="X15" s="509" t="s">
        <v>269</v>
      </c>
      <c r="Y15" s="451" t="str">
        <f ca="1">IF(Vorrunde!$X$33="","",Vorrunde!$X$33)</f>
        <v>Kickers Rodendorf</v>
      </c>
      <c r="AB15" s="315" t="str">
        <f t="shared" ca="1" si="2"/>
        <v>Manchester City</v>
      </c>
      <c r="AC15" s="315" t="str">
        <f t="shared" ca="1" si="3"/>
        <v>TSG Saalberg eV</v>
      </c>
      <c r="AD15" s="315" t="b">
        <f t="shared" si="4"/>
        <v>0</v>
      </c>
      <c r="AE15" s="500" t="b">
        <f t="shared" ca="1" si="5"/>
        <v>1</v>
      </c>
      <c r="AF15" s="315" t="b">
        <f t="shared" si="6"/>
        <v>0</v>
      </c>
      <c r="AG15" s="500">
        <f t="shared" ca="1" si="7"/>
        <v>0</v>
      </c>
      <c r="AH15" s="500">
        <f t="shared" ca="1" si="8"/>
        <v>2</v>
      </c>
      <c r="AI15" s="315"/>
      <c r="AJ15" s="315" t="b">
        <f t="shared" si="9"/>
        <v>0</v>
      </c>
      <c r="AK15" s="315" t="b">
        <f t="shared" si="10"/>
        <v>0</v>
      </c>
      <c r="AL15" s="315"/>
      <c r="AM15" s="315" t="b">
        <f t="shared" ca="1" si="11"/>
        <v>1</v>
      </c>
      <c r="AN15" s="315" t="b">
        <f t="shared" ca="1" si="12"/>
        <v>1</v>
      </c>
      <c r="AO15" s="315" t="b">
        <f t="shared" ca="1" si="13"/>
        <v>0</v>
      </c>
      <c r="AP15" s="500">
        <f t="shared" ca="1" si="14"/>
        <v>0</v>
      </c>
      <c r="AQ15" s="500">
        <f t="shared" ca="1" si="15"/>
        <v>2</v>
      </c>
      <c r="AR15" s="315"/>
      <c r="AS15" s="500">
        <f t="shared" ca="1" si="16"/>
        <v>0</v>
      </c>
      <c r="AT15" s="500">
        <f t="shared" ca="1" si="17"/>
        <v>2</v>
      </c>
    </row>
    <row r="16" spans="1:46" ht="27.95" customHeight="1" thickTop="1" thickBot="1" x14ac:dyDescent="0.35">
      <c r="A16" s="315"/>
      <c r="B16" s="369"/>
      <c r="C16" s="982" t="str">
        <f>Sprache!$E$53</f>
        <v>Halbfinale</v>
      </c>
      <c r="D16" s="982"/>
      <c r="E16" s="982"/>
      <c r="F16" s="982"/>
      <c r="G16" s="982"/>
      <c r="H16" s="982"/>
      <c r="I16" s="380" t="s">
        <v>242</v>
      </c>
      <c r="J16" s="120"/>
      <c r="K16" s="380" t="s">
        <v>242</v>
      </c>
      <c r="L16" s="339"/>
      <c r="M16" s="339"/>
      <c r="N16" s="339"/>
      <c r="O16" s="339"/>
      <c r="P16" s="339"/>
      <c r="Q16" s="339"/>
      <c r="R16" s="339"/>
      <c r="S16" s="339"/>
      <c r="T16" s="339"/>
      <c r="U16" s="457"/>
      <c r="V16" s="341"/>
      <c r="W16" s="315"/>
      <c r="X16" s="393" t="s">
        <v>321</v>
      </c>
      <c r="Y16" s="452" t="str">
        <f ca="1">IF(Vorrunde!$X$43="","",Vorrunde!$X$43)</f>
        <v>Paris St. Germain</v>
      </c>
      <c r="AB16" s="315"/>
      <c r="AC16" s="315"/>
      <c r="AD16" s="315"/>
      <c r="AE16" s="500"/>
      <c r="AF16" s="315"/>
      <c r="AG16" s="500"/>
      <c r="AH16" s="500"/>
      <c r="AI16" s="315"/>
      <c r="AJ16" s="315"/>
      <c r="AK16" s="315"/>
      <c r="AL16" s="315"/>
      <c r="AM16" s="315"/>
      <c r="AN16" s="315"/>
      <c r="AO16" s="315"/>
      <c r="AP16" s="500"/>
      <c r="AQ16" s="500"/>
      <c r="AR16" s="315"/>
      <c r="AS16" s="500"/>
      <c r="AT16" s="500"/>
    </row>
    <row r="17" spans="1:46" ht="24" customHeight="1" thickTop="1" x14ac:dyDescent="0.2">
      <c r="A17" s="315"/>
      <c r="B17" s="368"/>
      <c r="C17" s="376">
        <f t="array" aca="1" ref="C17" ca="1">ROW(65:65)-SUM(((Planung!$L$6:$L$65="")+(Planung!$N$6:$N$65="")&gt;0)*1)-SUM((($I$12:$I16="")+($K$12:$K16="")&gt;0)*1)</f>
        <v>45</v>
      </c>
      <c r="D17" s="377">
        <f ca="1">IF(Planung!$V$15,"",$D$15+($V$15+Planung!$S$9+Planung!$S$7)/1440)</f>
        <v>0.64236111111111116</v>
      </c>
      <c r="E17" s="342">
        <f>IF(Planung!$V$15,"",1)</f>
        <v>1</v>
      </c>
      <c r="F17" s="465" t="str">
        <f>B12</f>
        <v>VF 1</v>
      </c>
      <c r="G17" s="466" t="s">
        <v>4</v>
      </c>
      <c r="H17" s="467" t="str">
        <f>B14</f>
        <v>VF 3</v>
      </c>
      <c r="I17" s="343" t="str">
        <f ca="1">INDEX($AB$12:$AB$15,RIGHT($F$17,1))</f>
        <v>Eintracht Frankfurt</v>
      </c>
      <c r="J17" s="344" t="s">
        <v>4</v>
      </c>
      <c r="K17" s="345" t="str">
        <f ca="1">INDEX($AB$12:$AB$15,RIGHT($H$17,1))</f>
        <v>FC Barcelona</v>
      </c>
      <c r="L17" s="346">
        <v>25</v>
      </c>
      <c r="M17" s="347" t="str">
        <f>Sprache!$E$109</f>
        <v xml:space="preserve"> : </v>
      </c>
      <c r="N17" s="348">
        <v>21</v>
      </c>
      <c r="O17" s="346">
        <v>25</v>
      </c>
      <c r="P17" s="647" t="str">
        <f>Sprache!$E$109</f>
        <v xml:space="preserve"> : </v>
      </c>
      <c r="Q17" s="621">
        <v>22</v>
      </c>
      <c r="R17" s="349"/>
      <c r="S17" s="347" t="str">
        <f>Sprache!$E$109</f>
        <v xml:space="preserve"> : </v>
      </c>
      <c r="T17" s="350"/>
      <c r="U17" s="730"/>
      <c r="V17" s="707"/>
      <c r="W17" s="315"/>
      <c r="X17" s="47"/>
      <c r="Y17" s="47"/>
      <c r="AB17" s="315" t="str">
        <f t="shared" ca="1" si="2"/>
        <v>Eintracht Frankfurt</v>
      </c>
      <c r="AC17" s="315" t="str">
        <f t="shared" ca="1" si="3"/>
        <v>FC Barcelona</v>
      </c>
      <c r="AD17" s="315" t="b">
        <f t="shared" si="4"/>
        <v>0</v>
      </c>
      <c r="AE17" s="500" t="b">
        <f t="shared" ca="1" si="5"/>
        <v>1</v>
      </c>
      <c r="AF17" s="315" t="b">
        <f t="shared" si="6"/>
        <v>0</v>
      </c>
      <c r="AG17" s="500">
        <f t="shared" ca="1" si="7"/>
        <v>2</v>
      </c>
      <c r="AH17" s="500">
        <f t="shared" ca="1" si="8"/>
        <v>0</v>
      </c>
      <c r="AI17" s="315"/>
      <c r="AJ17" s="315" t="b">
        <f t="shared" si="9"/>
        <v>0</v>
      </c>
      <c r="AK17" s="315" t="b">
        <f t="shared" si="10"/>
        <v>0</v>
      </c>
      <c r="AL17" s="315"/>
      <c r="AM17" s="315" t="b">
        <f t="shared" ca="1" si="11"/>
        <v>1</v>
      </c>
      <c r="AN17" s="315" t="b">
        <f t="shared" ca="1" si="12"/>
        <v>1</v>
      </c>
      <c r="AO17" s="315" t="b">
        <f t="shared" ca="1" si="13"/>
        <v>0</v>
      </c>
      <c r="AP17" s="500">
        <f t="shared" ca="1" si="14"/>
        <v>2</v>
      </c>
      <c r="AQ17" s="500">
        <f t="shared" ca="1" si="15"/>
        <v>0</v>
      </c>
      <c r="AR17" s="315"/>
      <c r="AS17" s="500">
        <f t="shared" ca="1" si="16"/>
        <v>2</v>
      </c>
      <c r="AT17" s="500">
        <f t="shared" ca="1" si="17"/>
        <v>0</v>
      </c>
    </row>
    <row r="18" spans="1:46" ht="24" customHeight="1" thickBot="1" x14ac:dyDescent="0.45">
      <c r="A18" s="315"/>
      <c r="B18" s="368"/>
      <c r="C18" s="372">
        <f ca="1">$C$17+1</f>
        <v>46</v>
      </c>
      <c r="D18" s="375">
        <f ca="1">IF(Planung!$V$15,"",$D$17+($V$17+(Planung!$S$9+Planung!$S$7)*($E$17=$E$18))/1440)</f>
        <v>0.64236111111111116</v>
      </c>
      <c r="E18" s="351">
        <f>IF(Planung!$V$15,"",1+(Planung!$S$11&gt;1)*1)</f>
        <v>2</v>
      </c>
      <c r="F18" s="406" t="str">
        <f>B13</f>
        <v>VF 2</v>
      </c>
      <c r="G18" s="407" t="s">
        <v>4</v>
      </c>
      <c r="H18" s="408" t="str">
        <f>B15</f>
        <v>VF 4</v>
      </c>
      <c r="I18" s="320" t="str">
        <f ca="1">INDEX($AB$12:$AB$15,RIGHT($F$18,1))</f>
        <v>Inter Mailand</v>
      </c>
      <c r="J18" s="153" t="s">
        <v>4</v>
      </c>
      <c r="K18" s="321" t="str">
        <f ca="1">INDEX($AB$12:$AB$15,RIGHT($H$18,1))</f>
        <v>Manchester City</v>
      </c>
      <c r="L18" s="324">
        <v>21</v>
      </c>
      <c r="M18" s="352" t="str">
        <f>Sprache!$E$109</f>
        <v xml:space="preserve"> : </v>
      </c>
      <c r="N18" s="318">
        <v>25</v>
      </c>
      <c r="O18" s="324">
        <v>25</v>
      </c>
      <c r="P18" s="644" t="str">
        <f>Sprache!$E$109</f>
        <v xml:space="preserve"> : </v>
      </c>
      <c r="Q18" s="622">
        <v>19</v>
      </c>
      <c r="R18" s="334">
        <v>15</v>
      </c>
      <c r="S18" s="352" t="str">
        <f>Sprache!$E$109</f>
        <v xml:space="preserve"> : </v>
      </c>
      <c r="T18" s="319">
        <v>13</v>
      </c>
      <c r="U18" s="353"/>
      <c r="V18" s="709"/>
      <c r="W18" s="315"/>
      <c r="X18" s="878" t="str">
        <f>Sprache!$E$59</f>
        <v>Gruppenerste</v>
      </c>
      <c r="Y18" s="878"/>
      <c r="AB18" s="315" t="str">
        <f t="shared" ca="1" si="2"/>
        <v>Inter Mailand</v>
      </c>
      <c r="AC18" s="315" t="str">
        <f t="shared" ca="1" si="3"/>
        <v>Manchester City</v>
      </c>
      <c r="AD18" s="315" t="b">
        <f t="shared" si="4"/>
        <v>1</v>
      </c>
      <c r="AE18" s="500" t="b">
        <f t="shared" ca="1" si="5"/>
        <v>1</v>
      </c>
      <c r="AF18" s="315" t="b">
        <f t="shared" si="6"/>
        <v>1</v>
      </c>
      <c r="AG18" s="500">
        <f t="shared" ca="1" si="7"/>
        <v>2</v>
      </c>
      <c r="AH18" s="500">
        <f t="shared" ca="1" si="8"/>
        <v>1</v>
      </c>
      <c r="AI18" s="315"/>
      <c r="AJ18" s="315" t="b">
        <f t="shared" si="9"/>
        <v>0</v>
      </c>
      <c r="AK18" s="315" t="b">
        <f t="shared" si="10"/>
        <v>0</v>
      </c>
      <c r="AL18" s="315"/>
      <c r="AM18" s="315" t="b">
        <f t="shared" ca="1" si="11"/>
        <v>1</v>
      </c>
      <c r="AN18" s="315" t="b">
        <f t="shared" ca="1" si="12"/>
        <v>1</v>
      </c>
      <c r="AO18" s="315" t="b">
        <f t="shared" ca="1" si="13"/>
        <v>1</v>
      </c>
      <c r="AP18" s="500">
        <f t="shared" ca="1" si="14"/>
        <v>2</v>
      </c>
      <c r="AQ18" s="500">
        <f t="shared" ca="1" si="15"/>
        <v>1</v>
      </c>
      <c r="AR18" s="315"/>
      <c r="AS18" s="500">
        <f t="shared" ca="1" si="16"/>
        <v>2</v>
      </c>
      <c r="AT18" s="500">
        <f t="shared" ca="1" si="17"/>
        <v>1</v>
      </c>
    </row>
    <row r="19" spans="1:46" ht="27.95" customHeight="1" thickTop="1" thickBot="1" x14ac:dyDescent="0.35">
      <c r="A19" s="315"/>
      <c r="B19" s="369"/>
      <c r="C19" s="982" t="str">
        <f>Sprache!$E$54</f>
        <v>Endspiele</v>
      </c>
      <c r="D19" s="982"/>
      <c r="E19" s="982"/>
      <c r="F19" s="982"/>
      <c r="G19" s="982"/>
      <c r="H19" s="982"/>
      <c r="I19" s="516"/>
      <c r="J19" s="120"/>
      <c r="K19" s="516"/>
      <c r="L19" s="339"/>
      <c r="M19" s="339"/>
      <c r="N19" s="339"/>
      <c r="O19" s="339"/>
      <c r="P19" s="339"/>
      <c r="Q19" s="339"/>
      <c r="R19" s="339"/>
      <c r="S19" s="339"/>
      <c r="T19" s="339"/>
      <c r="U19" s="457"/>
      <c r="V19" s="341"/>
      <c r="W19" s="315"/>
      <c r="X19" s="420"/>
      <c r="Y19" s="449" t="str">
        <f>Sprache!$E$10</f>
        <v>Teilnehmer bzw. Mannschaft</v>
      </c>
      <c r="AB19" s="315"/>
      <c r="AC19" s="315"/>
      <c r="AD19" s="315"/>
      <c r="AE19" s="500"/>
      <c r="AF19" s="315"/>
      <c r="AG19" s="500"/>
      <c r="AH19" s="500"/>
      <c r="AI19" s="315"/>
      <c r="AJ19" s="315"/>
      <c r="AK19" s="315"/>
      <c r="AL19" s="315"/>
      <c r="AM19" s="315"/>
      <c r="AN19" s="315"/>
      <c r="AO19" s="315"/>
      <c r="AP19" s="500"/>
      <c r="AQ19" s="500"/>
      <c r="AR19" s="315"/>
      <c r="AS19" s="500"/>
      <c r="AT19" s="500"/>
    </row>
    <row r="20" spans="1:46" ht="24" customHeight="1" thickTop="1" x14ac:dyDescent="0.2">
      <c r="A20" s="315"/>
      <c r="B20" s="368"/>
      <c r="C20" s="376">
        <f ca="1">$C$17+2</f>
        <v>47</v>
      </c>
      <c r="D20" s="377">
        <f ca="1">IF(Planung!$V$15,"",$D$18+($V$18+Planung!$S$9+Planung!$S$7)/1440)</f>
        <v>0.66666666666666674</v>
      </c>
      <c r="E20" s="342">
        <f>IF(Planung!$V$15,"",1)</f>
        <v>1</v>
      </c>
      <c r="F20" s="975" t="str">
        <f>Sprache!$E$118</f>
        <v>3. Platz</v>
      </c>
      <c r="G20" s="976"/>
      <c r="H20" s="977"/>
      <c r="I20" s="343" t="str">
        <f ca="1">AC17</f>
        <v>FC Barcelona</v>
      </c>
      <c r="J20" s="344" t="s">
        <v>4</v>
      </c>
      <c r="K20" s="345" t="str">
        <f ca="1">AC18</f>
        <v>Manchester City</v>
      </c>
      <c r="L20" s="346">
        <v>25</v>
      </c>
      <c r="M20" s="347" t="str">
        <f>Sprache!$E$109</f>
        <v xml:space="preserve"> : </v>
      </c>
      <c r="N20" s="348">
        <v>21</v>
      </c>
      <c r="O20" s="346">
        <v>25</v>
      </c>
      <c r="P20" s="647" t="str">
        <f>Sprache!$E$109</f>
        <v xml:space="preserve"> : </v>
      </c>
      <c r="Q20" s="621">
        <v>17</v>
      </c>
      <c r="R20" s="349"/>
      <c r="S20" s="347" t="str">
        <f>Sprache!$E$109</f>
        <v xml:space="preserve"> : </v>
      </c>
      <c r="T20" s="350"/>
      <c r="U20" s="730"/>
      <c r="V20" s="707"/>
      <c r="W20" s="315"/>
      <c r="X20" s="510" t="s">
        <v>264</v>
      </c>
      <c r="Y20" s="450" t="str">
        <f ca="1">IF(Vorrunde!$X$12="","",Vorrunde!$X$12)</f>
        <v>Eintracht Frankfurt</v>
      </c>
      <c r="AB20" s="315" t="str">
        <f t="shared" ca="1" si="2"/>
        <v>FC Barcelona</v>
      </c>
      <c r="AC20" s="315" t="str">
        <f t="shared" ca="1" si="3"/>
        <v>Manchester City</v>
      </c>
      <c r="AD20" s="315" t="b">
        <f t="shared" si="4"/>
        <v>0</v>
      </c>
      <c r="AE20" s="500" t="b">
        <f t="shared" ca="1" si="5"/>
        <v>1</v>
      </c>
      <c r="AF20" s="315" t="b">
        <f t="shared" si="6"/>
        <v>0</v>
      </c>
      <c r="AG20" s="500">
        <f t="shared" ca="1" si="7"/>
        <v>2</v>
      </c>
      <c r="AH20" s="500">
        <f t="shared" ca="1" si="8"/>
        <v>0</v>
      </c>
      <c r="AI20" s="315"/>
      <c r="AJ20" s="315" t="b">
        <f t="shared" si="9"/>
        <v>0</v>
      </c>
      <c r="AK20" s="315" t="b">
        <f t="shared" si="10"/>
        <v>0</v>
      </c>
      <c r="AL20" s="315"/>
      <c r="AM20" s="315" t="b">
        <f t="shared" ca="1" si="11"/>
        <v>1</v>
      </c>
      <c r="AN20" s="315" t="b">
        <f t="shared" ca="1" si="12"/>
        <v>1</v>
      </c>
      <c r="AO20" s="315" t="b">
        <f t="shared" ca="1" si="13"/>
        <v>0</v>
      </c>
      <c r="AP20" s="500">
        <f t="shared" ca="1" si="14"/>
        <v>2</v>
      </c>
      <c r="AQ20" s="500">
        <f t="shared" ca="1" si="15"/>
        <v>0</v>
      </c>
      <c r="AR20" s="315"/>
      <c r="AS20" s="500">
        <f t="shared" ca="1" si="16"/>
        <v>2</v>
      </c>
      <c r="AT20" s="500">
        <f t="shared" ca="1" si="17"/>
        <v>0</v>
      </c>
    </row>
    <row r="21" spans="1:46" ht="24" customHeight="1" thickBot="1" x14ac:dyDescent="0.25">
      <c r="A21" s="315"/>
      <c r="B21" s="368"/>
      <c r="C21" s="372">
        <f ca="1">$C$17+3</f>
        <v>48</v>
      </c>
      <c r="D21" s="375">
        <f ca="1">IF(Planung!$V$15,"",$D$20+($V$20+Planung!$S$9+Planung!$S$7)/1440)</f>
        <v>0.69097222222222232</v>
      </c>
      <c r="E21" s="351">
        <f>IF(Planung!$V$15,"",1)</f>
        <v>1</v>
      </c>
      <c r="F21" s="978" t="str">
        <f>Sprache!$E$119</f>
        <v>Finale</v>
      </c>
      <c r="G21" s="979"/>
      <c r="H21" s="980"/>
      <c r="I21" s="320" t="str">
        <f ca="1">AB17</f>
        <v>Eintracht Frankfurt</v>
      </c>
      <c r="J21" s="153" t="s">
        <v>4</v>
      </c>
      <c r="K21" s="321" t="str">
        <f ca="1">AB18</f>
        <v>Inter Mailand</v>
      </c>
      <c r="L21" s="324">
        <v>14</v>
      </c>
      <c r="M21" s="352" t="str">
        <f>Sprache!$E$109</f>
        <v xml:space="preserve"> : </v>
      </c>
      <c r="N21" s="318">
        <v>25</v>
      </c>
      <c r="O21" s="324">
        <v>16</v>
      </c>
      <c r="P21" s="644" t="str">
        <f>Sprache!$E$109</f>
        <v xml:space="preserve"> : </v>
      </c>
      <c r="Q21" s="622">
        <v>25</v>
      </c>
      <c r="R21" s="334"/>
      <c r="S21" s="352" t="str">
        <f>Sprache!$E$109</f>
        <v xml:space="preserve"> : </v>
      </c>
      <c r="T21" s="319"/>
      <c r="U21" s="353"/>
      <c r="V21" s="710"/>
      <c r="W21" s="315"/>
      <c r="X21" s="419" t="s">
        <v>265</v>
      </c>
      <c r="Y21" s="451" t="str">
        <f ca="1">IF(Vorrunde!$X$22="","",Vorrunde!$X$22)</f>
        <v>Inter Mailand</v>
      </c>
      <c r="AB21" s="315" t="str">
        <f t="shared" ca="1" si="2"/>
        <v>Inter Mailand</v>
      </c>
      <c r="AC21" s="315" t="str">
        <f t="shared" ca="1" si="3"/>
        <v>Eintracht Frankfurt</v>
      </c>
      <c r="AD21" s="315" t="b">
        <f t="shared" si="4"/>
        <v>0</v>
      </c>
      <c r="AE21" s="500" t="b">
        <f t="shared" ca="1" si="5"/>
        <v>1</v>
      </c>
      <c r="AF21" s="315" t="b">
        <f t="shared" si="6"/>
        <v>0</v>
      </c>
      <c r="AG21" s="500">
        <f t="shared" ca="1" si="7"/>
        <v>0</v>
      </c>
      <c r="AH21" s="500">
        <f t="shared" ca="1" si="8"/>
        <v>2</v>
      </c>
      <c r="AI21" s="315"/>
      <c r="AJ21" s="315" t="b">
        <f t="shared" si="9"/>
        <v>0</v>
      </c>
      <c r="AK21" s="315" t="b">
        <f t="shared" si="10"/>
        <v>0</v>
      </c>
      <c r="AL21" s="315"/>
      <c r="AM21" s="315" t="b">
        <f t="shared" ca="1" si="11"/>
        <v>1</v>
      </c>
      <c r="AN21" s="315" t="b">
        <f t="shared" ca="1" si="12"/>
        <v>1</v>
      </c>
      <c r="AO21" s="315" t="b">
        <f t="shared" ca="1" si="13"/>
        <v>0</v>
      </c>
      <c r="AP21" s="500">
        <f t="shared" ca="1" si="14"/>
        <v>0</v>
      </c>
      <c r="AQ21" s="500">
        <f t="shared" ca="1" si="15"/>
        <v>2</v>
      </c>
      <c r="AR21" s="315"/>
      <c r="AS21" s="500">
        <f t="shared" ca="1" si="16"/>
        <v>0</v>
      </c>
      <c r="AT21" s="500">
        <f t="shared" ca="1" si="17"/>
        <v>2</v>
      </c>
    </row>
    <row r="22" spans="1:46" ht="24" customHeight="1" thickTop="1" x14ac:dyDescent="0.2">
      <c r="X22" s="509" t="s">
        <v>266</v>
      </c>
      <c r="Y22" s="451" t="str">
        <f ca="1">IF(Vorrunde!$X$32="","",Vorrunde!$X$32)</f>
        <v>Real Madrid</v>
      </c>
    </row>
    <row r="23" spans="1:46" ht="24" customHeight="1" thickBot="1" x14ac:dyDescent="0.25">
      <c r="C23" s="335"/>
      <c r="D23" s="335"/>
      <c r="E23" s="335"/>
      <c r="F23" s="335"/>
      <c r="G23" s="335"/>
      <c r="H23" s="335"/>
      <c r="I23" s="336" t="str">
        <f>Sprache!$E$29</f>
        <v>Turnierende:</v>
      </c>
      <c r="J23" s="335"/>
      <c r="K23" s="337">
        <f ca="1">IF(Planung!$S$13="","",$D$21+Planung!$S$7/1440)</f>
        <v>0.71180555555555569</v>
      </c>
      <c r="L23" s="338"/>
      <c r="M23" s="338"/>
      <c r="N23" s="338"/>
      <c r="O23" s="338"/>
      <c r="P23" s="338"/>
      <c r="Q23" s="338"/>
      <c r="R23" s="338"/>
      <c r="S23" s="338"/>
      <c r="T23" s="338"/>
      <c r="U23" s="338"/>
      <c r="V23" s="338"/>
      <c r="X23" s="393" t="s">
        <v>320</v>
      </c>
      <c r="Y23" s="452" t="str">
        <f ca="1">IF(Vorrunde!$X$42="","",Vorrunde!$X$42)</f>
        <v>TSG Saalberg eV</v>
      </c>
    </row>
    <row r="24" spans="1:46" ht="24" customHeight="1" thickTop="1" thickBot="1" x14ac:dyDescent="0.25">
      <c r="D24" s="331"/>
    </row>
    <row r="25" spans="1:46" ht="24" customHeight="1" thickBot="1" x14ac:dyDescent="0.25">
      <c r="F25" s="947" t="str">
        <f>Sprache!$E$117</f>
        <v>Rang</v>
      </c>
      <c r="G25" s="948"/>
      <c r="H25" s="948"/>
      <c r="I25" s="983" t="str">
        <f>"  "&amp;Sprache!$E$10</f>
        <v xml:space="preserve">  Teilnehmer bzw. Mannschaft</v>
      </c>
      <c r="J25" s="983"/>
      <c r="K25" s="984"/>
    </row>
    <row r="26" spans="1:46" ht="24" customHeight="1" thickTop="1" x14ac:dyDescent="0.2">
      <c r="E26" s="332">
        <v>1</v>
      </c>
      <c r="F26" s="949">
        <v>1</v>
      </c>
      <c r="G26" s="950"/>
      <c r="H26" s="950"/>
      <c r="I26" s="957" t="str">
        <f ca="1">AB21</f>
        <v>Inter Mailand</v>
      </c>
      <c r="J26" s="957"/>
      <c r="K26" s="958"/>
    </row>
    <row r="27" spans="1:46" ht="24" customHeight="1" x14ac:dyDescent="0.2">
      <c r="E27" s="332">
        <v>2</v>
      </c>
      <c r="F27" s="951">
        <v>2</v>
      </c>
      <c r="G27" s="952"/>
      <c r="H27" s="952"/>
      <c r="I27" s="959" t="str">
        <f ca="1">AC21</f>
        <v>Eintracht Frankfurt</v>
      </c>
      <c r="J27" s="959"/>
      <c r="K27" s="960"/>
    </row>
    <row r="28" spans="1:46" ht="24" customHeight="1" x14ac:dyDescent="0.2">
      <c r="E28" s="332">
        <v>3</v>
      </c>
      <c r="F28" s="953">
        <v>3</v>
      </c>
      <c r="G28" s="954"/>
      <c r="H28" s="954"/>
      <c r="I28" s="961" t="str">
        <f ca="1">AB20</f>
        <v>FC Barcelona</v>
      </c>
      <c r="J28" s="961"/>
      <c r="K28" s="962"/>
    </row>
    <row r="29" spans="1:46" ht="24" customHeight="1" thickBot="1" x14ac:dyDescent="0.25">
      <c r="E29" s="332">
        <v>4</v>
      </c>
      <c r="F29" s="945">
        <v>4</v>
      </c>
      <c r="G29" s="946"/>
      <c r="H29" s="946"/>
      <c r="I29" s="939" t="str">
        <f ca="1">AC20</f>
        <v>Manchester City</v>
      </c>
      <c r="J29" s="939"/>
      <c r="K29" s="940"/>
    </row>
    <row r="30" spans="1:46" ht="13.5" thickTop="1" x14ac:dyDescent="0.2"/>
    <row r="31" spans="1:46" x14ac:dyDescent="0.2"/>
    <row r="32" spans="1:46" x14ac:dyDescent="0.2"/>
    <row r="33" x14ac:dyDescent="0.2"/>
    <row r="34" x14ac:dyDescent="0.2"/>
  </sheetData>
  <sheetProtection sheet="1" selectLockedCells="1"/>
  <mergeCells count="34">
    <mergeCell ref="AJ10:AK10"/>
    <mergeCell ref="AM10:AQ10"/>
    <mergeCell ref="AP11:AQ11"/>
    <mergeCell ref="AS11:AT11"/>
    <mergeCell ref="H2:X2"/>
    <mergeCell ref="H3:X3"/>
    <mergeCell ref="H4:X4"/>
    <mergeCell ref="H5:X5"/>
    <mergeCell ref="J7:T8"/>
    <mergeCell ref="F29:H29"/>
    <mergeCell ref="I29:K29"/>
    <mergeCell ref="I25:K25"/>
    <mergeCell ref="I26:K26"/>
    <mergeCell ref="I27:K27"/>
    <mergeCell ref="I28:K28"/>
    <mergeCell ref="F25:H25"/>
    <mergeCell ref="F26:H26"/>
    <mergeCell ref="F27:H27"/>
    <mergeCell ref="F28:H28"/>
    <mergeCell ref="AG11:AH11"/>
    <mergeCell ref="F20:H20"/>
    <mergeCell ref="F21:H21"/>
    <mergeCell ref="V9:V11"/>
    <mergeCell ref="X11:Y11"/>
    <mergeCell ref="I11:K11"/>
    <mergeCell ref="L11:N11"/>
    <mergeCell ref="R11:T11"/>
    <mergeCell ref="F11:H11"/>
    <mergeCell ref="C10:H10"/>
    <mergeCell ref="C16:H16"/>
    <mergeCell ref="C19:H19"/>
    <mergeCell ref="O11:Q11"/>
    <mergeCell ref="X18:Y18"/>
    <mergeCell ref="AD10:AH10"/>
  </mergeCells>
  <conditionalFormatting sqref="C12:T15">
    <cfRule type="expression" dxfId="21" priority="4">
      <formula>OR($I12="",$K12="")</formula>
    </cfRule>
  </conditionalFormatting>
  <conditionalFormatting sqref="L12:Q15 L17:Q18 L20:Q21">
    <cfRule type="expression" dxfId="20" priority="2">
      <formula>$AJ12</formula>
    </cfRule>
  </conditionalFormatting>
  <conditionalFormatting sqref="R12:T15 R17:T18 R20:T21">
    <cfRule type="expression" dxfId="19" priority="438">
      <formula>$AK12</formula>
    </cfRule>
    <cfRule type="expression" dxfId="18" priority="439">
      <formula>NOT($AD12)</formula>
    </cfRule>
  </conditionalFormatting>
  <pageMargins left="0.7" right="0.7" top="0.78740157499999996" bottom="0.78740157499999996"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631D-B376-496B-84F7-6B47FD7E1341}">
  <dimension ref="A1:AT27"/>
  <sheetViews>
    <sheetView showGridLines="0" showRowColHeaders="0" workbookViewId="0">
      <selection activeCell="L12" sqref="L12"/>
    </sheetView>
  </sheetViews>
  <sheetFormatPr baseColWidth="10" defaultColWidth="0" defaultRowHeight="12.75" customHeight="1" zeroHeight="1" x14ac:dyDescent="0.2"/>
  <cols>
    <col min="1" max="1" width="10.42578125" style="47" customWidth="1"/>
    <col min="2" max="3" width="5.28515625" style="47" customWidth="1"/>
    <col min="4" max="4" width="11.42578125" style="47" customWidth="1"/>
    <col min="5" max="5" width="9.140625" style="47" customWidth="1"/>
    <col min="6" max="6" width="5.7109375" style="47" customWidth="1"/>
    <col min="7" max="7" width="2" style="47" customWidth="1"/>
    <col min="8" max="8" width="5.7109375" style="47" customWidth="1"/>
    <col min="9" max="9" width="28.7109375" style="47" customWidth="1"/>
    <col min="10" max="10" width="2.85546875" style="47" customWidth="1"/>
    <col min="11" max="11" width="28.7109375" style="47" customWidth="1"/>
    <col min="12" max="12" width="4.7109375" style="47" customWidth="1"/>
    <col min="13" max="13" width="2.28515625" style="47" customWidth="1"/>
    <col min="14" max="15" width="4.7109375" style="47" customWidth="1"/>
    <col min="16" max="16" width="2.28515625" style="47" customWidth="1"/>
    <col min="17" max="18" width="4.7109375" style="47" customWidth="1"/>
    <col min="19" max="19" width="2.28515625" style="47" customWidth="1"/>
    <col min="20" max="20" width="4.7109375" style="47" customWidth="1"/>
    <col min="21" max="21" width="15.7109375" style="47" customWidth="1"/>
    <col min="22" max="22" width="8" style="47" customWidth="1"/>
    <col min="23" max="23" width="11.42578125" style="47" customWidth="1"/>
    <col min="24" max="24" width="6.42578125" customWidth="1"/>
    <col min="25" max="25" width="36.7109375" customWidth="1"/>
    <col min="26" max="26" width="6.7109375" customWidth="1"/>
    <col min="27" max="27" width="12.28515625" customWidth="1"/>
    <col min="28" max="28" width="16.85546875" hidden="1"/>
    <col min="29" max="29" width="17.140625" hidden="1"/>
    <col min="30" max="30" width="9.5703125" hidden="1"/>
    <col min="31" max="31" width="9.7109375" hidden="1"/>
    <col min="32" max="32" width="8.7109375" hidden="1"/>
    <col min="33" max="33" width="5.42578125" hidden="1"/>
    <col min="34" max="34" width="5" hidden="1"/>
    <col min="35" max="35" width="2.5703125" hidden="1"/>
    <col min="36" max="37" width="11.42578125" hidden="1"/>
    <col min="38" max="38" width="2.7109375" hidden="1"/>
    <col min="39" max="41" width="11.42578125" hidden="1"/>
    <col min="42" max="42" width="5.28515625" hidden="1"/>
    <col min="43" max="43" width="5.5703125" hidden="1"/>
    <col min="44" max="44" width="1.85546875" hidden="1"/>
    <col min="45" max="46" width="5.42578125" hidden="1"/>
    <col min="47" max="16384" width="11.42578125" hidden="1"/>
  </cols>
  <sheetData>
    <row r="1" spans="1:46" ht="13.5" thickBot="1" x14ac:dyDescent="0.25"/>
    <row r="2" spans="1:46" ht="36.75" thickTop="1" x14ac:dyDescent="0.2">
      <c r="H2" s="915" t="str">
        <f>Vorrunde!$H$2</f>
        <v>Internationales U10-Turnier am 27.01.2026</v>
      </c>
      <c r="I2" s="916"/>
      <c r="J2" s="916"/>
      <c r="K2" s="916"/>
      <c r="L2" s="916"/>
      <c r="M2" s="916"/>
      <c r="N2" s="916"/>
      <c r="O2" s="916"/>
      <c r="P2" s="916"/>
      <c r="Q2" s="916"/>
      <c r="R2" s="916"/>
      <c r="S2" s="916"/>
      <c r="T2" s="916"/>
      <c r="U2" s="916"/>
      <c r="V2" s="916"/>
      <c r="W2" s="916"/>
      <c r="X2" s="917"/>
      <c r="Y2" s="723"/>
    </row>
    <row r="3" spans="1:46" ht="30" customHeight="1" x14ac:dyDescent="0.2">
      <c r="H3" s="918" t="str">
        <f>Vorrunde!$H$3</f>
        <v>Veranstalter:  1. FC Riedwald</v>
      </c>
      <c r="I3" s="919"/>
      <c r="J3" s="919"/>
      <c r="K3" s="919"/>
      <c r="L3" s="919"/>
      <c r="M3" s="919"/>
      <c r="N3" s="919"/>
      <c r="O3" s="919"/>
      <c r="P3" s="919"/>
      <c r="Q3" s="919"/>
      <c r="R3" s="919"/>
      <c r="S3" s="919"/>
      <c r="T3" s="919"/>
      <c r="U3" s="919"/>
      <c r="V3" s="919"/>
      <c r="W3" s="919"/>
      <c r="X3" s="920"/>
      <c r="Y3" s="724"/>
    </row>
    <row r="4" spans="1:46" ht="30" customHeight="1" x14ac:dyDescent="0.2">
      <c r="H4" s="921" t="str">
        <f>Vorrunde!$H$4</f>
        <v>Sporthalle Wiesengrund, Wendiger Str. 51, 65432 Riedwald</v>
      </c>
      <c r="I4" s="922"/>
      <c r="J4" s="922"/>
      <c r="K4" s="922"/>
      <c r="L4" s="922"/>
      <c r="M4" s="922"/>
      <c r="N4" s="922"/>
      <c r="O4" s="922"/>
      <c r="P4" s="922"/>
      <c r="Q4" s="922"/>
      <c r="R4" s="922"/>
      <c r="S4" s="922"/>
      <c r="T4" s="922"/>
      <c r="U4" s="922"/>
      <c r="V4" s="922"/>
      <c r="W4" s="922"/>
      <c r="X4" s="923"/>
      <c r="Y4" s="725"/>
    </row>
    <row r="5" spans="1:46" ht="30" customHeight="1" thickBot="1" x14ac:dyDescent="0.25">
      <c r="H5" s="924" t="str">
        <f>Vorrunde!$H$5</f>
        <v>Beginn:  9:00 Uhr</v>
      </c>
      <c r="I5" s="925"/>
      <c r="J5" s="925"/>
      <c r="K5" s="925"/>
      <c r="L5" s="925"/>
      <c r="M5" s="925"/>
      <c r="N5" s="925"/>
      <c r="O5" s="925"/>
      <c r="P5" s="925"/>
      <c r="Q5" s="925"/>
      <c r="R5" s="925"/>
      <c r="S5" s="925"/>
      <c r="T5" s="925"/>
      <c r="U5" s="925"/>
      <c r="V5" s="925"/>
      <c r="W5" s="925"/>
      <c r="X5" s="926"/>
      <c r="Y5" s="725"/>
    </row>
    <row r="6" spans="1:46" ht="18" customHeight="1" thickTop="1" thickBot="1" x14ac:dyDescent="0.25"/>
    <row r="7" spans="1:46" ht="30" customHeight="1" thickTop="1" x14ac:dyDescent="0.9">
      <c r="J7" s="985" t="str">
        <f>Sprache!$E$19</f>
        <v>Endrunde</v>
      </c>
      <c r="K7" s="986"/>
      <c r="L7" s="986"/>
      <c r="M7" s="986"/>
      <c r="N7" s="986"/>
      <c r="O7" s="986"/>
      <c r="P7" s="986"/>
      <c r="Q7" s="986"/>
      <c r="R7" s="986"/>
      <c r="S7" s="986"/>
      <c r="T7" s="987"/>
      <c r="U7" s="565"/>
      <c r="V7" s="729"/>
      <c r="W7" s="729"/>
    </row>
    <row r="8" spans="1:46" ht="30" customHeight="1" thickBot="1" x14ac:dyDescent="0.95">
      <c r="J8" s="988"/>
      <c r="K8" s="989"/>
      <c r="L8" s="989"/>
      <c r="M8" s="989"/>
      <c r="N8" s="989"/>
      <c r="O8" s="989"/>
      <c r="P8" s="989"/>
      <c r="Q8" s="989"/>
      <c r="R8" s="989"/>
      <c r="S8" s="989"/>
      <c r="T8" s="990"/>
      <c r="U8" s="565"/>
      <c r="V8" s="729"/>
      <c r="W8" s="729"/>
    </row>
    <row r="9" spans="1:46" ht="12.6" customHeight="1" thickTop="1" x14ac:dyDescent="0.2">
      <c r="V9" s="852" t="str">
        <f>Sprache!$E$20</f>
        <v>Zusätzl. Pause (min)</v>
      </c>
      <c r="AB9" s="1048" t="s">
        <v>468</v>
      </c>
      <c r="AC9" s="47"/>
      <c r="AD9" s="47"/>
      <c r="AE9" s="47"/>
      <c r="AF9" s="47"/>
      <c r="AG9" s="47"/>
      <c r="AH9" s="47"/>
      <c r="AI9" s="47"/>
      <c r="AJ9" s="47"/>
      <c r="AK9" s="47"/>
      <c r="AL9" s="47"/>
      <c r="AM9" s="47"/>
      <c r="AN9" s="47"/>
      <c r="AO9" s="47"/>
      <c r="AP9" s="47"/>
      <c r="AQ9" s="47"/>
      <c r="AR9" s="47"/>
      <c r="AS9" s="47"/>
      <c r="AT9" s="47"/>
    </row>
    <row r="10" spans="1:46" ht="27.95" customHeight="1" thickBot="1" x14ac:dyDescent="0.35">
      <c r="C10" s="981" t="str">
        <f>Sprache!$E$53</f>
        <v>Halbfinale</v>
      </c>
      <c r="D10" s="981"/>
      <c r="E10" s="981"/>
      <c r="F10" s="981"/>
      <c r="G10" s="981"/>
      <c r="H10" s="981"/>
      <c r="V10" s="852"/>
      <c r="AB10" s="738" t="b">
        <f>Einstellungen!$B$45=Sprache!$E$90</f>
        <v>1</v>
      </c>
      <c r="AC10" s="47"/>
      <c r="AD10" s="1049" t="s">
        <v>474</v>
      </c>
      <c r="AE10" s="1049"/>
      <c r="AF10" s="1049"/>
      <c r="AG10" s="1049"/>
      <c r="AH10" s="1049"/>
      <c r="AI10" s="47"/>
      <c r="AJ10" s="1050" t="s">
        <v>475</v>
      </c>
      <c r="AK10" s="1050"/>
      <c r="AL10" s="47"/>
      <c r="AM10" s="1049" t="s">
        <v>476</v>
      </c>
      <c r="AN10" s="1049"/>
      <c r="AO10" s="1049"/>
      <c r="AP10" s="1049"/>
      <c r="AQ10" s="1049"/>
      <c r="AR10" s="47"/>
      <c r="AS10" s="47"/>
      <c r="AT10" s="47"/>
    </row>
    <row r="11" spans="1:46" ht="24" customHeight="1" thickTop="1" thickBot="1" x14ac:dyDescent="0.45">
      <c r="B11" s="330"/>
      <c r="C11" s="378" t="str">
        <f>Sprache!$E$9</f>
        <v>Nr.</v>
      </c>
      <c r="D11" s="678" t="str">
        <f>Sprache!$E$39</f>
        <v>Beginn:</v>
      </c>
      <c r="E11" s="680" t="str">
        <f>Sprache!$E$48</f>
        <v>Feld</v>
      </c>
      <c r="F11" s="928"/>
      <c r="G11" s="929"/>
      <c r="H11" s="930"/>
      <c r="I11" s="888" t="str">
        <f>Sprache!$E$14</f>
        <v>Spielpaarung</v>
      </c>
      <c r="J11" s="889"/>
      <c r="K11" s="890"/>
      <c r="L11" s="928" t="str">
        <f>Sprache!$E$72</f>
        <v>1. Satz</v>
      </c>
      <c r="M11" s="929"/>
      <c r="N11" s="930"/>
      <c r="O11" s="928" t="str">
        <f>Sprache!$E$73</f>
        <v>2. Satz</v>
      </c>
      <c r="P11" s="929"/>
      <c r="Q11" s="930"/>
      <c r="R11" s="928" t="str">
        <f>Sprache!$E$75</f>
        <v>3. Satz</v>
      </c>
      <c r="S11" s="929"/>
      <c r="T11" s="931"/>
      <c r="U11" s="687" t="str">
        <f>Sprache!$E$78</f>
        <v>Schiedsrichter</v>
      </c>
      <c r="V11" s="991"/>
      <c r="X11" s="878" t="str">
        <f>Sprache!$E$59</f>
        <v>Gruppenerste</v>
      </c>
      <c r="Y11" s="878"/>
      <c r="AB11" s="675" t="s">
        <v>409</v>
      </c>
      <c r="AC11" s="675" t="s">
        <v>410</v>
      </c>
      <c r="AD11" s="832" t="s">
        <v>411</v>
      </c>
      <c r="AE11" s="832" t="s">
        <v>412</v>
      </c>
      <c r="AF11" s="832" t="s">
        <v>413</v>
      </c>
      <c r="AG11" s="936" t="s">
        <v>372</v>
      </c>
      <c r="AH11" s="936"/>
      <c r="AI11" s="47"/>
      <c r="AJ11" s="832" t="s">
        <v>469</v>
      </c>
      <c r="AK11" s="832" t="s">
        <v>470</v>
      </c>
      <c r="AL11" s="47"/>
      <c r="AM11" s="832" t="s">
        <v>471</v>
      </c>
      <c r="AN11" s="832" t="s">
        <v>472</v>
      </c>
      <c r="AO11" s="832" t="s">
        <v>413</v>
      </c>
      <c r="AP11" s="936" t="s">
        <v>372</v>
      </c>
      <c r="AQ11" s="936"/>
      <c r="AR11" s="47"/>
      <c r="AS11" s="936" t="s">
        <v>473</v>
      </c>
      <c r="AT11" s="936"/>
    </row>
    <row r="12" spans="1:46" ht="24" customHeight="1" thickTop="1" x14ac:dyDescent="0.2">
      <c r="A12" s="315"/>
      <c r="B12" s="553"/>
      <c r="C12" s="711">
        <f t="array" aca="1" ref="C12" ca="1">61-SUM(((Planung!$L$6:$L$65="")+(Planung!$N$6:$N$65="")&gt;0)*1)</f>
        <v>41</v>
      </c>
      <c r="D12" s="712">
        <f ca="1">IF(Planung!$V$15,"",Planung!$S$13+(Planung!$S$9+Planung!$Q$65)/1440)</f>
        <v>0.61805555555555558</v>
      </c>
      <c r="E12" s="713">
        <f>IF(Planung!$V$15,"",1)</f>
        <v>1</v>
      </c>
      <c r="F12" s="714" t="s">
        <v>264</v>
      </c>
      <c r="G12" s="715" t="s">
        <v>4</v>
      </c>
      <c r="H12" s="716" t="s">
        <v>266</v>
      </c>
      <c r="I12" s="717" t="str">
        <f ca="1">VLOOKUP($F12,$X$11:$Y$17,2,0)</f>
        <v>Eintracht Frankfurt</v>
      </c>
      <c r="J12" s="718" t="s">
        <v>4</v>
      </c>
      <c r="K12" s="719" t="str">
        <f ca="1">VLOOKUP($H12,$X$11:$Y$17,2,0)</f>
        <v>Real Madrid</v>
      </c>
      <c r="L12" s="630">
        <v>25</v>
      </c>
      <c r="M12" s="325" t="str">
        <f>Sprache!$E$109</f>
        <v xml:space="preserve"> : </v>
      </c>
      <c r="N12" s="706">
        <v>21</v>
      </c>
      <c r="O12" s="630">
        <v>25</v>
      </c>
      <c r="P12" s="720" t="str">
        <f>Sprache!$E$109</f>
        <v xml:space="preserve"> : </v>
      </c>
      <c r="Q12" s="706">
        <v>19</v>
      </c>
      <c r="R12" s="721"/>
      <c r="S12" s="325" t="str">
        <f>Sprache!$E$109</f>
        <v xml:space="preserve"> : </v>
      </c>
      <c r="T12" s="722"/>
      <c r="U12" s="688"/>
      <c r="V12" s="707"/>
      <c r="W12" s="315"/>
      <c r="X12" s="420"/>
      <c r="Y12" s="449" t="str">
        <f>Sprache!$E$10</f>
        <v>Teilnehmer bzw. Mannschaft</v>
      </c>
      <c r="AB12" s="315" t="str">
        <f ca="1">IF(AS12&gt;AT12,$I12,IF(AS12&lt;AT12,$K12,""))</f>
        <v>Eintracht Frankfurt</v>
      </c>
      <c r="AC12" s="315" t="str">
        <f ca="1">IF(AS12&lt;AT12,$I12,IF(AS12&gt;AT12,$K12,""))</f>
        <v>Real Madrid</v>
      </c>
      <c r="AD12" s="315" t="b">
        <f>OR(NOT($AB$10),AND($L12&lt;&gt;"",$N12&lt;&gt;"",$O12&lt;&gt;"",$Q12&lt;&gt;"",$L12&lt;&gt;$N12,$O12&lt;&gt;$Q12,($L12&gt;$N12)+($O12&gt;$Q12)=1))</f>
        <v>0</v>
      </c>
      <c r="AE12" s="500" t="b">
        <f ca="1">AND($L12&lt;&gt;"",$N12&lt;&gt;"",$L12&lt;&gt;$N12,OR(AND($O12="",$Q12=""),AND($O12&lt;&gt;"",$Q12&lt;&gt;"",$O12&lt;&gt;$Q12)),$I12&lt;&gt;"",$K12&lt;&gt;"",$I12&lt;&gt;$K12)</f>
        <v>1</v>
      </c>
      <c r="AF12" s="315" t="b">
        <f>AND(AD12,$R12&lt;&gt;"",$T12&lt;&gt;"",$R12&lt;&gt;$T12)</f>
        <v>0</v>
      </c>
      <c r="AG12" s="500">
        <f ca="1">(($L12&gt;$N12)+($O12&gt;$Q12)+($R12&gt;$T12)*AF12)*AE12</f>
        <v>2</v>
      </c>
      <c r="AH12" s="500">
        <f ca="1">(($L12&lt;$N12)+($O12&lt;$Q12)+($R12&lt;$T12)*AF12)*AE12</f>
        <v>0</v>
      </c>
      <c r="AI12" s="315"/>
      <c r="AJ12" s="315" t="b">
        <f>AND($AB$10,OR(AND($L12&lt;&gt;"",$L12=$N12),AND($O12&lt;&gt;"",$O12=$Q12)))</f>
        <v>0</v>
      </c>
      <c r="AK12" s="315" t="b">
        <f>AND($AB$10,$R12&lt;&gt;"",$T12&lt;&gt;"",$R12=$T12,$AD12)</f>
        <v>0</v>
      </c>
      <c r="AL12" s="315"/>
      <c r="AM12" s="315" t="b">
        <f ca="1">AND($L12&lt;&gt;"",$N12&lt;&gt;"",$I12&lt;&gt;"",$K12&lt;&gt;"",$I12&lt;&gt;$K12)</f>
        <v>1</v>
      </c>
      <c r="AN12" s="315" t="b">
        <f ca="1">AND($O12&lt;&gt;"",$Q12&lt;&gt;"",$I12&lt;&gt;"",$K12&lt;&gt;"",$I12&lt;&gt;$K12)</f>
        <v>1</v>
      </c>
      <c r="AO12" s="315" t="b">
        <f ca="1">AND($R12&lt;&gt;"",$T12&lt;&gt;"",$I12&lt;&gt;"",$K12&lt;&gt;"",$I12&lt;&gt;$K12)</f>
        <v>0</v>
      </c>
      <c r="AP12" s="500">
        <f ca="1">(($L12&gt;$N12)+($L12=$N12)*0.5)*$AM12+(($O12&gt;$Q12)+($O12=$Q12)*0.5)*$AN12+(($R12&gt;$T12)+($R12=$T12)*0.5)*$AO12</f>
        <v>2</v>
      </c>
      <c r="AQ12" s="500">
        <f ca="1">(($L12&lt;$N12)+($L12=$N12)*0.5)*$AM12+(($O12&lt;$Q12)+($O12=$Q12)*0.5)*$AN12+(($R12&lt;$T12)+($R12=$T12)*0.5)*$AO12</f>
        <v>0</v>
      </c>
      <c r="AR12" s="315"/>
      <c r="AS12" s="500">
        <f ca="1">IF($AB$10,$AG12,$AP12)</f>
        <v>2</v>
      </c>
      <c r="AT12" s="500">
        <f ca="1">IF($AB$10,$AH12,$AQ12)</f>
        <v>0</v>
      </c>
    </row>
    <row r="13" spans="1:46" ht="24" customHeight="1" thickBot="1" x14ac:dyDescent="0.25">
      <c r="A13" s="315"/>
      <c r="B13" s="553"/>
      <c r="C13" s="372">
        <f ca="1">$C$12+1</f>
        <v>42</v>
      </c>
      <c r="D13" s="375">
        <f ca="1">IF(Planung!$V$15,"",$D$12+($V$12+(Planung!$S$9+Planung!$S$7)*($E$12=$E$13))/1440)</f>
        <v>0.61805555555555558</v>
      </c>
      <c r="E13" s="351">
        <f>IF(Planung!$V$15,"",1+(Planung!$S$11&gt;1)*1)</f>
        <v>2</v>
      </c>
      <c r="F13" s="406" t="s">
        <v>265</v>
      </c>
      <c r="G13" s="551" t="s">
        <v>4</v>
      </c>
      <c r="H13" s="408" t="s">
        <v>320</v>
      </c>
      <c r="I13" s="513" t="str">
        <f ca="1">VLOOKUP($F13,$X$11:$Y$17,2,0)</f>
        <v>Inter Mailand</v>
      </c>
      <c r="J13" s="514" t="s">
        <v>4</v>
      </c>
      <c r="K13" s="515" t="str">
        <f ca="1">VLOOKUP($H13,$X$11:$Y$17,2,0)</f>
        <v>TSG Saalberg eV</v>
      </c>
      <c r="L13" s="324">
        <v>23</v>
      </c>
      <c r="M13" s="352" t="str">
        <f>Sprache!$E$109</f>
        <v xml:space="preserve"> : </v>
      </c>
      <c r="N13" s="318">
        <v>25</v>
      </c>
      <c r="O13" s="324">
        <v>18</v>
      </c>
      <c r="P13" s="644" t="str">
        <f>Sprache!$E$109</f>
        <v xml:space="preserve"> : </v>
      </c>
      <c r="Q13" s="318">
        <v>25</v>
      </c>
      <c r="R13" s="334"/>
      <c r="S13" s="352" t="str">
        <f>Sprache!$E$109</f>
        <v xml:space="preserve"> : </v>
      </c>
      <c r="T13" s="319"/>
      <c r="U13" s="353"/>
      <c r="V13" s="709"/>
      <c r="W13" s="315"/>
      <c r="X13" s="550" t="s">
        <v>264</v>
      </c>
      <c r="Y13" s="450" t="str">
        <f ca="1">IF(Vorrunde!$X$12="","",Vorrunde!$X$12)</f>
        <v>Eintracht Frankfurt</v>
      </c>
      <c r="AB13" s="315" t="str">
        <f t="shared" ref="AB13:AB16" ca="1" si="0">IF(AS13&gt;AT13,$I13,IF(AS13&lt;AT13,$K13,""))</f>
        <v>TSG Saalberg eV</v>
      </c>
      <c r="AC13" s="315" t="str">
        <f t="shared" ref="AC13:AC16" ca="1" si="1">IF(AS13&lt;AT13,$I13,IF(AS13&gt;AT13,$K13,""))</f>
        <v>Inter Mailand</v>
      </c>
      <c r="AD13" s="315" t="b">
        <f t="shared" ref="AD13:AD16" si="2">OR(NOT($AB$10),AND($L13&lt;&gt;"",$N13&lt;&gt;"",$O13&lt;&gt;"",$Q13&lt;&gt;"",$L13&lt;&gt;$N13,$O13&lt;&gt;$Q13,($L13&gt;$N13)+($O13&gt;$Q13)=1))</f>
        <v>0</v>
      </c>
      <c r="AE13" s="500" t="b">
        <f t="shared" ref="AE13:AE16" ca="1" si="3">AND($L13&lt;&gt;"",$N13&lt;&gt;"",$L13&lt;&gt;$N13,OR(AND($O13="",$Q13=""),AND($O13&lt;&gt;"",$Q13&lt;&gt;"",$O13&lt;&gt;$Q13)),$I13&lt;&gt;"",$K13&lt;&gt;"",$I13&lt;&gt;$K13)</f>
        <v>1</v>
      </c>
      <c r="AF13" s="315" t="b">
        <f t="shared" ref="AF13:AF16" si="4">AND(AD13,$R13&lt;&gt;"",$T13&lt;&gt;"",$R13&lt;&gt;$T13)</f>
        <v>0</v>
      </c>
      <c r="AG13" s="500">
        <f t="shared" ref="AG13:AG16" ca="1" si="5">(($L13&gt;$N13)+($O13&gt;$Q13)+($R13&gt;$T13)*AF13)*AE13</f>
        <v>0</v>
      </c>
      <c r="AH13" s="500">
        <f t="shared" ref="AH13:AH16" ca="1" si="6">(($L13&lt;$N13)+($O13&lt;$Q13)+($R13&lt;$T13)*AF13)*AE13</f>
        <v>2</v>
      </c>
      <c r="AI13" s="315"/>
      <c r="AJ13" s="315" t="b">
        <f t="shared" ref="AJ13:AJ16" si="7">AND($AB$10,OR(AND($L13&lt;&gt;"",$L13=$N13),AND($O13&lt;&gt;"",$O13=$Q13)))</f>
        <v>0</v>
      </c>
      <c r="AK13" s="315" t="b">
        <f t="shared" ref="AK13:AK16" si="8">AND($AB$10,$R13&lt;&gt;"",$T13&lt;&gt;"",$R13=$T13,$AD13)</f>
        <v>0</v>
      </c>
      <c r="AL13" s="315"/>
      <c r="AM13" s="315" t="b">
        <f t="shared" ref="AM13:AM16" ca="1" si="9">AND($L13&lt;&gt;"",$N13&lt;&gt;"",$I13&lt;&gt;"",$K13&lt;&gt;"",$I13&lt;&gt;$K13)</f>
        <v>1</v>
      </c>
      <c r="AN13" s="315" t="b">
        <f t="shared" ref="AN13:AN16" ca="1" si="10">AND($O13&lt;&gt;"",$Q13&lt;&gt;"",$I13&lt;&gt;"",$K13&lt;&gt;"",$I13&lt;&gt;$K13)</f>
        <v>1</v>
      </c>
      <c r="AO13" s="315" t="b">
        <f t="shared" ref="AO13:AO16" ca="1" si="11">AND($R13&lt;&gt;"",$T13&lt;&gt;"",$I13&lt;&gt;"",$K13&lt;&gt;"",$I13&lt;&gt;$K13)</f>
        <v>0</v>
      </c>
      <c r="AP13" s="500">
        <f t="shared" ref="AP13:AP16" ca="1" si="12">(($L13&gt;$N13)+($L13=$N13)*0.5)*$AM13+(($O13&gt;$Q13)+($O13=$Q13)*0.5)*$AN13+(($R13&gt;$T13)+($R13=$T13)*0.5)*$AO13</f>
        <v>0</v>
      </c>
      <c r="AQ13" s="500">
        <f t="shared" ref="AQ13:AQ16" ca="1" si="13">(($L13&lt;$N13)+($L13=$N13)*0.5)*$AM13+(($O13&lt;$Q13)+($O13=$Q13)*0.5)*$AN13+(($R13&lt;$T13)+($R13=$T13)*0.5)*$AO13</f>
        <v>2</v>
      </c>
      <c r="AR13" s="315"/>
      <c r="AS13" s="500">
        <f t="shared" ref="AS13:AS16" ca="1" si="14">IF($AB$10,$AG13,$AP13)</f>
        <v>0</v>
      </c>
      <c r="AT13" s="500">
        <f t="shared" ref="AT13:AT16" ca="1" si="15">IF($AB$10,$AH13,$AQ13)</f>
        <v>2</v>
      </c>
    </row>
    <row r="14" spans="1:46" ht="24" customHeight="1" thickTop="1" thickBot="1" x14ac:dyDescent="0.35">
      <c r="A14" s="315"/>
      <c r="B14" s="553"/>
      <c r="C14" s="554" t="str">
        <f>Sprache!$E$54</f>
        <v>Endspiele</v>
      </c>
      <c r="D14" s="554"/>
      <c r="E14" s="554"/>
      <c r="F14" s="554"/>
      <c r="G14" s="554"/>
      <c r="H14" s="554"/>
      <c r="I14" s="516"/>
      <c r="J14" s="120"/>
      <c r="K14" s="516"/>
      <c r="L14" s="339"/>
      <c r="M14" s="339"/>
      <c r="N14" s="339"/>
      <c r="O14" s="339"/>
      <c r="P14" s="339"/>
      <c r="Q14" s="339"/>
      <c r="R14" s="339"/>
      <c r="S14" s="339"/>
      <c r="T14" s="339"/>
      <c r="U14" s="457"/>
      <c r="V14" s="341"/>
      <c r="W14" s="315"/>
      <c r="X14" s="419" t="s">
        <v>265</v>
      </c>
      <c r="Y14" s="451" t="str">
        <f ca="1">IF(Vorrunde!$X$22="","",Vorrunde!$X$22)</f>
        <v>Inter Mailand</v>
      </c>
      <c r="AB14" s="315"/>
      <c r="AC14" s="315"/>
      <c r="AD14" s="315"/>
      <c r="AE14" s="500"/>
      <c r="AF14" s="315"/>
      <c r="AG14" s="500"/>
      <c r="AH14" s="500"/>
      <c r="AI14" s="315"/>
      <c r="AJ14" s="315"/>
      <c r="AK14" s="315"/>
      <c r="AL14" s="315"/>
      <c r="AM14" s="315"/>
      <c r="AN14" s="315"/>
      <c r="AO14" s="315"/>
      <c r="AP14" s="500"/>
      <c r="AQ14" s="500"/>
      <c r="AR14" s="315"/>
      <c r="AS14" s="500"/>
      <c r="AT14" s="500"/>
    </row>
    <row r="15" spans="1:46" ht="24" customHeight="1" thickTop="1" x14ac:dyDescent="0.2">
      <c r="A15" s="315"/>
      <c r="B15" s="553"/>
      <c r="C15" s="376">
        <f ca="1">$C$12+2</f>
        <v>43</v>
      </c>
      <c r="D15" s="377">
        <f ca="1">IF(Planung!$V$15,"",$D$13+($V$13+Planung!$S$9+Planung!$S$7)/1440)</f>
        <v>0.64236111111111116</v>
      </c>
      <c r="E15" s="342">
        <f>IF(Planung!$V$15,"",1)</f>
        <v>1</v>
      </c>
      <c r="F15" s="975" t="str">
        <f>Sprache!$E$118</f>
        <v>3. Platz</v>
      </c>
      <c r="G15" s="976"/>
      <c r="H15" s="977"/>
      <c r="I15" s="343" t="str">
        <f ca="1">AC12</f>
        <v>Real Madrid</v>
      </c>
      <c r="J15" s="344" t="s">
        <v>4</v>
      </c>
      <c r="K15" s="345" t="str">
        <f ca="1">AC13</f>
        <v>Inter Mailand</v>
      </c>
      <c r="L15" s="346">
        <v>25</v>
      </c>
      <c r="M15" s="347" t="str">
        <f>Sprache!$E$109</f>
        <v xml:space="preserve"> : </v>
      </c>
      <c r="N15" s="348">
        <v>22</v>
      </c>
      <c r="O15" s="346">
        <v>19</v>
      </c>
      <c r="P15" s="647" t="str">
        <f>Sprache!$E$109</f>
        <v xml:space="preserve"> : </v>
      </c>
      <c r="Q15" s="348">
        <v>25</v>
      </c>
      <c r="R15" s="349">
        <v>12</v>
      </c>
      <c r="S15" s="347" t="str">
        <f>Sprache!$E$109</f>
        <v xml:space="preserve"> : </v>
      </c>
      <c r="T15" s="350">
        <v>15</v>
      </c>
      <c r="U15" s="730"/>
      <c r="V15" s="707"/>
      <c r="W15" s="315"/>
      <c r="X15" s="549" t="s">
        <v>266</v>
      </c>
      <c r="Y15" s="451" t="str">
        <f ca="1">IF(Vorrunde!$X$32="","",Vorrunde!$X$32)</f>
        <v>Real Madrid</v>
      </c>
      <c r="AB15" s="315" t="str">
        <f t="shared" ca="1" si="0"/>
        <v>Inter Mailand</v>
      </c>
      <c r="AC15" s="315" t="str">
        <f t="shared" ca="1" si="1"/>
        <v>Real Madrid</v>
      </c>
      <c r="AD15" s="315" t="b">
        <f t="shared" si="2"/>
        <v>1</v>
      </c>
      <c r="AE15" s="500" t="b">
        <f t="shared" ca="1" si="3"/>
        <v>1</v>
      </c>
      <c r="AF15" s="315" t="b">
        <f t="shared" si="4"/>
        <v>1</v>
      </c>
      <c r="AG15" s="500">
        <f t="shared" ca="1" si="5"/>
        <v>1</v>
      </c>
      <c r="AH15" s="500">
        <f t="shared" ca="1" si="6"/>
        <v>2</v>
      </c>
      <c r="AI15" s="315"/>
      <c r="AJ15" s="315" t="b">
        <f t="shared" si="7"/>
        <v>0</v>
      </c>
      <c r="AK15" s="315" t="b">
        <f t="shared" si="8"/>
        <v>0</v>
      </c>
      <c r="AL15" s="315"/>
      <c r="AM15" s="315" t="b">
        <f t="shared" ca="1" si="9"/>
        <v>1</v>
      </c>
      <c r="AN15" s="315" t="b">
        <f t="shared" ca="1" si="10"/>
        <v>1</v>
      </c>
      <c r="AO15" s="315" t="b">
        <f t="shared" ca="1" si="11"/>
        <v>1</v>
      </c>
      <c r="AP15" s="500">
        <f t="shared" ca="1" si="12"/>
        <v>1</v>
      </c>
      <c r="AQ15" s="500">
        <f t="shared" ca="1" si="13"/>
        <v>2</v>
      </c>
      <c r="AR15" s="315"/>
      <c r="AS15" s="500">
        <f t="shared" ca="1" si="14"/>
        <v>1</v>
      </c>
      <c r="AT15" s="500">
        <f t="shared" ca="1" si="15"/>
        <v>2</v>
      </c>
    </row>
    <row r="16" spans="1:46" ht="27.95" customHeight="1" thickBot="1" x14ac:dyDescent="0.25">
      <c r="A16" s="315"/>
      <c r="B16" s="369"/>
      <c r="C16" s="372">
        <f ca="1">$C$12+3</f>
        <v>44</v>
      </c>
      <c r="D16" s="375">
        <f ca="1">IF(Planung!$V$15,"",$D$15+($V$15+Planung!$S$9+Planung!$S$7)/1440)</f>
        <v>0.66666666666666674</v>
      </c>
      <c r="E16" s="351">
        <f>IF(Planung!$V$15,"",1)</f>
        <v>1</v>
      </c>
      <c r="F16" s="978" t="str">
        <f>Sprache!$E$119</f>
        <v>Finale</v>
      </c>
      <c r="G16" s="979"/>
      <c r="H16" s="980"/>
      <c r="I16" s="320" t="str">
        <f ca="1">AB12</f>
        <v>Eintracht Frankfurt</v>
      </c>
      <c r="J16" s="153" t="s">
        <v>4</v>
      </c>
      <c r="K16" s="321" t="str">
        <f ca="1">AB13</f>
        <v>TSG Saalberg eV</v>
      </c>
      <c r="L16" s="324">
        <v>22</v>
      </c>
      <c r="M16" s="352" t="str">
        <f>Sprache!$E$109</f>
        <v xml:space="preserve"> : </v>
      </c>
      <c r="N16" s="318">
        <v>25</v>
      </c>
      <c r="O16" s="324">
        <v>20</v>
      </c>
      <c r="P16" s="644" t="str">
        <f>Sprache!$E$109</f>
        <v xml:space="preserve"> : </v>
      </c>
      <c r="Q16" s="318">
        <v>25</v>
      </c>
      <c r="R16" s="334"/>
      <c r="S16" s="352" t="str">
        <f>Sprache!$E$109</f>
        <v xml:space="preserve"> : </v>
      </c>
      <c r="T16" s="319"/>
      <c r="U16" s="353"/>
      <c r="V16" s="710"/>
      <c r="W16" s="315"/>
      <c r="X16" s="393" t="s">
        <v>320</v>
      </c>
      <c r="Y16" s="452" t="str">
        <f ca="1">IF(Vorrunde!$X$42="","",Vorrunde!$X$42)</f>
        <v>TSG Saalberg eV</v>
      </c>
      <c r="AB16" s="315" t="str">
        <f t="shared" ca="1" si="0"/>
        <v>TSG Saalberg eV</v>
      </c>
      <c r="AC16" s="315" t="str">
        <f t="shared" ca="1" si="1"/>
        <v>Eintracht Frankfurt</v>
      </c>
      <c r="AD16" s="315" t="b">
        <f t="shared" si="2"/>
        <v>0</v>
      </c>
      <c r="AE16" s="500" t="b">
        <f t="shared" ca="1" si="3"/>
        <v>1</v>
      </c>
      <c r="AF16" s="315" t="b">
        <f t="shared" si="4"/>
        <v>0</v>
      </c>
      <c r="AG16" s="500">
        <f t="shared" ca="1" si="5"/>
        <v>0</v>
      </c>
      <c r="AH16" s="500">
        <f t="shared" ca="1" si="6"/>
        <v>2</v>
      </c>
      <c r="AI16" s="315"/>
      <c r="AJ16" s="315" t="b">
        <f t="shared" si="7"/>
        <v>0</v>
      </c>
      <c r="AK16" s="315" t="b">
        <f t="shared" si="8"/>
        <v>0</v>
      </c>
      <c r="AL16" s="315"/>
      <c r="AM16" s="315" t="b">
        <f t="shared" ca="1" si="9"/>
        <v>1</v>
      </c>
      <c r="AN16" s="315" t="b">
        <f t="shared" ca="1" si="10"/>
        <v>1</v>
      </c>
      <c r="AO16" s="315" t="b">
        <f t="shared" ca="1" si="11"/>
        <v>0</v>
      </c>
      <c r="AP16" s="500">
        <f t="shared" ca="1" si="12"/>
        <v>0</v>
      </c>
      <c r="AQ16" s="500">
        <f t="shared" ca="1" si="13"/>
        <v>2</v>
      </c>
      <c r="AR16" s="315"/>
      <c r="AS16" s="500">
        <f t="shared" ca="1" si="14"/>
        <v>0</v>
      </c>
      <c r="AT16" s="500">
        <f t="shared" ca="1" si="15"/>
        <v>2</v>
      </c>
    </row>
    <row r="17" spans="1:35" ht="24" customHeight="1" thickTop="1" x14ac:dyDescent="0.2">
      <c r="A17" s="315"/>
      <c r="B17" s="369"/>
      <c r="C17" s="556"/>
      <c r="W17" s="315"/>
      <c r="X17" s="47"/>
      <c r="Y17" s="47"/>
      <c r="AC17" s="552"/>
      <c r="AD17" s="555"/>
      <c r="AE17" s="555"/>
      <c r="AF17" s="555"/>
      <c r="AG17" s="555"/>
      <c r="AH17" s="555"/>
      <c r="AI17" s="555"/>
    </row>
    <row r="18" spans="1:35" ht="24" customHeight="1" x14ac:dyDescent="0.2">
      <c r="A18" s="315"/>
      <c r="B18" s="369"/>
      <c r="C18" s="335"/>
      <c r="D18" s="335"/>
      <c r="E18" s="335"/>
      <c r="F18" s="335"/>
      <c r="G18" s="335"/>
      <c r="H18" s="335"/>
      <c r="I18" s="336" t="str">
        <f>Sprache!$E$29</f>
        <v>Turnierende:</v>
      </c>
      <c r="J18" s="335"/>
      <c r="K18" s="337">
        <f ca="1">IF(Planung!$S$13="","",$D$16+Planung!$S$7/1440)</f>
        <v>0.68750000000000011</v>
      </c>
      <c r="L18" s="338"/>
      <c r="M18" s="338"/>
      <c r="N18" s="338"/>
      <c r="O18" s="338"/>
      <c r="P18" s="338"/>
      <c r="Q18" s="338"/>
      <c r="R18" s="338"/>
      <c r="S18" s="338"/>
      <c r="T18" s="338"/>
      <c r="U18" s="338"/>
      <c r="V18" s="338"/>
      <c r="W18" s="315"/>
      <c r="AC18" s="552"/>
      <c r="AD18" s="555"/>
      <c r="AE18" s="555"/>
      <c r="AF18" s="555"/>
      <c r="AG18" s="555"/>
      <c r="AH18" s="555"/>
      <c r="AI18" s="555"/>
    </row>
    <row r="19" spans="1:35" ht="27.95" customHeight="1" thickBot="1" x14ac:dyDescent="0.25">
      <c r="A19" s="315"/>
      <c r="B19" s="369"/>
      <c r="C19" s="557"/>
      <c r="D19" s="331"/>
      <c r="W19" s="315"/>
      <c r="AC19" s="552"/>
      <c r="AD19" s="555"/>
      <c r="AE19" s="555"/>
      <c r="AF19" s="555"/>
      <c r="AG19" s="555"/>
      <c r="AH19" s="555"/>
      <c r="AI19" s="555"/>
    </row>
    <row r="20" spans="1:35" ht="24" customHeight="1" thickBot="1" x14ac:dyDescent="0.25">
      <c r="A20" s="315"/>
      <c r="B20" s="369"/>
      <c r="C20" s="557"/>
      <c r="F20" s="947" t="str">
        <f>Sprache!$E$117</f>
        <v>Rang</v>
      </c>
      <c r="G20" s="948"/>
      <c r="H20" s="948"/>
      <c r="I20" s="983" t="str">
        <f>"  "&amp;Sprache!$E$10</f>
        <v xml:space="preserve">  Teilnehmer bzw. Mannschaft</v>
      </c>
      <c r="J20" s="983"/>
      <c r="K20" s="984"/>
      <c r="W20" s="315"/>
      <c r="AC20" s="552"/>
      <c r="AD20" s="555"/>
      <c r="AE20" s="555"/>
      <c r="AF20" s="555"/>
      <c r="AG20" s="555"/>
      <c r="AH20" s="555"/>
      <c r="AI20" s="555"/>
    </row>
    <row r="21" spans="1:35" ht="24" customHeight="1" thickTop="1" x14ac:dyDescent="0.2">
      <c r="A21" s="315"/>
      <c r="B21" s="369"/>
      <c r="C21" s="557"/>
      <c r="E21" s="332">
        <v>1</v>
      </c>
      <c r="F21" s="949">
        <v>1</v>
      </c>
      <c r="G21" s="950"/>
      <c r="H21" s="950"/>
      <c r="I21" s="957" t="str">
        <f ca="1">AB16</f>
        <v>TSG Saalberg eV</v>
      </c>
      <c r="J21" s="957"/>
      <c r="K21" s="958"/>
      <c r="W21" s="315"/>
    </row>
    <row r="22" spans="1:35" ht="24" customHeight="1" x14ac:dyDescent="0.2">
      <c r="E22" s="332">
        <v>2</v>
      </c>
      <c r="F22" s="951">
        <v>2</v>
      </c>
      <c r="G22" s="952"/>
      <c r="H22" s="952"/>
      <c r="I22" s="959" t="str">
        <f ca="1">AC16</f>
        <v>Eintracht Frankfurt</v>
      </c>
      <c r="J22" s="959"/>
      <c r="K22" s="960"/>
    </row>
    <row r="23" spans="1:35" ht="24" customHeight="1" x14ac:dyDescent="0.2">
      <c r="E23" s="332">
        <v>3</v>
      </c>
      <c r="F23" s="953">
        <v>3</v>
      </c>
      <c r="G23" s="954"/>
      <c r="H23" s="954"/>
      <c r="I23" s="961" t="str">
        <f ca="1">AB15</f>
        <v>Inter Mailand</v>
      </c>
      <c r="J23" s="961"/>
      <c r="K23" s="962"/>
    </row>
    <row r="24" spans="1:35" ht="24" customHeight="1" thickBot="1" x14ac:dyDescent="0.25">
      <c r="E24" s="332">
        <v>4</v>
      </c>
      <c r="F24" s="945">
        <v>4</v>
      </c>
      <c r="G24" s="946"/>
      <c r="H24" s="946"/>
      <c r="I24" s="939" t="str">
        <f ca="1">AC15</f>
        <v>Real Madrid</v>
      </c>
      <c r="J24" s="939"/>
      <c r="K24" s="940"/>
    </row>
    <row r="25" spans="1:35" ht="24" customHeight="1" thickTop="1" x14ac:dyDescent="0.2"/>
    <row r="26" spans="1:35" ht="12.75" customHeight="1" x14ac:dyDescent="0.2"/>
    <row r="27" spans="1:35" ht="12.75" customHeight="1" x14ac:dyDescent="0.2"/>
  </sheetData>
  <sheetProtection sheet="1" selectLockedCells="1"/>
  <mergeCells count="31">
    <mergeCell ref="AD10:AH10"/>
    <mergeCell ref="AJ10:AK10"/>
    <mergeCell ref="AM10:AQ10"/>
    <mergeCell ref="AP11:AQ11"/>
    <mergeCell ref="AS11:AT11"/>
    <mergeCell ref="V9:V11"/>
    <mergeCell ref="F11:H11"/>
    <mergeCell ref="I11:K11"/>
    <mergeCell ref="L11:N11"/>
    <mergeCell ref="O11:Q11"/>
    <mergeCell ref="H2:X2"/>
    <mergeCell ref="H3:X3"/>
    <mergeCell ref="H4:X4"/>
    <mergeCell ref="H5:X5"/>
    <mergeCell ref="J7:T8"/>
    <mergeCell ref="AG11:AH11"/>
    <mergeCell ref="F24:H24"/>
    <mergeCell ref="I24:K24"/>
    <mergeCell ref="C10:H10"/>
    <mergeCell ref="F21:H21"/>
    <mergeCell ref="I21:K21"/>
    <mergeCell ref="F22:H22"/>
    <mergeCell ref="I22:K22"/>
    <mergeCell ref="F23:H23"/>
    <mergeCell ref="I23:K23"/>
    <mergeCell ref="F20:H20"/>
    <mergeCell ref="I20:K20"/>
    <mergeCell ref="R11:T11"/>
    <mergeCell ref="F15:H15"/>
    <mergeCell ref="F16:H16"/>
    <mergeCell ref="X11:Y11"/>
  </mergeCells>
  <conditionalFormatting sqref="R12:T13 R15:T16">
    <cfRule type="expression" dxfId="17" priority="2">
      <formula>$AK12</formula>
    </cfRule>
    <cfRule type="expression" dxfId="16" priority="4">
      <formula>NOT($AD12)</formula>
    </cfRule>
  </conditionalFormatting>
  <conditionalFormatting sqref="L12:Q13 L15:Q16">
    <cfRule type="expression" dxfId="15" priority="3">
      <formula>$AJ12</formula>
    </cfRule>
  </conditionalFormatting>
  <conditionalFormatting sqref="L12:T13 L15:T16">
    <cfRule type="expression" dxfId="14" priority="1">
      <formula>OR($I12="",$K12="")</formula>
    </cfRule>
  </conditionalFormatting>
  <pageMargins left="0.7" right="0.7" top="0.78740157499999996" bottom="0.78740157499999996"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07B7-4FFC-4F11-96FD-E4E5F6F7626A}">
  <dimension ref="A1:BB79"/>
  <sheetViews>
    <sheetView showGridLines="0" showRowColHeaders="0" workbookViewId="0">
      <selection activeCell="K12" sqref="K12"/>
    </sheetView>
  </sheetViews>
  <sheetFormatPr baseColWidth="10" defaultColWidth="0" defaultRowHeight="12.75" zeroHeight="1" x14ac:dyDescent="0.2"/>
  <cols>
    <col min="1" max="1" width="2.85546875" customWidth="1"/>
    <col min="2" max="2" width="5.140625" customWidth="1"/>
    <col min="3" max="3" width="9.140625" customWidth="1"/>
    <col min="4" max="4" width="7.140625" customWidth="1"/>
    <col min="5" max="5" width="4.7109375" customWidth="1"/>
    <col min="6" max="6" width="2.28515625" customWidth="1"/>
    <col min="7" max="7" width="4.7109375" customWidth="1"/>
    <col min="8" max="8" width="24.7109375" customWidth="1"/>
    <col min="9" max="9" width="3.28515625" customWidth="1"/>
    <col min="10" max="10" width="24.7109375" customWidth="1"/>
    <col min="11" max="11" width="4.7109375" customWidth="1"/>
    <col min="12" max="12" width="2.28515625" customWidth="1"/>
    <col min="13" max="14" width="4.7109375" customWidth="1"/>
    <col min="15" max="15" width="2.28515625" customWidth="1"/>
    <col min="16" max="17" width="4.7109375" customWidth="1"/>
    <col min="18" max="18" width="2.28515625" customWidth="1"/>
    <col min="19" max="20" width="4.7109375" customWidth="1"/>
    <col min="21" max="21" width="2.28515625" customWidth="1"/>
    <col min="22" max="22" width="4.7109375" customWidth="1"/>
    <col min="23" max="23" width="15.5703125" customWidth="1"/>
    <col min="24" max="24" width="7.7109375" customWidth="1"/>
    <col min="25" max="25" width="5.140625" customWidth="1"/>
    <col min="26" max="26" width="6.5703125" customWidth="1"/>
    <col min="27" max="27" width="24.7109375" customWidth="1"/>
    <col min="28" max="31" width="5.7109375" customWidth="1"/>
    <col min="32" max="32" width="4.7109375" customWidth="1"/>
    <col min="33" max="33" width="2.28515625" customWidth="1"/>
    <col min="34" max="34" width="4.7109375" customWidth="1"/>
    <col min="35" max="36" width="5.7109375" customWidth="1"/>
    <col min="37" max="37" width="2.28515625" customWidth="1"/>
    <col min="38" max="39" width="5.7109375" customWidth="1"/>
    <col min="40" max="40" width="11.85546875" customWidth="1"/>
    <col min="41" max="41" width="4" customWidth="1"/>
    <col min="42" max="42" width="7.7109375" customWidth="1"/>
    <col min="43" max="43" width="24.7109375" customWidth="1"/>
    <col min="44" max="44" width="1.140625" customWidth="1"/>
    <col min="45" max="46" width="11.42578125" customWidth="1"/>
    <col min="47" max="16384" width="11.42578125" hidden="1"/>
  </cols>
  <sheetData>
    <row r="1" spans="1:54" ht="13.5" thickBot="1" x14ac:dyDescent="0.25">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row>
    <row r="2" spans="1:54" ht="36" customHeight="1" thickTop="1" x14ac:dyDescent="0.2">
      <c r="A2" s="47"/>
      <c r="B2" s="47"/>
      <c r="C2" s="47"/>
      <c r="D2" s="47"/>
      <c r="E2" s="47"/>
      <c r="F2" s="523"/>
      <c r="G2" s="523"/>
      <c r="H2" s="523"/>
      <c r="I2" s="576"/>
      <c r="J2" s="915" t="str">
        <f>Vorrunde!$H$2</f>
        <v>Internationales U10-Turnier am 27.01.2026</v>
      </c>
      <c r="K2" s="916"/>
      <c r="L2" s="916"/>
      <c r="M2" s="916"/>
      <c r="N2" s="916"/>
      <c r="O2" s="916"/>
      <c r="P2" s="916"/>
      <c r="Q2" s="916"/>
      <c r="R2" s="916"/>
      <c r="S2" s="916"/>
      <c r="T2" s="916"/>
      <c r="U2" s="916"/>
      <c r="V2" s="916"/>
      <c r="W2" s="916"/>
      <c r="X2" s="916"/>
      <c r="Y2" s="916"/>
      <c r="Z2" s="916"/>
      <c r="AA2" s="916"/>
      <c r="AB2" s="916"/>
      <c r="AC2" s="916"/>
      <c r="AD2" s="916"/>
      <c r="AE2" s="917"/>
      <c r="AF2" s="723"/>
      <c r="AG2" s="523"/>
      <c r="AH2" s="523"/>
      <c r="AI2" s="523"/>
      <c r="AJ2" s="523"/>
      <c r="AK2" s="523"/>
      <c r="AL2" s="523"/>
      <c r="AM2" s="523"/>
      <c r="AN2" s="523"/>
      <c r="AO2" s="523"/>
      <c r="AP2" s="523"/>
      <c r="AQ2" s="523"/>
      <c r="AR2" s="655"/>
      <c r="AS2" s="523"/>
      <c r="AT2" s="523"/>
      <c r="AU2" s="523"/>
    </row>
    <row r="3" spans="1:54" ht="30" customHeight="1" x14ac:dyDescent="0.2">
      <c r="A3" s="47"/>
      <c r="B3" s="47"/>
      <c r="C3" s="47"/>
      <c r="D3" s="47"/>
      <c r="E3" s="47"/>
      <c r="F3" s="524"/>
      <c r="G3" s="524"/>
      <c r="H3" s="524"/>
      <c r="I3" s="577"/>
      <c r="J3" s="918" t="str">
        <f>Vorrunde!$H$3</f>
        <v>Veranstalter:  1. FC Riedwald</v>
      </c>
      <c r="K3" s="919"/>
      <c r="L3" s="919"/>
      <c r="M3" s="919"/>
      <c r="N3" s="919"/>
      <c r="O3" s="919"/>
      <c r="P3" s="919"/>
      <c r="Q3" s="919"/>
      <c r="R3" s="919"/>
      <c r="S3" s="919"/>
      <c r="T3" s="919"/>
      <c r="U3" s="919"/>
      <c r="V3" s="919"/>
      <c r="W3" s="919"/>
      <c r="X3" s="919"/>
      <c r="Y3" s="919"/>
      <c r="Z3" s="919"/>
      <c r="AA3" s="919"/>
      <c r="AB3" s="919"/>
      <c r="AC3" s="919"/>
      <c r="AD3" s="919"/>
      <c r="AE3" s="920"/>
      <c r="AF3" s="724"/>
      <c r="AG3" s="524"/>
      <c r="AH3" s="524"/>
      <c r="AI3" s="524"/>
      <c r="AJ3" s="524"/>
      <c r="AK3" s="524"/>
      <c r="AL3" s="524"/>
      <c r="AM3" s="524"/>
      <c r="AN3" s="524"/>
      <c r="AO3" s="524"/>
      <c r="AP3" s="524"/>
      <c r="AQ3" s="524"/>
      <c r="AR3" s="656"/>
      <c r="AS3" s="524"/>
      <c r="AT3" s="524"/>
      <c r="AU3" s="524"/>
    </row>
    <row r="4" spans="1:54" ht="30" customHeight="1" x14ac:dyDescent="0.2">
      <c r="A4" s="47"/>
      <c r="B4" s="47"/>
      <c r="C4" s="47"/>
      <c r="D4" s="47"/>
      <c r="E4" s="47"/>
      <c r="F4" s="525"/>
      <c r="G4" s="525"/>
      <c r="H4" s="525"/>
      <c r="I4" s="578"/>
      <c r="J4" s="921" t="str">
        <f>Vorrunde!$H$4</f>
        <v>Sporthalle Wiesengrund, Wendiger Str. 51, 65432 Riedwald</v>
      </c>
      <c r="K4" s="922"/>
      <c r="L4" s="922"/>
      <c r="M4" s="922"/>
      <c r="N4" s="922"/>
      <c r="O4" s="922"/>
      <c r="P4" s="922"/>
      <c r="Q4" s="922"/>
      <c r="R4" s="922"/>
      <c r="S4" s="922"/>
      <c r="T4" s="922"/>
      <c r="U4" s="922"/>
      <c r="V4" s="922"/>
      <c r="W4" s="922"/>
      <c r="X4" s="922"/>
      <c r="Y4" s="922"/>
      <c r="Z4" s="922"/>
      <c r="AA4" s="922"/>
      <c r="AB4" s="922"/>
      <c r="AC4" s="922"/>
      <c r="AD4" s="922"/>
      <c r="AE4" s="923"/>
      <c r="AF4" s="725"/>
      <c r="AG4" s="525"/>
      <c r="AH4" s="525"/>
      <c r="AI4" s="525"/>
      <c r="AJ4" s="525"/>
      <c r="AK4" s="525"/>
      <c r="AL4" s="525"/>
      <c r="AM4" s="525"/>
      <c r="AN4" s="525"/>
      <c r="AO4" s="525"/>
      <c r="AP4" s="525"/>
      <c r="AQ4" s="525"/>
      <c r="AR4" s="657"/>
      <c r="AS4" s="525"/>
      <c r="AT4" s="525"/>
      <c r="AU4" s="525"/>
    </row>
    <row r="5" spans="1:54" ht="30" customHeight="1" thickBot="1" x14ac:dyDescent="0.25">
      <c r="A5" s="47"/>
      <c r="B5" s="47"/>
      <c r="C5" s="47"/>
      <c r="D5" s="47"/>
      <c r="E5" s="47"/>
      <c r="F5" s="525"/>
      <c r="G5" s="525"/>
      <c r="H5" s="525"/>
      <c r="I5" s="578"/>
      <c r="J5" s="924" t="str">
        <f>Vorrunde!$H$5</f>
        <v>Beginn:  9:00 Uhr</v>
      </c>
      <c r="K5" s="925"/>
      <c r="L5" s="925"/>
      <c r="M5" s="925"/>
      <c r="N5" s="925"/>
      <c r="O5" s="925"/>
      <c r="P5" s="925"/>
      <c r="Q5" s="925"/>
      <c r="R5" s="925"/>
      <c r="S5" s="925"/>
      <c r="T5" s="925"/>
      <c r="U5" s="925"/>
      <c r="V5" s="925"/>
      <c r="W5" s="925"/>
      <c r="X5" s="925"/>
      <c r="Y5" s="925"/>
      <c r="Z5" s="925"/>
      <c r="AA5" s="925"/>
      <c r="AB5" s="925"/>
      <c r="AC5" s="925"/>
      <c r="AD5" s="925"/>
      <c r="AE5" s="926"/>
      <c r="AF5" s="725"/>
      <c r="AG5" s="525"/>
      <c r="AH5" s="525"/>
      <c r="AI5" s="525"/>
      <c r="AJ5" s="525"/>
      <c r="AK5" s="525"/>
      <c r="AL5" s="525"/>
      <c r="AM5" s="525"/>
      <c r="AN5" s="525"/>
      <c r="AO5" s="525"/>
      <c r="AP5" s="525"/>
      <c r="AQ5" s="525"/>
      <c r="AR5" s="657"/>
      <c r="AS5" s="525"/>
      <c r="AT5" s="525"/>
      <c r="AU5" s="525"/>
    </row>
    <row r="6" spans="1:54" ht="19.5" customHeight="1" thickTop="1" thickBot="1" x14ac:dyDescent="0.25">
      <c r="A6" s="47"/>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394"/>
      <c r="AS6" s="47"/>
      <c r="AT6" s="47"/>
      <c r="AU6" s="47"/>
    </row>
    <row r="7" spans="1:54" ht="30" customHeight="1" thickTop="1" x14ac:dyDescent="0.2">
      <c r="A7" s="47"/>
      <c r="B7" s="47"/>
      <c r="C7" s="47"/>
      <c r="D7" s="47"/>
      <c r="E7" s="47"/>
      <c r="F7" s="47"/>
      <c r="G7" s="47"/>
      <c r="H7" s="47"/>
      <c r="I7" s="47"/>
      <c r="J7" s="47"/>
      <c r="K7" s="985" t="str">
        <f>Sprache!$E$19</f>
        <v>Endrunde</v>
      </c>
      <c r="L7" s="986"/>
      <c r="M7" s="986"/>
      <c r="N7" s="986"/>
      <c r="O7" s="986"/>
      <c r="P7" s="986"/>
      <c r="Q7" s="986"/>
      <c r="R7" s="986"/>
      <c r="S7" s="986"/>
      <c r="T7" s="986"/>
      <c r="U7" s="986"/>
      <c r="V7" s="986"/>
      <c r="W7" s="986"/>
      <c r="X7" s="986"/>
      <c r="Y7" s="986"/>
      <c r="Z7" s="986"/>
      <c r="AA7" s="998"/>
      <c r="AB7" s="526"/>
      <c r="AC7" s="526"/>
      <c r="AD7" s="526"/>
      <c r="AE7" s="47"/>
      <c r="AF7" s="47"/>
      <c r="AG7" s="47"/>
      <c r="AH7" s="47"/>
      <c r="AI7" s="47"/>
      <c r="AJ7" s="47"/>
      <c r="AK7" s="47"/>
      <c r="AL7" s="47"/>
      <c r="AM7" s="47"/>
      <c r="AN7" s="47"/>
      <c r="AO7" s="526"/>
      <c r="AP7" s="637"/>
      <c r="AQ7" s="637"/>
      <c r="AR7" s="658"/>
      <c r="AS7" s="637"/>
      <c r="AT7" s="47"/>
      <c r="AU7" s="47"/>
    </row>
    <row r="8" spans="1:54" ht="30" customHeight="1" thickBot="1" x14ac:dyDescent="0.25">
      <c r="A8" s="47"/>
      <c r="B8" s="47"/>
      <c r="C8" s="47"/>
      <c r="D8" s="47"/>
      <c r="E8" s="47"/>
      <c r="F8" s="47"/>
      <c r="G8" s="47"/>
      <c r="H8" s="47"/>
      <c r="I8" s="47"/>
      <c r="J8" s="47"/>
      <c r="K8" s="988"/>
      <c r="L8" s="989"/>
      <c r="M8" s="989"/>
      <c r="N8" s="989"/>
      <c r="O8" s="989"/>
      <c r="P8" s="989"/>
      <c r="Q8" s="989"/>
      <c r="R8" s="989"/>
      <c r="S8" s="989"/>
      <c r="T8" s="989"/>
      <c r="U8" s="989"/>
      <c r="V8" s="989"/>
      <c r="W8" s="989"/>
      <c r="X8" s="989"/>
      <c r="Y8" s="989"/>
      <c r="Z8" s="989"/>
      <c r="AA8" s="999"/>
      <c r="AB8" s="526"/>
      <c r="AC8" s="526"/>
      <c r="AD8" s="526"/>
      <c r="AE8" s="47"/>
      <c r="AF8" s="47"/>
      <c r="AG8" s="47"/>
      <c r="AH8" s="47"/>
      <c r="AI8" s="47"/>
      <c r="AJ8" s="47"/>
      <c r="AK8" s="47"/>
      <c r="AL8" s="47"/>
      <c r="AM8" s="47"/>
      <c r="AN8" s="47"/>
      <c r="AO8" s="526"/>
      <c r="AP8" s="637"/>
      <c r="AQ8" s="637"/>
      <c r="AR8" s="658"/>
      <c r="AS8" s="637"/>
      <c r="AT8" s="47"/>
      <c r="AU8" s="47"/>
    </row>
    <row r="9" spans="1:54" ht="12" customHeight="1" thickTop="1" x14ac:dyDescent="0.2">
      <c r="A9" s="47"/>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394"/>
      <c r="AS9" s="47"/>
      <c r="AT9" s="47"/>
      <c r="AU9" s="47"/>
      <c r="AV9" s="1051" t="s">
        <v>468</v>
      </c>
    </row>
    <row r="10" spans="1:54" ht="24" customHeight="1" thickBot="1" x14ac:dyDescent="0.45">
      <c r="A10" s="47"/>
      <c r="B10" s="851" t="str">
        <f>Sprache!$E$69</f>
        <v>Halbfinalspiele</v>
      </c>
      <c r="C10" s="851"/>
      <c r="D10" s="303"/>
      <c r="E10" s="303"/>
      <c r="F10" s="303"/>
      <c r="G10" s="303"/>
      <c r="H10" s="303"/>
      <c r="I10" s="303"/>
      <c r="J10" s="303"/>
      <c r="K10" s="397"/>
      <c r="L10" s="397"/>
      <c r="M10" s="397"/>
      <c r="N10" s="397"/>
      <c r="O10" s="397"/>
      <c r="P10" s="397"/>
      <c r="Q10" s="397"/>
      <c r="R10" s="397"/>
      <c r="S10" s="397"/>
      <c r="T10" s="397"/>
      <c r="U10" s="397"/>
      <c r="V10" s="397"/>
      <c r="W10" s="397"/>
      <c r="X10" s="967" t="str">
        <f>Sprache!$E$20</f>
        <v>Zusätzl. Pause (min)</v>
      </c>
      <c r="Y10" s="47"/>
      <c r="Z10" s="996" t="str">
        <f>Sprache!$E$64</f>
        <v>Gruppensechste</v>
      </c>
      <c r="AA10" s="996"/>
      <c r="AB10" s="996"/>
      <c r="AC10" s="996"/>
      <c r="AD10" s="996"/>
      <c r="AE10" s="996"/>
      <c r="AF10" s="804"/>
      <c r="AG10" s="804"/>
      <c r="AH10" s="804"/>
      <c r="AI10" s="804"/>
      <c r="AJ10" s="189"/>
      <c r="AK10" s="189"/>
      <c r="AL10" s="189"/>
      <c r="AM10" s="189"/>
      <c r="AN10" s="189"/>
      <c r="AO10" s="47"/>
      <c r="AP10" s="878" t="str">
        <f>Sprache!$E$64</f>
        <v>Gruppensechste</v>
      </c>
      <c r="AQ10" s="878"/>
      <c r="AR10" s="640"/>
      <c r="AS10" s="645" t="str">
        <f>Sprache!$E$49</f>
        <v>Tie-Break</v>
      </c>
      <c r="AT10" s="270"/>
      <c r="AU10" s="270"/>
      <c r="AV10" s="738" t="b">
        <f>Einstellungen!$B$45=Sprache!$E$90</f>
        <v>1</v>
      </c>
    </row>
    <row r="11" spans="1:54" ht="24" customHeight="1" thickTop="1" thickBot="1" x14ac:dyDescent="0.45">
      <c r="A11" s="47"/>
      <c r="B11" s="398" t="str">
        <f>Sprache!$E$9</f>
        <v>Nr.</v>
      </c>
      <c r="C11" s="795" t="str">
        <f>Sprache!$E$39</f>
        <v>Beginn:</v>
      </c>
      <c r="D11" s="795" t="str">
        <f>Sprache!$E$48</f>
        <v>Feld</v>
      </c>
      <c r="E11" s="932"/>
      <c r="F11" s="933"/>
      <c r="G11" s="934"/>
      <c r="H11" s="932" t="str">
        <f>Sprache!$E$14</f>
        <v>Spielpaarung</v>
      </c>
      <c r="I11" s="933"/>
      <c r="J11" s="934"/>
      <c r="K11" s="997" t="str">
        <f>Sprache!$E$72</f>
        <v>1. Satz</v>
      </c>
      <c r="L11" s="997"/>
      <c r="M11" s="997"/>
      <c r="N11" s="997" t="str">
        <f>Sprache!$E$73</f>
        <v>2. Satz</v>
      </c>
      <c r="O11" s="997"/>
      <c r="P11" s="997"/>
      <c r="Q11" s="997" t="str">
        <f>Sprache!$E$75</f>
        <v>3. Satz</v>
      </c>
      <c r="R11" s="997"/>
      <c r="S11" s="997"/>
      <c r="T11" s="997" t="str">
        <f>Sprache!$E$25</f>
        <v>Sätze</v>
      </c>
      <c r="U11" s="997"/>
      <c r="V11" s="997"/>
      <c r="W11" s="687" t="str">
        <f>Sprache!$E$78</f>
        <v>Schiedsrichter</v>
      </c>
      <c r="X11" s="968"/>
      <c r="Y11" s="47"/>
      <c r="Z11" s="992"/>
      <c r="AA11" s="993"/>
      <c r="AB11" s="794" t="str">
        <f>Sprache!$E$21</f>
        <v>SP</v>
      </c>
      <c r="AC11" s="192" t="str">
        <f>Sprache!$E$22</f>
        <v>G</v>
      </c>
      <c r="AD11" s="192" t="str">
        <f>Sprache!$E$23</f>
        <v>U</v>
      </c>
      <c r="AE11" s="792" t="str">
        <f>Sprache!$E$24</f>
        <v>V</v>
      </c>
      <c r="AF11" s="884" t="str">
        <f>Sprache!$E$25</f>
        <v>Sätze</v>
      </c>
      <c r="AG11" s="885"/>
      <c r="AH11" s="886"/>
      <c r="AI11" s="793" t="str">
        <f>Sprache!$E$26</f>
        <v>Diff.</v>
      </c>
      <c r="AJ11" s="884" t="str">
        <f>Sprache!$E$74</f>
        <v>Bälle</v>
      </c>
      <c r="AK11" s="885"/>
      <c r="AL11" s="886"/>
      <c r="AM11" s="192" t="str">
        <f>IF(Einstellungen!$G$24,Sprache!$E$26,Sprache!$E$80)</f>
        <v>Diff.</v>
      </c>
      <c r="AN11" s="194" t="str">
        <f>Sprache!$E$27</f>
        <v>Pkt</v>
      </c>
      <c r="AO11" s="47"/>
      <c r="AP11" s="420"/>
      <c r="AQ11" s="449" t="str">
        <f>Sprache!$E$10</f>
        <v>Teilnehmer bzw. Mannschaft</v>
      </c>
      <c r="AR11" s="659"/>
      <c r="AS11" s="660"/>
      <c r="AT11" s="448"/>
      <c r="AU11" s="448"/>
    </row>
    <row r="12" spans="1:54" ht="24" customHeight="1" x14ac:dyDescent="0.2">
      <c r="A12" s="47"/>
      <c r="B12" s="504">
        <f t="array" aca="1" ref="B12" ca="1">61-SUM(((Planung!$L$6:$L$65="")+(Planung!$N$6:$N$65="")&gt;0)*1)</f>
        <v>41</v>
      </c>
      <c r="C12" s="181">
        <f ca="1">IF(Planung!$V$15,"",Planung!$S$13+(Planung!$S$9+Planung!$Q$65)/1440)</f>
        <v>0.61805555555555558</v>
      </c>
      <c r="D12" s="172" t="str">
        <f>IF(Planung!$V$15,"","1")</f>
        <v>1</v>
      </c>
      <c r="E12" s="400" t="s">
        <v>279</v>
      </c>
      <c r="F12" s="401" t="s">
        <v>4</v>
      </c>
      <c r="G12" s="402" t="s">
        <v>280</v>
      </c>
      <c r="H12" s="421" t="str">
        <f t="shared" ref="H12:H47" ca="1" si="0">IF($E12="","",IF(VLOOKUP($E12,$AP$12:$AQ$72,2,0)="","",VLOOKUP($E12,$AP$12:$AQ$72,2,0)))</f>
        <v/>
      </c>
      <c r="I12" s="422" t="s">
        <v>4</v>
      </c>
      <c r="J12" s="492" t="str">
        <f t="shared" ref="J12:J47" ca="1" si="1">IF($G12="","",IF(VLOOKUP($G12,$AP$12:$AQ$72,2,0)="","",VLOOKUP($G12,$AP$12:$AQ$72,2,0)))</f>
        <v/>
      </c>
      <c r="K12" s="409"/>
      <c r="L12" s="358" t="str">
        <f>Sprache!$E$109</f>
        <v xml:space="preserve"> : </v>
      </c>
      <c r="M12" s="653"/>
      <c r="N12" s="815"/>
      <c r="O12" s="668" t="str">
        <f>Sprache!$E$109</f>
        <v xml:space="preserve"> : </v>
      </c>
      <c r="P12" s="653"/>
      <c r="Q12" s="617"/>
      <c r="R12" s="671" t="str">
        <f>Sprache!$E$109</f>
        <v xml:space="preserve"> : </v>
      </c>
      <c r="S12" s="814"/>
      <c r="T12" s="1052" t="str">
        <f ca="1">IF(AV12,"",(K12&lt;&gt;"")*(M12&lt;&gt;"")*NOT(AW12)*((K12&gt;M12)+(K12=M12)*0.5)+(N12&lt;&gt;"")*(P12&lt;&gt;"")*NOT(AX12)*((N12&gt;P12)+(N12=P12)*0.5)+(Q12&lt;&gt;"")*(S12&lt;&gt;"")*NOT(AY12)*((Q12&gt;S12)+(Q12=S12)*0.5))</f>
        <v/>
      </c>
      <c r="U12" s="817" t="str">
        <f>Sprache!$E$109</f>
        <v xml:space="preserve"> : </v>
      </c>
      <c r="V12" s="1055" t="str">
        <f ca="1">IF(AV12,"",(K12&lt;&gt;"")*(M12&lt;&gt;"")*NOT(AW12)*((K12&lt;M12)+(K12=M12)*0.5)+(N12&lt;&gt;"")*(P12&lt;&gt;"")*NOT(AX12)*((N12&lt;P12)+(N12=P12)*0.5)+(Q12&lt;&gt;"")*(S12&lt;&gt;"")*NOT(AY12)*((Q12&lt;S12)+(Q12=S12)*0.5))</f>
        <v/>
      </c>
      <c r="W12" s="688"/>
      <c r="X12" s="707"/>
      <c r="Y12" s="47"/>
      <c r="Z12" s="573" t="str">
        <f ca="1">IF(CalcE6!$K$13=0,"",1)</f>
        <v/>
      </c>
      <c r="AA12" s="363" t="str">
        <f ca="1">IF(Calc1!$F$14&lt;3,"",IF(AND(CalcE6!$K$13=0,AQ16&lt;&gt;1),CalcE6!$C$62,VLOOKUP(CalcE6!$B$4,CalcE6!$C$4:$N$12,4,0)))</f>
        <v/>
      </c>
      <c r="AB12" s="571" t="str">
        <f ca="1">IF(CalcE6!$K$13=0,"",VLOOKUP(CalcE6!$B$4,CalcE6!$C$4:$N$12,9,0))</f>
        <v/>
      </c>
      <c r="AC12" s="198" t="str">
        <f ca="1">IF(CalcE6!$K$13=0,"",VLOOKUP(CalcE6!$B$4,CalcE6!$C$4:$N$12,10,0))</f>
        <v/>
      </c>
      <c r="AD12" s="198" t="str">
        <f ca="1">IF(CalcE6!$K$13=0,"",VLOOKUP(CalcE6!$B$4,CalcE6!$C$4:$N$12,11,0))</f>
        <v/>
      </c>
      <c r="AE12" s="198" t="str">
        <f ca="1">IF(CalcE6!$K$13=0,"",VLOOKUP(CalcE6!$B$4,CalcE6!$C$4:$N$12,12,0))</f>
        <v/>
      </c>
      <c r="AF12" s="200" t="str">
        <f ca="1">IF(CalcE6!$K$13=0,"",VLOOKUP(CalcE6!$B$4,CalcE6!$C$4:$S$12,15,0))</f>
        <v/>
      </c>
      <c r="AG12" s="805" t="str">
        <f>Sprache!$E$109</f>
        <v xml:space="preserve"> : </v>
      </c>
      <c r="AH12" s="202" t="str">
        <f ca="1">IF(CalcE6!$K$13=0,"",VLOOKUP(CalcE6!$B$4,CalcE6!$C$4:$S$12,14,0))</f>
        <v/>
      </c>
      <c r="AI12" s="198" t="str">
        <f ca="1">IF(CalcE6!$K$13=0,"",VLOOKUP(CalcE6!$B$4,CalcE6!$C$4:$S$12,16,0))</f>
        <v/>
      </c>
      <c r="AJ12" s="200" t="str">
        <f ca="1">IF(CalcE6!$K$13=0,"",VLOOKUP(CalcE6!$B$4,CalcE6!$C$4:$N$12,5,0))</f>
        <v/>
      </c>
      <c r="AK12" s="805" t="str">
        <f>Sprache!$E$109</f>
        <v xml:space="preserve"> : </v>
      </c>
      <c r="AL12" s="202" t="str">
        <f ca="1">IF(CalcE6!$K$13=0,"",VLOOKUP(CalcE6!$B$4,CalcE6!$C$4:$N$12,6,0))</f>
        <v/>
      </c>
      <c r="AM12" s="198" t="str">
        <f ca="1">IF(CalcE6!$K$13=0,"",IF(VLOOKUP(CalcE6!$B$4,CalcE6!$C$4:$S$12,17,0)=Einstellungen!$F$24,"max",VLOOKUP(CalcE6!$B$4,CalcE6!$C$4:$S$12,17,0)))</f>
        <v/>
      </c>
      <c r="AN12" s="203" t="str">
        <f ca="1">IF(CalcE6!$K$13=0,"",VLOOKUP(CalcE6!$B$4,CalcE6!$C$4:$S$12,Einstellungen!$I$9,0))</f>
        <v/>
      </c>
      <c r="AO12" s="47"/>
      <c r="AP12" s="791" t="s">
        <v>279</v>
      </c>
      <c r="AQ12" s="450" t="str">
        <f ca="1">IF(Vorrunde!$X$17="","",Vorrunde!$X$17)</f>
        <v/>
      </c>
      <c r="AR12" s="661"/>
      <c r="AS12" s="824"/>
      <c r="AT12" s="396"/>
      <c r="AU12" s="396"/>
      <c r="AV12" s="738" t="b">
        <f t="shared" ref="AV12:AV47" ca="1" si="2">OR(H12="",J12="",AND(OR(K12="",M12="",AW12),OR(N12="",P12="",AX12),OR(Q12="",S12="",AY12)))</f>
        <v>1</v>
      </c>
      <c r="AW12" s="738" t="b">
        <f>ABS(K12-M12)&lt;2*$AV$10</f>
        <v>1</v>
      </c>
      <c r="AX12" s="738" t="b">
        <f>ABS(N12-P12)&lt;2*$AV$10</f>
        <v>1</v>
      </c>
      <c r="AY12" s="738" t="b">
        <f>ABS(Q12-S12)&lt;2*$AV$10</f>
        <v>1</v>
      </c>
      <c r="AZ12" s="738" t="b">
        <f t="shared" ref="AZ12:AZ47" si="3">AND(AW12,K12&lt;&gt;"",M12&lt;&gt;"")</f>
        <v>0</v>
      </c>
      <c r="BA12" s="738" t="b">
        <f t="shared" ref="BA12:BA47" si="4">AND(AX12,N12&lt;&gt;"",P12&lt;&gt;"")</f>
        <v>0</v>
      </c>
      <c r="BB12" s="738" t="b">
        <f t="shared" ref="BB12:BB47" si="5">AND(AY12,Q12&lt;&gt;"",S12&lt;&gt;"")</f>
        <v>0</v>
      </c>
    </row>
    <row r="13" spans="1:54" ht="24" customHeight="1" x14ac:dyDescent="0.2">
      <c r="A13" s="47"/>
      <c r="B13" s="505">
        <f t="array" aca="1" ref="B13" ca="1">ROW(62:62)-SUM(((Planung!$L$6:$L$65="")+(Planung!$N$6:$N$65="")&gt;0)*1)-SUM((($H$12:$H12="")+($J$12:$J12="")&gt;0)*1)</f>
        <v>41</v>
      </c>
      <c r="C13" s="171">
        <f t="array" aca="1" ref="C13" ca="1">IF(Planung!$V$15,"",$C$12+QUOTIENT(($B13-$B$12),Planung!$V$11)*(Planung!$S$7+Planung!$S$9)/1440+SUM($X$12:$X12)/1440)</f>
        <v>0.61805555555555558</v>
      </c>
      <c r="D13" s="173">
        <f ca="1">IF(Planung!$V$15,"",MOD($B13-$B$12,Planung!$V$11)+1)</f>
        <v>1</v>
      </c>
      <c r="E13" s="400" t="s">
        <v>276</v>
      </c>
      <c r="F13" s="401" t="s">
        <v>4</v>
      </c>
      <c r="G13" s="402" t="s">
        <v>277</v>
      </c>
      <c r="H13" s="493" t="str">
        <f t="shared" ca="1" si="0"/>
        <v>Maibach 1822 eV</v>
      </c>
      <c r="I13" s="494" t="s">
        <v>4</v>
      </c>
      <c r="J13" s="495" t="str">
        <f t="shared" ca="1" si="1"/>
        <v>FC Grönlingen</v>
      </c>
      <c r="K13" s="410">
        <v>25</v>
      </c>
      <c r="L13" s="411" t="str">
        <f>Sprache!$E$109</f>
        <v xml:space="preserve"> : </v>
      </c>
      <c r="M13" s="654">
        <v>19</v>
      </c>
      <c r="N13" s="815">
        <v>20</v>
      </c>
      <c r="O13" s="669" t="str">
        <f>Sprache!$E$109</f>
        <v xml:space="preserve"> : </v>
      </c>
      <c r="P13" s="654">
        <v>25</v>
      </c>
      <c r="Q13" s="410">
        <v>25</v>
      </c>
      <c r="R13" s="643" t="str">
        <f>Sprache!$E$109</f>
        <v xml:space="preserve"> : </v>
      </c>
      <c r="S13" s="490">
        <v>22</v>
      </c>
      <c r="T13" s="1053">
        <f t="shared" ref="T13:T47" ca="1" si="6">IF(AV13,"",(K13&lt;&gt;"")*(M13&lt;&gt;"")*NOT(AW13)*((K13&gt;M13)+(K13=M13)*0.5)+(N13&lt;&gt;"")*(P13&lt;&gt;"")*NOT(AX13)*((N13&gt;P13)+(N13=P13)*0.5)+(Q13&lt;&gt;"")*(S13&lt;&gt;"")*NOT(AY13)*((Q13&gt;S13)+(Q13=S13)*0.5))</f>
        <v>2</v>
      </c>
      <c r="U13" s="818" t="str">
        <f>Sprache!$E$109</f>
        <v xml:space="preserve"> : </v>
      </c>
      <c r="V13" s="1056">
        <f t="shared" ref="V13:V47" ca="1" si="7">IF(AV13,"",(K13&lt;&gt;"")*(M13&lt;&gt;"")*NOT(AW13)*((K13&lt;M13)+(K13=M13)*0.5)+(N13&lt;&gt;"")*(P13&lt;&gt;"")*NOT(AX13)*((N13&lt;P13)+(N13=P13)*0.5)+(Q13&lt;&gt;"")*(S13&lt;&gt;"")*NOT(AY13)*((Q13&lt;S13)+(Q13=S13)*0.5))</f>
        <v>1</v>
      </c>
      <c r="W13" s="328"/>
      <c r="X13" s="708"/>
      <c r="Y13" s="47"/>
      <c r="Z13" s="574" t="str">
        <f ca="1">IF(CalcE6!$K$13=0,"",IF(VLOOKUP(CalcE6!$B$5,CalcE6!$C$4:$E$12,3,0)=MAX($Z12:$Z12),VLOOKUP(CalcE6!$B$5,CalcE6!$C$4:$E$12,3,0),CalcE6!$B$5))</f>
        <v/>
      </c>
      <c r="AA13" s="365" t="str">
        <f ca="1">IF(OR(Calc1!$F$14&lt;3,AQ16=1),"",IF(CalcE6!$K$13=0,CalcE6!$C63,VLOOKUP(CalcE6!$B5,CalcE6!$C$4:$N$12,4,0)))</f>
        <v/>
      </c>
      <c r="AB13" s="213" t="str">
        <f ca="1">IF(CalcE6!$K$13=0,"",VLOOKUP(CalcE6!$B$5,CalcE6!$C$4:$N$12,9,0))</f>
        <v/>
      </c>
      <c r="AC13" s="188" t="str">
        <f ca="1">IF(CalcE6!$K$13=0,"",VLOOKUP(CalcE6!$B$5,CalcE6!$C$4:$N$12,10,0))</f>
        <v/>
      </c>
      <c r="AD13" s="188" t="str">
        <f ca="1">IF(CalcE6!$K$13=0,"",VLOOKUP(CalcE6!$B$5,CalcE6!$C$4:$N$12,11,0))</f>
        <v/>
      </c>
      <c r="AE13" s="188" t="str">
        <f ca="1">IF(CalcE6!$K$13=0,"",VLOOKUP(CalcE6!$B$5,CalcE6!$C$4:$N$12,12,0))</f>
        <v/>
      </c>
      <c r="AF13" s="209" t="str">
        <f ca="1">IF(CalcE6!$K$13=0,"",VLOOKUP(CalcE6!$B$5,CalcE6!$C$4:$S$12,15,0))</f>
        <v/>
      </c>
      <c r="AG13" s="806" t="str">
        <f>Sprache!$E$109</f>
        <v xml:space="preserve"> : </v>
      </c>
      <c r="AH13" s="211" t="str">
        <f ca="1">IF(CalcE6!$K$13=0,"",VLOOKUP(CalcE6!$B$5,CalcE6!$C$4:$S$12,14,0))</f>
        <v/>
      </c>
      <c r="AI13" s="188" t="str">
        <f ca="1">IF(CalcE6!$K$13=0,"",VLOOKUP(CalcE6!$B$5,CalcE6!$C$4:$S$12,16,0))</f>
        <v/>
      </c>
      <c r="AJ13" s="209" t="str">
        <f ca="1">IF(CalcE6!$K$13=0,"",VLOOKUP(CalcE6!$B$5,CalcE6!$C$4:$N$12,5,0))</f>
        <v/>
      </c>
      <c r="AK13" s="806" t="str">
        <f>Sprache!$E$109</f>
        <v xml:space="preserve"> : </v>
      </c>
      <c r="AL13" s="211" t="str">
        <f ca="1">IF(CalcE6!$K$13=0,"",VLOOKUP(CalcE6!$B$5,CalcE6!$C$4:$N$12,6,0))</f>
        <v/>
      </c>
      <c r="AM13" s="188" t="str">
        <f ca="1">IF(CalcE6!$K$13=0,"",IF(VLOOKUP(CalcE6!$B$5,CalcE6!$C$4:$S$12,17,0)=Einstellungen!$F$24,"max",VLOOKUP(CalcE6!$B$5,CalcE6!$C$4:$S$12,17,0)))</f>
        <v/>
      </c>
      <c r="AN13" s="212" t="str">
        <f ca="1">IF(CalcE6!$K$13=0,"",VLOOKUP(CalcE6!$B$5,CalcE6!$C$4:$S$12,Einstellungen!$I$9,0))</f>
        <v/>
      </c>
      <c r="AO13" s="47"/>
      <c r="AP13" s="419" t="s">
        <v>280</v>
      </c>
      <c r="AQ13" s="451" t="str">
        <f ca="1">IF(Vorrunde!$X$27="","",Vorrunde!$X$27)</f>
        <v/>
      </c>
      <c r="AR13" s="661"/>
      <c r="AS13" s="825"/>
      <c r="AT13" s="483"/>
      <c r="AU13" s="483"/>
      <c r="AV13" s="738" t="b">
        <f t="shared" ca="1" si="2"/>
        <v>0</v>
      </c>
      <c r="AW13" s="738" t="b">
        <f t="shared" ref="AW13:AW47" si="8">ABS(K13-M13)&lt;2*$AV$10</f>
        <v>0</v>
      </c>
      <c r="AX13" s="738" t="b">
        <f t="shared" ref="AX13:AX47" si="9">ABS(N13-P13)&lt;2*$AV$10</f>
        <v>0</v>
      </c>
      <c r="AY13" s="738" t="b">
        <f t="shared" ref="AY13:AY47" si="10">ABS(Q13-S13)&lt;2*$AV$10</f>
        <v>0</v>
      </c>
      <c r="AZ13" s="738" t="b">
        <f t="shared" si="3"/>
        <v>0</v>
      </c>
      <c r="BA13" s="738" t="b">
        <f t="shared" si="4"/>
        <v>0</v>
      </c>
      <c r="BB13" s="738" t="b">
        <f t="shared" si="5"/>
        <v>0</v>
      </c>
    </row>
    <row r="14" spans="1:54" ht="24" customHeight="1" x14ac:dyDescent="0.2">
      <c r="A14" s="47"/>
      <c r="B14" s="505">
        <f t="array" aca="1" ref="B14" ca="1">ROW(63:63)-SUM(((Planung!$L$6:$L$65="")+(Planung!$N$6:$N$65="")&gt;0)*1)-SUM((($H$12:$H13="")+($J$12:$J13="")&gt;0)*1)</f>
        <v>42</v>
      </c>
      <c r="C14" s="171">
        <f t="array" aca="1" ref="C14" ca="1">IF(Planung!$V$15,"",$C$12+QUOTIENT(($B14-$B$12),Planung!$V$11)*(Planung!$S$7+Planung!$S$9)/1440+SUM($X$12:$X13)/1440)</f>
        <v>0.61805555555555558</v>
      </c>
      <c r="D14" s="173">
        <f ca="1">IF(Planung!$V$15,"",MOD($B14-$B$12,Planung!$V$11)+1)</f>
        <v>2</v>
      </c>
      <c r="E14" s="400" t="s">
        <v>273</v>
      </c>
      <c r="F14" s="401" t="s">
        <v>4</v>
      </c>
      <c r="G14" s="402" t="s">
        <v>274</v>
      </c>
      <c r="H14" s="493" t="str">
        <f t="shared" ca="1" si="0"/>
        <v>VFB Essenheim</v>
      </c>
      <c r="I14" s="494"/>
      <c r="J14" s="495" t="str">
        <f t="shared" ca="1" si="1"/>
        <v>SSV Wildbach</v>
      </c>
      <c r="K14" s="410">
        <v>25</v>
      </c>
      <c r="L14" s="411" t="str">
        <f>Sprache!$E$109</f>
        <v xml:space="preserve"> : </v>
      </c>
      <c r="M14" s="654">
        <v>21</v>
      </c>
      <c r="N14" s="815">
        <v>25</v>
      </c>
      <c r="O14" s="669" t="str">
        <f>Sprache!$E$109</f>
        <v xml:space="preserve"> : </v>
      </c>
      <c r="P14" s="654">
        <v>23</v>
      </c>
      <c r="Q14" s="410"/>
      <c r="R14" s="643" t="str">
        <f>Sprache!$E$109</f>
        <v xml:space="preserve"> : </v>
      </c>
      <c r="S14" s="490"/>
      <c r="T14" s="1053">
        <f t="shared" ca="1" si="6"/>
        <v>2</v>
      </c>
      <c r="U14" s="818" t="str">
        <f>Sprache!$E$109</f>
        <v xml:space="preserve"> : </v>
      </c>
      <c r="V14" s="1056">
        <f t="shared" ca="1" si="7"/>
        <v>0</v>
      </c>
      <c r="W14" s="328"/>
      <c r="X14" s="708"/>
      <c r="Y14" s="47"/>
      <c r="Z14" s="574" t="str">
        <f ca="1">IF(CalcE6!$K$13=0,"",IF(VLOOKUP(CalcE6!$B$6,CalcE6!$C$4:$E$12,3,0)=MAX($Z12:$Z13),VLOOKUP(CalcE6!$B$6,CalcE6!$C$4:$E$12,3,0),CalcE6!$B$6))</f>
        <v/>
      </c>
      <c r="AA14" s="365" t="str">
        <f ca="1">IF(OR(Calc1!$F$14&lt;3,AQ17=1),"",IF(CalcE6!$K$13=0,CalcE6!$C64,VLOOKUP(CalcE6!$B6,CalcE6!$C$4:$N$12,4,0)))</f>
        <v/>
      </c>
      <c r="AB14" s="213" t="str">
        <f ca="1">IF(CalcE6!$K$13=0,"",VLOOKUP(CalcE6!$B$6,CalcE6!$C$4:$N$12,9,0))</f>
        <v/>
      </c>
      <c r="AC14" s="188" t="str">
        <f ca="1">IF(CalcE6!$K$13=0,"",VLOOKUP(CalcE6!$B$6,CalcE6!$C$4:$N$12,10,0))</f>
        <v/>
      </c>
      <c r="AD14" s="188" t="str">
        <f ca="1">IF(CalcE6!$K$13=0,"",VLOOKUP(CalcE6!$B$6,CalcE6!$C$4:$N$12,11,0))</f>
        <v/>
      </c>
      <c r="AE14" s="188" t="str">
        <f ca="1">IF(CalcE6!$K$13=0,"",VLOOKUP(CalcE6!$B$6,CalcE6!$C$4:$N$12,12,0))</f>
        <v/>
      </c>
      <c r="AF14" s="209" t="str">
        <f ca="1">IF(CalcE6!$K$13=0,"",VLOOKUP(CalcE6!$B$6,CalcE6!$C$4:$S$12,15,0))</f>
        <v/>
      </c>
      <c r="AG14" s="806" t="str">
        <f>Sprache!$E$109</f>
        <v xml:space="preserve"> : </v>
      </c>
      <c r="AH14" s="211" t="str">
        <f ca="1">IF(CalcE6!$K$13=0,"",VLOOKUP(CalcE6!$B$6,CalcE6!$C$4:$S$12,14,0))</f>
        <v/>
      </c>
      <c r="AI14" s="188" t="str">
        <f ca="1">IF(CalcE6!$K$13=0,"",VLOOKUP(CalcE6!$B$6,CalcE6!$C$4:$S$12,16,0))</f>
        <v/>
      </c>
      <c r="AJ14" s="209" t="str">
        <f ca="1">IF(CalcE6!$K$13=0,"",VLOOKUP(CalcE6!$B$6,CalcE6!$C$4:$N$12,5,0))</f>
        <v/>
      </c>
      <c r="AK14" s="806" t="str">
        <f>Sprache!$E$109</f>
        <v xml:space="preserve"> : </v>
      </c>
      <c r="AL14" s="211" t="str">
        <f ca="1">IF(CalcE6!$K$13=0,"",VLOOKUP(CalcE6!$B$6,CalcE6!$C$4:$N$12,6,0))</f>
        <v/>
      </c>
      <c r="AM14" s="188" t="str">
        <f ca="1">IF(CalcE6!$K$13=0,"",IF(VLOOKUP(CalcE6!$B$6,CalcE6!$C$4:$S$12,17,0)=Einstellungen!$F$24,"max",VLOOKUP(CalcE6!$B$6,CalcE6!$C$4:$S$12,17,0)))</f>
        <v/>
      </c>
      <c r="AN14" s="212" t="str">
        <f ca="1">IF(CalcE6!$K$13=0,"",VLOOKUP(CalcE6!$B$6,CalcE6!$C$4:$S$12,Einstellungen!$I$9,0))</f>
        <v/>
      </c>
      <c r="AO14" s="47"/>
      <c r="AP14" s="790" t="s">
        <v>281</v>
      </c>
      <c r="AQ14" s="451" t="str">
        <f ca="1">IF(Vorrunde!$X$37="","",Vorrunde!$X$37)</f>
        <v/>
      </c>
      <c r="AR14" s="661"/>
      <c r="AS14" s="825"/>
      <c r="AT14" s="483"/>
      <c r="AU14" s="483"/>
      <c r="AV14" s="738" t="b">
        <f t="shared" ca="1" si="2"/>
        <v>0</v>
      </c>
      <c r="AW14" s="738" t="b">
        <f t="shared" si="8"/>
        <v>0</v>
      </c>
      <c r="AX14" s="738" t="b">
        <f t="shared" si="9"/>
        <v>0</v>
      </c>
      <c r="AY14" s="738" t="b">
        <f t="shared" si="10"/>
        <v>1</v>
      </c>
      <c r="AZ14" s="738" t="b">
        <f t="shared" si="3"/>
        <v>0</v>
      </c>
      <c r="BA14" s="738" t="b">
        <f t="shared" si="4"/>
        <v>0</v>
      </c>
      <c r="BB14" s="738" t="b">
        <f t="shared" si="5"/>
        <v>0</v>
      </c>
    </row>
    <row r="15" spans="1:54" ht="24" customHeight="1" thickBot="1" x14ac:dyDescent="0.25">
      <c r="A15" s="47"/>
      <c r="B15" s="505">
        <f t="array" aca="1" ref="B15" ca="1">ROW(64:64)-SUM(((Planung!$L$6:$L$65="")+(Planung!$N$6:$N$65="")&gt;0)*1)-SUM((($H$12:$H14="")+($J$12:$J14="")&gt;0)*1)</f>
        <v>43</v>
      </c>
      <c r="C15" s="171">
        <f t="array" aca="1" ref="C15" ca="1">IF(Planung!$V$15,"",$C$12+QUOTIENT(($B15-$B$12),Planung!$V$11)*(Planung!$S$7+Planung!$S$9)/1440+SUM($X$12:$X14)/1440)</f>
        <v>0.61805555555555558</v>
      </c>
      <c r="D15" s="173">
        <f ca="1">IF(Planung!$V$15,"",MOD($B15-$B$12,Planung!$V$11)+1)</f>
        <v>3</v>
      </c>
      <c r="E15" s="400" t="s">
        <v>270</v>
      </c>
      <c r="F15" s="401" t="s">
        <v>4</v>
      </c>
      <c r="G15" s="402" t="s">
        <v>271</v>
      </c>
      <c r="H15" s="493" t="str">
        <f t="shared" ca="1" si="0"/>
        <v>1. FC Riedwald</v>
      </c>
      <c r="I15" s="494" t="s">
        <v>4</v>
      </c>
      <c r="J15" s="495" t="str">
        <f t="shared" ca="1" si="1"/>
        <v>Mainz 05</v>
      </c>
      <c r="K15" s="410">
        <v>25</v>
      </c>
      <c r="L15" s="411" t="str">
        <f>Sprache!$E$109</f>
        <v xml:space="preserve"> : </v>
      </c>
      <c r="M15" s="654">
        <v>22</v>
      </c>
      <c r="N15" s="815">
        <v>25</v>
      </c>
      <c r="O15" s="669" t="str">
        <f>Sprache!$E$109</f>
        <v xml:space="preserve"> : </v>
      </c>
      <c r="P15" s="654">
        <v>17</v>
      </c>
      <c r="Q15" s="410"/>
      <c r="R15" s="643" t="str">
        <f>Sprache!$E$109</f>
        <v xml:space="preserve"> : </v>
      </c>
      <c r="S15" s="490"/>
      <c r="T15" s="1053">
        <f t="shared" ca="1" si="6"/>
        <v>2</v>
      </c>
      <c r="U15" s="818" t="str">
        <f>Sprache!$E$109</f>
        <v xml:space="preserve"> : </v>
      </c>
      <c r="V15" s="1056">
        <f t="shared" ca="1" si="7"/>
        <v>0</v>
      </c>
      <c r="W15" s="328"/>
      <c r="X15" s="708"/>
      <c r="Y15" s="47"/>
      <c r="Z15" s="575" t="str">
        <f ca="1">IF(CalcE6!$K$13=0,"",IF(VLOOKUP(CalcE6!$B$7,CalcE6!$C$4:$E$12,3,0)=MAX($Z12:$Z14),VLOOKUP(CalcE6!$B$7,CalcE6!$C$4:$E$12,3,0),CalcE6!$B$7))</f>
        <v/>
      </c>
      <c r="AA15" s="367" t="str">
        <f ca="1">IF(OR(Calc1!$F$14&lt;3,AQ18=1),"",IF(CalcE6!$K$13=0,CalcE6!$C65,VLOOKUP(CalcE6!$B7,CalcE6!$C$4:$N$12,4,0)))</f>
        <v/>
      </c>
      <c r="AB15" s="224" t="str">
        <f ca="1">IF(CalcE6!$K$13=0,"",VLOOKUP(CalcE6!$B$7,CalcE6!$C$4:$N$12,9,0))</f>
        <v/>
      </c>
      <c r="AC15" s="218" t="str">
        <f ca="1">IF(CalcE6!$K$13=0,"",VLOOKUP(CalcE6!$B$7,CalcE6!$C$4:$N$12,10,0))</f>
        <v/>
      </c>
      <c r="AD15" s="218" t="str">
        <f ca="1">IF(CalcE6!$K$13=0,"",VLOOKUP(CalcE6!$B$7,CalcE6!$C$4:$N$12,11,0))</f>
        <v/>
      </c>
      <c r="AE15" s="218" t="str">
        <f ca="1">IF(CalcE6!$K$13=0,"",VLOOKUP(CalcE6!$B$7,CalcE6!$C$4:$N$12,12,0))</f>
        <v/>
      </c>
      <c r="AF15" s="220" t="str">
        <f ca="1">IF(CalcE6!$K$13=0,"",VLOOKUP(CalcE6!$B$7,CalcE6!$C$4:$S$12,15,0))</f>
        <v/>
      </c>
      <c r="AG15" s="807" t="str">
        <f>Sprache!$E$109</f>
        <v xml:space="preserve"> : </v>
      </c>
      <c r="AH15" s="222" t="str">
        <f ca="1">IF(CalcE6!$K$13=0,"",VLOOKUP(CalcE6!$B$7,CalcE6!$C$4:$S$12,14,0))</f>
        <v/>
      </c>
      <c r="AI15" s="218" t="str">
        <f ca="1">IF(CalcE6!$K$13=0,"",VLOOKUP(CalcE6!$B$7,CalcE6!$C$4:$S$12,16,0))</f>
        <v/>
      </c>
      <c r="AJ15" s="220" t="str">
        <f ca="1">IF(CalcE6!$K$13=0,"",VLOOKUP(CalcE6!$B$7,CalcE6!$C$4:$N$12,5,0))</f>
        <v/>
      </c>
      <c r="AK15" s="807" t="str">
        <f>Sprache!$E$109</f>
        <v xml:space="preserve"> : </v>
      </c>
      <c r="AL15" s="222" t="str">
        <f ca="1">IF(CalcE6!$K$13=0,"",VLOOKUP(CalcE6!$B$7,CalcE6!$C$4:$N$12,6,0))</f>
        <v/>
      </c>
      <c r="AM15" s="218" t="str">
        <f ca="1">IF(CalcE6!$K$13=0,"",IF(VLOOKUP(CalcE6!$B$7,CalcE6!$C$4:$S$12,17,0)=Einstellungen!$F$24,"max",VLOOKUP(CalcE6!$B$7,CalcE6!$C$4:$S$12,17,0)))</f>
        <v/>
      </c>
      <c r="AN15" s="223" t="str">
        <f ca="1">IF(CalcE6!$K$13=0,"",VLOOKUP(CalcE6!$B$7,CalcE6!$C$4:$S$12,Einstellungen!$I$9,0))</f>
        <v/>
      </c>
      <c r="AO15" s="47"/>
      <c r="AP15" s="393" t="s">
        <v>325</v>
      </c>
      <c r="AQ15" s="452" t="str">
        <f ca="1">IF(Vorrunde!$X$47="","",Vorrunde!$X$47)</f>
        <v/>
      </c>
      <c r="AR15" s="661"/>
      <c r="AS15" s="826"/>
      <c r="AT15" s="483"/>
      <c r="AU15" s="483"/>
      <c r="AV15" s="738" t="b">
        <f t="shared" ca="1" si="2"/>
        <v>0</v>
      </c>
      <c r="AW15" s="738" t="b">
        <f t="shared" si="8"/>
        <v>0</v>
      </c>
      <c r="AX15" s="738" t="b">
        <f t="shared" si="9"/>
        <v>0</v>
      </c>
      <c r="AY15" s="738" t="b">
        <f t="shared" si="10"/>
        <v>1</v>
      </c>
      <c r="AZ15" s="738" t="b">
        <f t="shared" si="3"/>
        <v>0</v>
      </c>
      <c r="BA15" s="738" t="b">
        <f t="shared" si="4"/>
        <v>0</v>
      </c>
      <c r="BB15" s="738" t="b">
        <f t="shared" si="5"/>
        <v>0</v>
      </c>
    </row>
    <row r="16" spans="1:54" ht="24" customHeight="1" thickTop="1" x14ac:dyDescent="0.2">
      <c r="A16" s="47"/>
      <c r="B16" s="505">
        <f t="array" aca="1" ref="B16" ca="1">ROW(65:65)-SUM(((Planung!$L$6:$L$65="")+(Planung!$N$6:$N$65="")&gt;0)*1)-SUM((($H$12:$H15="")+($J$12:$J15="")&gt;0)*1)</f>
        <v>44</v>
      </c>
      <c r="C16" s="171">
        <f t="array" aca="1" ref="C16" ca="1">IF(Planung!$V$15,"",$C$12+QUOTIENT(($B16-$B$12),Planung!$V$11)*(Planung!$S$7+Planung!$S$9)/1440+SUM($X$12:$X15)/1440)</f>
        <v>0.61805555555555558</v>
      </c>
      <c r="D16" s="173">
        <f ca="1">IF(Planung!$V$15,"",MOD($B16-$B$12,Planung!$V$11)+1)</f>
        <v>4</v>
      </c>
      <c r="E16" s="403" t="s">
        <v>267</v>
      </c>
      <c r="F16" s="404" t="s">
        <v>4</v>
      </c>
      <c r="G16" s="405" t="s">
        <v>268</v>
      </c>
      <c r="H16" s="493" t="str">
        <f t="shared" ca="1" si="0"/>
        <v>FC Barcelona</v>
      </c>
      <c r="I16" s="494" t="s">
        <v>4</v>
      </c>
      <c r="J16" s="495" t="str">
        <f t="shared" ca="1" si="1"/>
        <v>Manchester City</v>
      </c>
      <c r="K16" s="410">
        <v>25</v>
      </c>
      <c r="L16" s="411" t="str">
        <f>Sprache!$E$109</f>
        <v xml:space="preserve"> : </v>
      </c>
      <c r="M16" s="654">
        <v>23</v>
      </c>
      <c r="N16" s="815">
        <v>25</v>
      </c>
      <c r="O16" s="669" t="str">
        <f>Sprache!$E$109</f>
        <v xml:space="preserve"> : </v>
      </c>
      <c r="P16" s="654">
        <v>18</v>
      </c>
      <c r="Q16" s="410"/>
      <c r="R16" s="643" t="str">
        <f>Sprache!$E$109</f>
        <v xml:space="preserve"> : </v>
      </c>
      <c r="S16" s="490"/>
      <c r="T16" s="1053">
        <f t="shared" ca="1" si="6"/>
        <v>2</v>
      </c>
      <c r="U16" s="818" t="str">
        <f>Sprache!$E$109</f>
        <v xml:space="preserve"> : </v>
      </c>
      <c r="V16" s="1056">
        <f t="shared" ca="1" si="7"/>
        <v>0</v>
      </c>
      <c r="W16" s="328"/>
      <c r="X16" s="708"/>
      <c r="Y16" s="47"/>
      <c r="Z16" s="47"/>
      <c r="AA16" s="47"/>
      <c r="AB16" s="47"/>
      <c r="AC16" s="47"/>
      <c r="AD16" s="47"/>
      <c r="AE16" s="47"/>
      <c r="AF16" s="47"/>
      <c r="AG16" s="47"/>
      <c r="AH16" s="47"/>
      <c r="AI16" s="47"/>
      <c r="AJ16" s="47"/>
      <c r="AK16" s="47"/>
      <c r="AL16" s="47"/>
      <c r="AM16" s="47"/>
      <c r="AN16" s="47"/>
      <c r="AO16" s="47"/>
      <c r="AP16" s="395"/>
      <c r="AQ16" s="584">
        <f t="array" aca="1" ref="AQ16" ca="1">SUM((AQ12:AQ15&lt;&gt;"")*1)</f>
        <v>0</v>
      </c>
      <c r="AR16" s="584"/>
      <c r="AS16" s="660"/>
      <c r="AT16" s="483"/>
      <c r="AU16" s="483"/>
      <c r="AV16" s="738" t="b">
        <f t="shared" ca="1" si="2"/>
        <v>0</v>
      </c>
      <c r="AW16" s="738" t="b">
        <f t="shared" si="8"/>
        <v>0</v>
      </c>
      <c r="AX16" s="738" t="b">
        <f t="shared" si="9"/>
        <v>0</v>
      </c>
      <c r="AY16" s="738" t="b">
        <f t="shared" si="10"/>
        <v>1</v>
      </c>
      <c r="AZ16" s="738" t="b">
        <f t="shared" si="3"/>
        <v>0</v>
      </c>
      <c r="BA16" s="738" t="b">
        <f t="shared" si="4"/>
        <v>0</v>
      </c>
      <c r="BB16" s="738" t="b">
        <f t="shared" si="5"/>
        <v>0</v>
      </c>
    </row>
    <row r="17" spans="1:54" ht="24" customHeight="1" thickBot="1" x14ac:dyDescent="0.45">
      <c r="A17" s="47"/>
      <c r="B17" s="505">
        <f t="array" aca="1" ref="B17" ca="1">ROW(66:66)-SUM(((Planung!$L$6:$L$65="")+(Planung!$N$6:$N$65="")&gt;0)*1)-SUM((($H$12:$H16="")+($J$12:$J16="")&gt;0)*1)</f>
        <v>45</v>
      </c>
      <c r="C17" s="171">
        <f t="array" aca="1" ref="C17" ca="1">IF(Planung!$V$15,"",$C$12+QUOTIENT(($B17-$B$12),Planung!$V$11)*(Planung!$S$7+Planung!$S$9)/1440+SUM($X$12:$X16)/1440)</f>
        <v>0.64236111111111116</v>
      </c>
      <c r="D17" s="173">
        <f ca="1">IF(Planung!$V$15,"",MOD($B17-$B$12,Planung!$V$11)+1)</f>
        <v>1</v>
      </c>
      <c r="E17" s="403" t="s">
        <v>264</v>
      </c>
      <c r="F17" s="404" t="s">
        <v>4</v>
      </c>
      <c r="G17" s="405" t="s">
        <v>265</v>
      </c>
      <c r="H17" s="493" t="str">
        <f t="shared" ca="1" si="0"/>
        <v>Eintracht Frankfurt</v>
      </c>
      <c r="I17" s="494" t="s">
        <v>4</v>
      </c>
      <c r="J17" s="495" t="str">
        <f t="shared" ca="1" si="1"/>
        <v>Inter Mailand</v>
      </c>
      <c r="K17" s="410">
        <v>25</v>
      </c>
      <c r="L17" s="411" t="str">
        <f>Sprache!$E$109</f>
        <v xml:space="preserve"> : </v>
      </c>
      <c r="M17" s="654">
        <v>17</v>
      </c>
      <c r="N17" s="815">
        <v>25</v>
      </c>
      <c r="O17" s="669" t="str">
        <f>Sprache!$E$109</f>
        <v xml:space="preserve"> : </v>
      </c>
      <c r="P17" s="654">
        <v>19</v>
      </c>
      <c r="Q17" s="410"/>
      <c r="R17" s="643" t="str">
        <f>Sprache!$E$109</f>
        <v xml:space="preserve"> : </v>
      </c>
      <c r="S17" s="490"/>
      <c r="T17" s="1053">
        <f t="shared" ca="1" si="6"/>
        <v>2</v>
      </c>
      <c r="U17" s="818" t="str">
        <f>Sprache!$E$109</f>
        <v xml:space="preserve"> : </v>
      </c>
      <c r="V17" s="1056">
        <f t="shared" ca="1" si="7"/>
        <v>0</v>
      </c>
      <c r="W17" s="328"/>
      <c r="X17" s="708"/>
      <c r="Y17" s="47"/>
      <c r="Z17" s="996" t="str">
        <f>Sprache!$E$63</f>
        <v>Gruppenfünfte</v>
      </c>
      <c r="AA17" s="996"/>
      <c r="AB17" s="996"/>
      <c r="AC17" s="996"/>
      <c r="AD17" s="996"/>
      <c r="AE17" s="996"/>
      <c r="AF17" s="804"/>
      <c r="AG17" s="804"/>
      <c r="AH17" s="804"/>
      <c r="AI17" s="804"/>
      <c r="AJ17" s="189"/>
      <c r="AK17" s="189"/>
      <c r="AL17" s="189"/>
      <c r="AM17" s="189"/>
      <c r="AN17" s="189"/>
      <c r="AO17" s="47"/>
      <c r="AP17" s="878" t="str">
        <f>Sprache!$E$63</f>
        <v>Gruppenfünfte</v>
      </c>
      <c r="AQ17" s="878"/>
      <c r="AR17" s="640"/>
      <c r="AS17" s="272"/>
      <c r="AT17" s="394"/>
      <c r="AU17" s="394"/>
      <c r="AV17" s="738" t="b">
        <f t="shared" ca="1" si="2"/>
        <v>0</v>
      </c>
      <c r="AW17" s="738" t="b">
        <f t="shared" si="8"/>
        <v>0</v>
      </c>
      <c r="AX17" s="738" t="b">
        <f t="shared" si="9"/>
        <v>0</v>
      </c>
      <c r="AY17" s="738" t="b">
        <f t="shared" si="10"/>
        <v>1</v>
      </c>
      <c r="AZ17" s="738" t="b">
        <f t="shared" si="3"/>
        <v>0</v>
      </c>
      <c r="BA17" s="738" t="b">
        <f t="shared" si="4"/>
        <v>0</v>
      </c>
      <c r="BB17" s="738" t="b">
        <f t="shared" si="5"/>
        <v>0</v>
      </c>
    </row>
    <row r="18" spans="1:54" ht="24" customHeight="1" thickTop="1" thickBot="1" x14ac:dyDescent="0.25">
      <c r="A18" s="47"/>
      <c r="B18" s="505">
        <f t="array" aca="1" ref="B18" ca="1">ROW(67:67)-SUM(((Planung!$L$6:$L$65="")+(Planung!$N$6:$N$65="")&gt;0)*1)-SUM((($H$12:$H17="")+($J$12:$J17="")&gt;0)*1)</f>
        <v>46</v>
      </c>
      <c r="C18" s="171">
        <f t="array" aca="1" ref="C18" ca="1">IF(Planung!$V$15,"",$C$12+QUOTIENT(($B18-$B$12),Planung!$V$11)*(Planung!$S$7+Planung!$S$9)/1440+SUM($X$12:$X17)/1440)</f>
        <v>0.64236111111111116</v>
      </c>
      <c r="D18" s="173">
        <f ca="1">IF(Planung!$V$15,"",MOD($B18-$B$12,Planung!$V$11)+1)</f>
        <v>2</v>
      </c>
      <c r="E18" s="403" t="s">
        <v>281</v>
      </c>
      <c r="F18" s="404" t="s">
        <v>4</v>
      </c>
      <c r="G18" s="405" t="s">
        <v>325</v>
      </c>
      <c r="H18" s="493" t="str">
        <f t="shared" ca="1" si="0"/>
        <v/>
      </c>
      <c r="I18" s="494" t="s">
        <v>4</v>
      </c>
      <c r="J18" s="495" t="str">
        <f t="shared" ca="1" si="1"/>
        <v/>
      </c>
      <c r="K18" s="410"/>
      <c r="L18" s="411" t="str">
        <f>Sprache!$E$109</f>
        <v xml:space="preserve"> : </v>
      </c>
      <c r="M18" s="654"/>
      <c r="N18" s="815"/>
      <c r="O18" s="669" t="str">
        <f>Sprache!$E$109</f>
        <v xml:space="preserve"> : </v>
      </c>
      <c r="P18" s="654"/>
      <c r="Q18" s="410"/>
      <c r="R18" s="643" t="str">
        <f>Sprache!$E$109</f>
        <v xml:space="preserve"> : </v>
      </c>
      <c r="S18" s="490"/>
      <c r="T18" s="1053" t="str">
        <f t="shared" ca="1" si="6"/>
        <v/>
      </c>
      <c r="U18" s="818" t="str">
        <f>Sprache!$E$109</f>
        <v xml:space="preserve"> : </v>
      </c>
      <c r="V18" s="1056" t="str">
        <f t="shared" ca="1" si="7"/>
        <v/>
      </c>
      <c r="W18" s="328"/>
      <c r="X18" s="708"/>
      <c r="Y18" s="47"/>
      <c r="Z18" s="992"/>
      <c r="AA18" s="993"/>
      <c r="AB18" s="794" t="str">
        <f>Sprache!$E$21</f>
        <v>SP</v>
      </c>
      <c r="AC18" s="192" t="str">
        <f>Sprache!$E$22</f>
        <v>G</v>
      </c>
      <c r="AD18" s="192" t="str">
        <f>Sprache!$E$23</f>
        <v>U</v>
      </c>
      <c r="AE18" s="792" t="str">
        <f>Sprache!$E$24</f>
        <v>V</v>
      </c>
      <c r="AF18" s="884" t="str">
        <f>Sprache!$E$25</f>
        <v>Sätze</v>
      </c>
      <c r="AG18" s="885"/>
      <c r="AH18" s="886"/>
      <c r="AI18" s="793" t="str">
        <f>Sprache!$E$26</f>
        <v>Diff.</v>
      </c>
      <c r="AJ18" s="884" t="str">
        <f>Sprache!$E$74</f>
        <v>Bälle</v>
      </c>
      <c r="AK18" s="885"/>
      <c r="AL18" s="886"/>
      <c r="AM18" s="192" t="str">
        <f>IF(Einstellungen!$G$24,Sprache!$E$26,Sprache!$E$80)</f>
        <v>Diff.</v>
      </c>
      <c r="AN18" s="194" t="str">
        <f>IF(Einstellungen!$G$9,Sprache!$E$27,Sprache!$E$91)</f>
        <v>Pkt</v>
      </c>
      <c r="AO18" s="47"/>
      <c r="AP18" s="420"/>
      <c r="AQ18" s="449" t="str">
        <f>Sprache!$E$10</f>
        <v>Teilnehmer bzw. Mannschaft</v>
      </c>
      <c r="AR18" s="659"/>
      <c r="AS18" s="660"/>
      <c r="AT18" s="394"/>
      <c r="AU18" s="394"/>
      <c r="AV18" s="738" t="b">
        <f t="shared" ca="1" si="2"/>
        <v>1</v>
      </c>
      <c r="AW18" s="738" t="b">
        <f t="shared" si="8"/>
        <v>1</v>
      </c>
      <c r="AX18" s="738" t="b">
        <f t="shared" si="9"/>
        <v>1</v>
      </c>
      <c r="AY18" s="738" t="b">
        <f t="shared" si="10"/>
        <v>1</v>
      </c>
      <c r="AZ18" s="738" t="b">
        <f t="shared" si="3"/>
        <v>0</v>
      </c>
      <c r="BA18" s="738" t="b">
        <f t="shared" si="4"/>
        <v>0</v>
      </c>
      <c r="BB18" s="738" t="b">
        <f t="shared" si="5"/>
        <v>0</v>
      </c>
    </row>
    <row r="19" spans="1:54" ht="24" customHeight="1" x14ac:dyDescent="0.4">
      <c r="A19" s="47"/>
      <c r="B19" s="505">
        <f t="array" aca="1" ref="B19" ca="1">ROW(68:68)-SUM(((Planung!$L$6:$L$65="")+(Planung!$N$6:$N$65="")&gt;0)*1)-SUM((($H$12:$H18="")+($J$12:$J18="")&gt;0)*1)</f>
        <v>46</v>
      </c>
      <c r="C19" s="171">
        <f t="array" aca="1" ref="C19" ca="1">IF(Planung!$V$15,"",$C$12+QUOTIENT(($B19-$B$12),Planung!$V$11)*(Planung!$S$7+Planung!$S$9)/1440+SUM($X$12:$X18)/1440)</f>
        <v>0.64236111111111116</v>
      </c>
      <c r="D19" s="173">
        <f ca="1">IF(Planung!$V$15,"",MOD($B19-$B$12,Planung!$V$11)+1)</f>
        <v>2</v>
      </c>
      <c r="E19" s="403" t="s">
        <v>278</v>
      </c>
      <c r="F19" s="404" t="s">
        <v>4</v>
      </c>
      <c r="G19" s="405" t="s">
        <v>324</v>
      </c>
      <c r="H19" s="493" t="str">
        <f t="shared" ca="1" si="0"/>
        <v>1. FC Nürnberg</v>
      </c>
      <c r="I19" s="494" t="s">
        <v>4</v>
      </c>
      <c r="J19" s="495" t="str">
        <f t="shared" ca="1" si="1"/>
        <v>SV Oberredenburg</v>
      </c>
      <c r="K19" s="410">
        <v>25</v>
      </c>
      <c r="L19" s="411" t="str">
        <f>Sprache!$E$109</f>
        <v xml:space="preserve"> : </v>
      </c>
      <c r="M19" s="654">
        <v>19</v>
      </c>
      <c r="N19" s="815">
        <v>25</v>
      </c>
      <c r="O19" s="669" t="str">
        <f>Sprache!$E$109</f>
        <v xml:space="preserve"> : </v>
      </c>
      <c r="P19" s="654">
        <v>21</v>
      </c>
      <c r="Q19" s="410"/>
      <c r="R19" s="643" t="str">
        <f>Sprache!$E$109</f>
        <v xml:space="preserve"> : </v>
      </c>
      <c r="S19" s="490"/>
      <c r="T19" s="1053">
        <f t="shared" ca="1" si="6"/>
        <v>2</v>
      </c>
      <c r="U19" s="818" t="str">
        <f>Sprache!$E$109</f>
        <v xml:space="preserve"> : </v>
      </c>
      <c r="V19" s="1056">
        <f t="shared" ca="1" si="7"/>
        <v>0</v>
      </c>
      <c r="W19" s="328"/>
      <c r="X19" s="708"/>
      <c r="Y19" s="47"/>
      <c r="Z19" s="573">
        <f ca="1">IF(CalcE5!$K$13=0,"",1)</f>
        <v>1</v>
      </c>
      <c r="AA19" s="363" t="str">
        <f ca="1">IF(Calc1!$F$14&lt;3,"",IF(AND(CalcE5!$K$13=0,AQ23&lt;&gt;1),CalcE5!$C$62,VLOOKUP(CalcE5!$B$4,CalcE5!$C$4:$N$12,4,0)))</f>
        <v>1. FC Nürnberg</v>
      </c>
      <c r="AB19" s="571">
        <f ca="1">IF(CalcE5!$K$13=0,"",VLOOKUP(CalcE5!$B$4,CalcE5!$C$4:$N$12,9,0))</f>
        <v>3</v>
      </c>
      <c r="AC19" s="198">
        <f ca="1">IF(CalcE5!$K$13=0,"",VLOOKUP(CalcE5!$B$4,CalcE5!$C$4:$N$12,10,0))</f>
        <v>1</v>
      </c>
      <c r="AD19" s="198">
        <f ca="1">IF(CalcE5!$K$13=0,"",VLOOKUP(CalcE5!$B$4,CalcE5!$C$4:$N$12,11,0))</f>
        <v>2</v>
      </c>
      <c r="AE19" s="198">
        <f ca="1">IF(CalcE5!$K$13=0,"",VLOOKUP(CalcE5!$B$4,CalcE5!$C$4:$N$12,12,0))</f>
        <v>0</v>
      </c>
      <c r="AF19" s="200">
        <f ca="1">IF(CalcE5!$K$13=0,"",VLOOKUP(CalcE5!$B$4,CalcE5!$C$4:$S$12,15,0))</f>
        <v>4</v>
      </c>
      <c r="AG19" s="805" t="str">
        <f>Sprache!$E$109</f>
        <v xml:space="preserve"> : </v>
      </c>
      <c r="AH19" s="202">
        <f ca="1">IF(CalcE5!$K$13=0,"",VLOOKUP(CalcE5!$B$4,CalcE5!$C$4:$S$12,14,0))</f>
        <v>2</v>
      </c>
      <c r="AI19" s="198">
        <f ca="1">IF(CalcE5!$K$13=0,"",VLOOKUP(CalcE5!$B$4,CalcE5!$C$4:$S$12,16,0))</f>
        <v>2</v>
      </c>
      <c r="AJ19" s="200">
        <f ca="1">IF(CalcE5!$K$13=0,"",VLOOKUP(CalcE5!$B$4,CalcE5!$C$4:$N$12,5,0))</f>
        <v>137</v>
      </c>
      <c r="AK19" s="805" t="str">
        <f>Sprache!$E$109</f>
        <v xml:space="preserve"> : </v>
      </c>
      <c r="AL19" s="202">
        <f ca="1">IF(CalcE5!$K$13=0,"",VLOOKUP(CalcE5!$B$4,CalcE5!$C$4:$N$12,6,0))</f>
        <v>123</v>
      </c>
      <c r="AM19" s="198">
        <f ca="1">IF(CalcE5!$K$13=0,"",IF(VLOOKUP(CalcE5!$B$4,CalcE5!$C$4:$S$12,17,0)=Einstellungen!$F$24,"max",VLOOKUP(CalcE5!$B$4,CalcE5!$C$4:$S$12,17,0)))</f>
        <v>14</v>
      </c>
      <c r="AN19" s="203">
        <f ca="1">IF(CalcE5!$K$13=0,"",VLOOKUP(CalcE5!$B$4,CalcE5!$C$4:$S$12,Einstellungen!$I$9,0))</f>
        <v>4</v>
      </c>
      <c r="AO19" s="47"/>
      <c r="AP19" s="791" t="s">
        <v>276</v>
      </c>
      <c r="AQ19" s="450" t="str">
        <f ca="1">IF(Vorrunde!$X$16="","",Vorrunde!$X$16)</f>
        <v>Maibach 1822 eV</v>
      </c>
      <c r="AR19" s="661"/>
      <c r="AS19" s="824"/>
      <c r="AT19" s="448"/>
      <c r="AU19" s="448"/>
      <c r="AV19" s="738" t="b">
        <f t="shared" ca="1" si="2"/>
        <v>0</v>
      </c>
      <c r="AW19" s="738" t="b">
        <f t="shared" si="8"/>
        <v>0</v>
      </c>
      <c r="AX19" s="738" t="b">
        <f t="shared" si="9"/>
        <v>0</v>
      </c>
      <c r="AY19" s="738" t="b">
        <f t="shared" si="10"/>
        <v>1</v>
      </c>
      <c r="AZ19" s="738" t="b">
        <f t="shared" si="3"/>
        <v>0</v>
      </c>
      <c r="BA19" s="738" t="b">
        <f t="shared" si="4"/>
        <v>0</v>
      </c>
      <c r="BB19" s="738" t="b">
        <f t="shared" si="5"/>
        <v>0</v>
      </c>
    </row>
    <row r="20" spans="1:54" ht="24" customHeight="1" x14ac:dyDescent="0.2">
      <c r="A20" s="47"/>
      <c r="B20" s="505">
        <f t="array" aca="1" ref="B20" ca="1">ROW(69:69)-SUM(((Planung!$L$6:$L$65="")+(Planung!$N$6:$N$65="")&gt;0)*1)-SUM((($H$12:$H19="")+($J$12:$J19="")&gt;0)*1)</f>
        <v>47</v>
      </c>
      <c r="C20" s="171">
        <f t="array" aca="1" ref="C20" ca="1">IF(Planung!$V$15,"",$C$12+QUOTIENT(($B20-$B$12),Planung!$V$11)*(Planung!$S$7+Planung!$S$9)/1440+SUM($X$12:$X19)/1440)</f>
        <v>0.64236111111111116</v>
      </c>
      <c r="D20" s="173">
        <f ca="1">IF(Planung!$V$15,"",MOD($B20-$B$12,Planung!$V$11)+1)</f>
        <v>3</v>
      </c>
      <c r="E20" s="403" t="s">
        <v>275</v>
      </c>
      <c r="F20" s="404" t="s">
        <v>4</v>
      </c>
      <c r="G20" s="405" t="s">
        <v>323</v>
      </c>
      <c r="H20" s="493" t="str">
        <f t="shared" ca="1" si="0"/>
        <v>FSV Rauen</v>
      </c>
      <c r="I20" s="494" t="s">
        <v>4</v>
      </c>
      <c r="J20" s="495" t="str">
        <f t="shared" ca="1" si="1"/>
        <v>HSV</v>
      </c>
      <c r="K20" s="410">
        <v>20</v>
      </c>
      <c r="L20" s="411" t="str">
        <f>Sprache!$E$109</f>
        <v xml:space="preserve"> : </v>
      </c>
      <c r="M20" s="654">
        <v>25</v>
      </c>
      <c r="N20" s="815">
        <v>25</v>
      </c>
      <c r="O20" s="669" t="str">
        <f>Sprache!$E$109</f>
        <v xml:space="preserve"> : </v>
      </c>
      <c r="P20" s="654">
        <v>21</v>
      </c>
      <c r="Q20" s="410"/>
      <c r="R20" s="643" t="str">
        <f>Sprache!$E$109</f>
        <v xml:space="preserve"> : </v>
      </c>
      <c r="S20" s="490"/>
      <c r="T20" s="1053">
        <f t="shared" ca="1" si="6"/>
        <v>1</v>
      </c>
      <c r="U20" s="818" t="str">
        <f>Sprache!$E$109</f>
        <v xml:space="preserve"> : </v>
      </c>
      <c r="V20" s="1056">
        <f t="shared" ca="1" si="7"/>
        <v>1</v>
      </c>
      <c r="W20" s="328"/>
      <c r="X20" s="708"/>
      <c r="Y20" s="47"/>
      <c r="Z20" s="574">
        <f ca="1">IF(CalcE5!$K$13=0,"",IF(VLOOKUP(CalcE5!$B$5,CalcE5!$C$4:$E$12,3,0)=MAX($Z19:$Z19),VLOOKUP(CalcE5!$B$5,CalcE5!$C$4:$E$12,3,0),CalcE5!$B$5))</f>
        <v>2</v>
      </c>
      <c r="AA20" s="365" t="str">
        <f ca="1">IF(OR(Calc1!$F$14&lt;3,AQ23=1),"",IF(CalcE5!$K$13=0,CalcE5!$C63,VLOOKUP(CalcE5!$B5,CalcE5!$C$4:$N$12,4,0)))</f>
        <v>Maibach 1822 eV</v>
      </c>
      <c r="AB20" s="213">
        <f ca="1">IF(CalcE5!$K$13=0,"",VLOOKUP(CalcE5!$B$5,CalcE5!$C$4:$N$12,9,0))</f>
        <v>3</v>
      </c>
      <c r="AC20" s="188">
        <f ca="1">IF(CalcE5!$K$13=0,"",VLOOKUP(CalcE5!$B$5,CalcE5!$C$4:$N$12,10,0))</f>
        <v>1</v>
      </c>
      <c r="AD20" s="188">
        <f ca="1">IF(CalcE5!$K$13=0,"",VLOOKUP(CalcE5!$B$5,CalcE5!$C$4:$N$12,11,0))</f>
        <v>2</v>
      </c>
      <c r="AE20" s="188">
        <f ca="1">IF(CalcE5!$K$13=0,"",VLOOKUP(CalcE5!$B$5,CalcE5!$C$4:$N$12,12,0))</f>
        <v>0</v>
      </c>
      <c r="AF20" s="209">
        <f ca="1">IF(CalcE5!$K$13=0,"",VLOOKUP(CalcE5!$B$5,CalcE5!$C$4:$S$12,15,0))</f>
        <v>4</v>
      </c>
      <c r="AG20" s="806" t="str">
        <f>Sprache!$E$109</f>
        <v xml:space="preserve"> : </v>
      </c>
      <c r="AH20" s="211">
        <f ca="1">IF(CalcE5!$K$13=0,"",VLOOKUP(CalcE5!$B$5,CalcE5!$C$4:$S$12,14,0))</f>
        <v>3</v>
      </c>
      <c r="AI20" s="188">
        <f ca="1">IF(CalcE5!$K$13=0,"",VLOOKUP(CalcE5!$B$5,CalcE5!$C$4:$S$12,16,0))</f>
        <v>1</v>
      </c>
      <c r="AJ20" s="209">
        <f ca="1">IF(CalcE5!$K$13=0,"",VLOOKUP(CalcE5!$B$5,CalcE5!$C$4:$N$12,5,0))</f>
        <v>152</v>
      </c>
      <c r="AK20" s="806" t="str">
        <f>Sprache!$E$109</f>
        <v xml:space="preserve"> : </v>
      </c>
      <c r="AL20" s="211">
        <f ca="1">IF(CalcE5!$K$13=0,"",VLOOKUP(CalcE5!$B$5,CalcE5!$C$4:$N$12,6,0))</f>
        <v>155</v>
      </c>
      <c r="AM20" s="188">
        <f ca="1">IF(CalcE5!$K$13=0,"",IF(VLOOKUP(CalcE5!$B$5,CalcE5!$C$4:$S$12,17,0)=Einstellungen!$F$24,"max",VLOOKUP(CalcE5!$B$5,CalcE5!$C$4:$S$12,17,0)))</f>
        <v>-3</v>
      </c>
      <c r="AN20" s="212">
        <f ca="1">IF(CalcE5!$K$13=0,"",VLOOKUP(CalcE5!$B$5,CalcE5!$C$4:$S$12,Einstellungen!$I$9,0))</f>
        <v>4</v>
      </c>
      <c r="AO20" s="47"/>
      <c r="AP20" s="419" t="s">
        <v>277</v>
      </c>
      <c r="AQ20" s="451" t="str">
        <f ca="1">IF(Vorrunde!$X$26="","",Vorrunde!$X$26)</f>
        <v>FC Grönlingen</v>
      </c>
      <c r="AR20" s="661"/>
      <c r="AS20" s="825"/>
      <c r="AT20" s="396"/>
      <c r="AU20" s="396"/>
      <c r="AV20" s="738" t="b">
        <f t="shared" ca="1" si="2"/>
        <v>0</v>
      </c>
      <c r="AW20" s="738" t="b">
        <f t="shared" si="8"/>
        <v>0</v>
      </c>
      <c r="AX20" s="738" t="b">
        <f t="shared" si="9"/>
        <v>0</v>
      </c>
      <c r="AY20" s="738" t="b">
        <f t="shared" si="10"/>
        <v>1</v>
      </c>
      <c r="AZ20" s="738" t="b">
        <f t="shared" si="3"/>
        <v>0</v>
      </c>
      <c r="BA20" s="738" t="b">
        <f t="shared" si="4"/>
        <v>0</v>
      </c>
      <c r="BB20" s="738" t="b">
        <f t="shared" si="5"/>
        <v>0</v>
      </c>
    </row>
    <row r="21" spans="1:54" ht="24" customHeight="1" x14ac:dyDescent="0.2">
      <c r="A21" s="47"/>
      <c r="B21" s="505">
        <f t="array" aca="1" ref="B21" ca="1">ROW(70:70)-SUM(((Planung!$L$6:$L$65="")+(Planung!$N$6:$N$65="")&gt;0)*1)-SUM((($H$12:$H20="")+($J$12:$J20="")&gt;0)*1)</f>
        <v>48</v>
      </c>
      <c r="C21" s="171">
        <f t="array" aca="1" ref="C21" ca="1">IF(Planung!$V$15,"",$C$12+QUOTIENT(($B21-$B$12),Planung!$V$11)*(Planung!$S$7+Planung!$S$9)/1440+SUM($X$12:$X20)/1440)</f>
        <v>0.64236111111111116</v>
      </c>
      <c r="D21" s="173">
        <f ca="1">IF(Planung!$V$15,"",MOD($B21-$B$12,Planung!$V$11)+1)</f>
        <v>4</v>
      </c>
      <c r="E21" s="403" t="s">
        <v>272</v>
      </c>
      <c r="F21" s="404" t="s">
        <v>4</v>
      </c>
      <c r="G21" s="405" t="s">
        <v>322</v>
      </c>
      <c r="H21" s="493" t="str">
        <f t="shared" ca="1" si="0"/>
        <v>Borussia Dortmund</v>
      </c>
      <c r="I21" s="494" t="s">
        <v>4</v>
      </c>
      <c r="J21" s="495" t="str">
        <f t="shared" ca="1" si="1"/>
        <v>RB Leipzig</v>
      </c>
      <c r="K21" s="410">
        <v>14</v>
      </c>
      <c r="L21" s="411" t="str">
        <f>Sprache!$E$109</f>
        <v xml:space="preserve"> : </v>
      </c>
      <c r="M21" s="654">
        <v>25</v>
      </c>
      <c r="N21" s="815">
        <v>25</v>
      </c>
      <c r="O21" s="669" t="str">
        <f>Sprache!$E$109</f>
        <v xml:space="preserve"> : </v>
      </c>
      <c r="P21" s="654">
        <v>23</v>
      </c>
      <c r="Q21" s="410"/>
      <c r="R21" s="643" t="str">
        <f>Sprache!$E$109</f>
        <v xml:space="preserve"> : </v>
      </c>
      <c r="S21" s="490"/>
      <c r="T21" s="1053">
        <f t="shared" ca="1" si="6"/>
        <v>1</v>
      </c>
      <c r="U21" s="818" t="str">
        <f>Sprache!$E$109</f>
        <v xml:space="preserve"> : </v>
      </c>
      <c r="V21" s="1056">
        <f t="shared" ca="1" si="7"/>
        <v>1</v>
      </c>
      <c r="W21" s="328"/>
      <c r="X21" s="708"/>
      <c r="Y21" s="47"/>
      <c r="Z21" s="574">
        <f ca="1">IF(CalcE5!$K$13=0,"",IF(VLOOKUP(CalcE5!$B$6,CalcE5!$C$4:$E$12,3,0)=MAX($Z19:$Z20),VLOOKUP(CalcE5!$B$6,CalcE5!$C$4:$E$12,3,0),CalcE5!$B$6))</f>
        <v>3</v>
      </c>
      <c r="AA21" s="365" t="str">
        <f ca="1">IF(OR(Calc1!$F$14&lt;3,AQ24=1),"",IF(CalcE5!$K$13=0,CalcE5!$C64,VLOOKUP(CalcE5!$B6,CalcE5!$C$4:$N$12,4,0)))</f>
        <v>SV Oberredenburg</v>
      </c>
      <c r="AB21" s="213">
        <f ca="1">IF(CalcE5!$K$13=0,"",VLOOKUP(CalcE5!$B$6,CalcE5!$C$4:$N$12,9,0))</f>
        <v>3</v>
      </c>
      <c r="AC21" s="188">
        <f ca="1">IF(CalcE5!$K$13=0,"",VLOOKUP(CalcE5!$B$6,CalcE5!$C$4:$N$12,10,0))</f>
        <v>1</v>
      </c>
      <c r="AD21" s="188">
        <f ca="1">IF(CalcE5!$K$13=0,"",VLOOKUP(CalcE5!$B$6,CalcE5!$C$4:$N$12,11,0))</f>
        <v>1</v>
      </c>
      <c r="AE21" s="188">
        <f ca="1">IF(CalcE5!$K$13=0,"",VLOOKUP(CalcE5!$B$6,CalcE5!$C$4:$N$12,12,0))</f>
        <v>1</v>
      </c>
      <c r="AF21" s="209">
        <f ca="1">IF(CalcE5!$K$13=0,"",VLOOKUP(CalcE5!$B$6,CalcE5!$C$4:$S$12,15,0))</f>
        <v>3</v>
      </c>
      <c r="AG21" s="806" t="str">
        <f>Sprache!$E$109</f>
        <v xml:space="preserve"> : </v>
      </c>
      <c r="AH21" s="211">
        <f ca="1">IF(CalcE5!$K$13=0,"",VLOOKUP(CalcE5!$B$6,CalcE5!$C$4:$S$12,14,0))</f>
        <v>3</v>
      </c>
      <c r="AI21" s="188">
        <f ca="1">IF(CalcE5!$K$13=0,"",VLOOKUP(CalcE5!$B$6,CalcE5!$C$4:$S$12,16,0))</f>
        <v>0</v>
      </c>
      <c r="AJ21" s="209">
        <f ca="1">IF(CalcE5!$K$13=0,"",VLOOKUP(CalcE5!$B$6,CalcE5!$C$4:$N$12,5,0))</f>
        <v>134</v>
      </c>
      <c r="AK21" s="806" t="str">
        <f>Sprache!$E$109</f>
        <v xml:space="preserve"> : </v>
      </c>
      <c r="AL21" s="211">
        <f ca="1">IF(CalcE5!$K$13=0,"",VLOOKUP(CalcE5!$B$6,CalcE5!$C$4:$N$12,6,0))</f>
        <v>135</v>
      </c>
      <c r="AM21" s="188">
        <f ca="1">IF(CalcE5!$K$13=0,"",IF(VLOOKUP(CalcE5!$B$6,CalcE5!$C$4:$S$12,17,0)=Einstellungen!$F$24,"max",VLOOKUP(CalcE5!$B$6,CalcE5!$C$4:$S$12,17,0)))</f>
        <v>-1</v>
      </c>
      <c r="AN21" s="212">
        <f ca="1">IF(CalcE5!$K$13=0,"",VLOOKUP(CalcE5!$B$6,CalcE5!$C$4:$S$12,Einstellungen!$I$9,0))</f>
        <v>3</v>
      </c>
      <c r="AO21" s="47"/>
      <c r="AP21" s="790" t="s">
        <v>278</v>
      </c>
      <c r="AQ21" s="451" t="str">
        <f ca="1">IF(Vorrunde!$X$36="","",Vorrunde!$X$36)</f>
        <v>1. FC Nürnberg</v>
      </c>
      <c r="AR21" s="661"/>
      <c r="AS21" s="825"/>
      <c r="AT21" s="483"/>
      <c r="AU21" s="483"/>
      <c r="AV21" s="738" t="b">
        <f t="shared" ca="1" si="2"/>
        <v>0</v>
      </c>
      <c r="AW21" s="738" t="b">
        <f t="shared" si="8"/>
        <v>0</v>
      </c>
      <c r="AX21" s="738" t="b">
        <f t="shared" si="9"/>
        <v>0</v>
      </c>
      <c r="AY21" s="738" t="b">
        <f t="shared" si="10"/>
        <v>1</v>
      </c>
      <c r="AZ21" s="738" t="b">
        <f t="shared" si="3"/>
        <v>0</v>
      </c>
      <c r="BA21" s="738" t="b">
        <f t="shared" si="4"/>
        <v>0</v>
      </c>
      <c r="BB21" s="738" t="b">
        <f t="shared" si="5"/>
        <v>0</v>
      </c>
    </row>
    <row r="22" spans="1:54" ht="24" customHeight="1" thickBot="1" x14ac:dyDescent="0.25">
      <c r="A22" s="47"/>
      <c r="B22" s="505">
        <f t="array" aca="1" ref="B22" ca="1">ROW(71:71)-SUM(((Planung!$L$6:$L$65="")+(Planung!$N$6:$N$65="")&gt;0)*1)-SUM((($H$12:$H21="")+($J$12:$J21="")&gt;0)*1)</f>
        <v>49</v>
      </c>
      <c r="C22" s="171">
        <f t="array" aca="1" ref="C22" ca="1">IF(Planung!$V$15,"",$C$12+QUOTIENT(($B22-$B$12),Planung!$V$11)*(Planung!$S$7+Planung!$S$9)/1440+SUM($X$12:$X21)/1440)</f>
        <v>0.66666666666666674</v>
      </c>
      <c r="D22" s="173">
        <f ca="1">IF(Planung!$V$15,"",MOD($B22-$B$12,Planung!$V$11)+1)</f>
        <v>1</v>
      </c>
      <c r="E22" s="403" t="s">
        <v>269</v>
      </c>
      <c r="F22" s="404" t="s">
        <v>4</v>
      </c>
      <c r="G22" s="405" t="s">
        <v>321</v>
      </c>
      <c r="H22" s="493" t="str">
        <f t="shared" ca="1" si="0"/>
        <v>Kickers Rodendorf</v>
      </c>
      <c r="I22" s="494"/>
      <c r="J22" s="495" t="str">
        <f t="shared" ca="1" si="1"/>
        <v>Paris St. Germain</v>
      </c>
      <c r="K22" s="410">
        <v>20</v>
      </c>
      <c r="L22" s="411" t="str">
        <f>Sprache!$E$109</f>
        <v xml:space="preserve"> : </v>
      </c>
      <c r="M22" s="654">
        <v>25</v>
      </c>
      <c r="N22" s="815">
        <v>25</v>
      </c>
      <c r="O22" s="669" t="str">
        <f>Sprache!$E$109</f>
        <v xml:space="preserve"> : </v>
      </c>
      <c r="P22" s="654">
        <v>17</v>
      </c>
      <c r="Q22" s="410"/>
      <c r="R22" s="643" t="str">
        <f>Sprache!$E$109</f>
        <v xml:space="preserve"> : </v>
      </c>
      <c r="S22" s="490"/>
      <c r="T22" s="1053">
        <f t="shared" ca="1" si="6"/>
        <v>1</v>
      </c>
      <c r="U22" s="818" t="str">
        <f>Sprache!$E$109</f>
        <v xml:space="preserve"> : </v>
      </c>
      <c r="V22" s="1056">
        <f t="shared" ca="1" si="7"/>
        <v>1</v>
      </c>
      <c r="W22" s="328"/>
      <c r="X22" s="708"/>
      <c r="Y22" s="47"/>
      <c r="Z22" s="575">
        <f ca="1">IF(CalcE5!$K$13=0,"",IF(VLOOKUP(CalcE5!$B$7,CalcE5!$C$4:$E$12,3,0)=MAX($Z19:$Z21),VLOOKUP(CalcE5!$B$7,CalcE5!$C$4:$E$12,3,0),CalcE5!$B$7))</f>
        <v>4</v>
      </c>
      <c r="AA22" s="367" t="str">
        <f ca="1">IF(OR(Calc1!$F$14&lt;3,AQ25=1),"",IF(CalcE5!$K$13=0,CalcE5!$C65,VLOOKUP(CalcE5!$B7,CalcE5!$C$4:$N$12,4,0)))</f>
        <v>FC Grönlingen</v>
      </c>
      <c r="AB22" s="224">
        <f ca="1">IF(CalcE5!$K$13=0,"",VLOOKUP(CalcE5!$B$7,CalcE5!$C$4:$N$12,9,0))</f>
        <v>3</v>
      </c>
      <c r="AC22" s="218">
        <f ca="1">IF(CalcE5!$K$13=0,"",VLOOKUP(CalcE5!$B$7,CalcE5!$C$4:$N$12,10,0))</f>
        <v>0</v>
      </c>
      <c r="AD22" s="218">
        <f ca="1">IF(CalcE5!$K$13=0,"",VLOOKUP(CalcE5!$B$7,CalcE5!$C$4:$N$12,11,0))</f>
        <v>1</v>
      </c>
      <c r="AE22" s="218">
        <f ca="1">IF(CalcE5!$K$13=0,"",VLOOKUP(CalcE5!$B$7,CalcE5!$C$4:$N$12,12,0))</f>
        <v>2</v>
      </c>
      <c r="AF22" s="220">
        <f ca="1">IF(CalcE5!$K$13=0,"",VLOOKUP(CalcE5!$B$7,CalcE5!$C$4:$S$12,15,0))</f>
        <v>2</v>
      </c>
      <c r="AG22" s="807" t="str">
        <f>Sprache!$E$109</f>
        <v xml:space="preserve"> : </v>
      </c>
      <c r="AH22" s="222">
        <f ca="1">IF(CalcE5!$K$13=0,"",VLOOKUP(CalcE5!$B$7,CalcE5!$C$4:$S$12,14,0))</f>
        <v>5</v>
      </c>
      <c r="AI22" s="218">
        <f ca="1">IF(CalcE5!$K$13=0,"",VLOOKUP(CalcE5!$B$7,CalcE5!$C$4:$S$12,16,0))</f>
        <v>-3</v>
      </c>
      <c r="AJ22" s="220">
        <f ca="1">IF(CalcE5!$K$13=0,"",VLOOKUP(CalcE5!$B$7,CalcE5!$C$4:$N$12,5,0))</f>
        <v>152</v>
      </c>
      <c r="AK22" s="807" t="str">
        <f>Sprache!$E$109</f>
        <v xml:space="preserve"> : </v>
      </c>
      <c r="AL22" s="222">
        <f ca="1">IF(CalcE5!$K$13=0,"",VLOOKUP(CalcE5!$B$7,CalcE5!$C$4:$N$12,6,0))</f>
        <v>162</v>
      </c>
      <c r="AM22" s="218">
        <f ca="1">IF(CalcE5!$K$13=0,"",IF(VLOOKUP(CalcE5!$B$7,CalcE5!$C$4:$S$12,17,0)=Einstellungen!$F$24,"max",VLOOKUP(CalcE5!$B$7,CalcE5!$C$4:$S$12,17,0)))</f>
        <v>-10</v>
      </c>
      <c r="AN22" s="223">
        <f ca="1">IF(CalcE5!$K$13=0,"",VLOOKUP(CalcE5!$B$7,CalcE5!$C$4:$S$12,Einstellungen!$I$9,0))</f>
        <v>1</v>
      </c>
      <c r="AO22" s="47"/>
      <c r="AP22" s="393" t="s">
        <v>324</v>
      </c>
      <c r="AQ22" s="452" t="str">
        <f ca="1">IF(Vorrunde!$X$46="","",Vorrunde!$X$46)</f>
        <v>SV Oberredenburg</v>
      </c>
      <c r="AR22" s="661"/>
      <c r="AS22" s="826"/>
      <c r="AT22" s="483"/>
      <c r="AU22" s="483"/>
      <c r="AV22" s="738" t="b">
        <f t="shared" ca="1" si="2"/>
        <v>0</v>
      </c>
      <c r="AW22" s="738" t="b">
        <f t="shared" si="8"/>
        <v>0</v>
      </c>
      <c r="AX22" s="738" t="b">
        <f t="shared" si="9"/>
        <v>0</v>
      </c>
      <c r="AY22" s="738" t="b">
        <f t="shared" si="10"/>
        <v>1</v>
      </c>
      <c r="AZ22" s="738" t="b">
        <f t="shared" si="3"/>
        <v>0</v>
      </c>
      <c r="BA22" s="738" t="b">
        <f t="shared" si="4"/>
        <v>0</v>
      </c>
      <c r="BB22" s="738" t="b">
        <f t="shared" si="5"/>
        <v>0</v>
      </c>
    </row>
    <row r="23" spans="1:54" ht="24" customHeight="1" thickTop="1" x14ac:dyDescent="0.2">
      <c r="A23" s="47"/>
      <c r="B23" s="505">
        <f t="array" aca="1" ref="B23" ca="1">ROW(72:72)-SUM(((Planung!$L$6:$L$65="")+(Planung!$N$6:$N$65="")&gt;0)*1)-SUM((($H$12:$H22="")+($J$12:$J22="")&gt;0)*1)</f>
        <v>50</v>
      </c>
      <c r="C23" s="171">
        <f t="array" aca="1" ref="C23" ca="1">IF(Planung!$V$15,"",$C$12+QUOTIENT(($B23-$B$12),Planung!$V$11)*(Planung!$S$7+Planung!$S$9)/1440+SUM($X$12:$X22)/1440)</f>
        <v>0.66666666666666674</v>
      </c>
      <c r="D23" s="173">
        <f ca="1">IF(Planung!$V$15,"",MOD($B23-$B$12,Planung!$V$11)+1)</f>
        <v>2</v>
      </c>
      <c r="E23" s="403" t="s">
        <v>266</v>
      </c>
      <c r="F23" s="404" t="s">
        <v>4</v>
      </c>
      <c r="G23" s="405" t="s">
        <v>320</v>
      </c>
      <c r="H23" s="493" t="str">
        <f t="shared" ca="1" si="0"/>
        <v>Real Madrid</v>
      </c>
      <c r="I23" s="494"/>
      <c r="J23" s="495" t="str">
        <f t="shared" ca="1" si="1"/>
        <v>TSG Saalberg eV</v>
      </c>
      <c r="K23" s="410">
        <v>19</v>
      </c>
      <c r="L23" s="411" t="str">
        <f>Sprache!$E$109</f>
        <v xml:space="preserve"> : </v>
      </c>
      <c r="M23" s="654">
        <v>25</v>
      </c>
      <c r="N23" s="815">
        <v>25</v>
      </c>
      <c r="O23" s="669" t="str">
        <f>Sprache!$E$109</f>
        <v xml:space="preserve"> : </v>
      </c>
      <c r="P23" s="654">
        <v>18</v>
      </c>
      <c r="Q23" s="410"/>
      <c r="R23" s="643" t="str">
        <f>Sprache!$E$109</f>
        <v xml:space="preserve"> : </v>
      </c>
      <c r="S23" s="490"/>
      <c r="T23" s="1053">
        <f t="shared" ca="1" si="6"/>
        <v>1</v>
      </c>
      <c r="U23" s="818" t="str">
        <f>Sprache!$E$109</f>
        <v xml:space="preserve"> : </v>
      </c>
      <c r="V23" s="1056">
        <f t="shared" ca="1" si="7"/>
        <v>1</v>
      </c>
      <c r="W23" s="328"/>
      <c r="X23" s="708"/>
      <c r="Y23" s="47"/>
      <c r="Z23" s="47"/>
      <c r="AA23" s="47"/>
      <c r="AB23" s="47"/>
      <c r="AC23" s="47"/>
      <c r="AD23" s="47"/>
      <c r="AE23" s="47"/>
      <c r="AF23" s="47"/>
      <c r="AG23" s="47"/>
      <c r="AH23" s="47"/>
      <c r="AI23" s="47"/>
      <c r="AJ23" s="47"/>
      <c r="AK23" s="47"/>
      <c r="AL23" s="47"/>
      <c r="AM23" s="47"/>
      <c r="AN23" s="47"/>
      <c r="AO23" s="47"/>
      <c r="AP23" s="47"/>
      <c r="AQ23" s="584">
        <f t="array" aca="1" ref="AQ23" ca="1">SUM((AQ19:AQ22&lt;&gt;"")*1)</f>
        <v>4</v>
      </c>
      <c r="AR23" s="584"/>
      <c r="AS23" s="272"/>
      <c r="AT23" s="483"/>
      <c r="AU23" s="483"/>
      <c r="AV23" s="738" t="b">
        <f t="shared" ca="1" si="2"/>
        <v>0</v>
      </c>
      <c r="AW23" s="738" t="b">
        <f t="shared" si="8"/>
        <v>0</v>
      </c>
      <c r="AX23" s="738" t="b">
        <f t="shared" si="9"/>
        <v>0</v>
      </c>
      <c r="AY23" s="738" t="b">
        <f t="shared" si="10"/>
        <v>1</v>
      </c>
      <c r="AZ23" s="738" t="b">
        <f t="shared" si="3"/>
        <v>0</v>
      </c>
      <c r="BA23" s="738" t="b">
        <f t="shared" si="4"/>
        <v>0</v>
      </c>
      <c r="BB23" s="738" t="b">
        <f t="shared" si="5"/>
        <v>0</v>
      </c>
    </row>
    <row r="24" spans="1:54" ht="24" customHeight="1" thickBot="1" x14ac:dyDescent="0.45">
      <c r="A24" s="47"/>
      <c r="B24" s="505">
        <f t="array" aca="1" ref="B24" ca="1">ROW(73:73)-SUM(((Planung!$L$6:$L$65="")+(Planung!$N$6:$N$65="")&gt;0)*1)-SUM((($H$12:$H23="")+($J$12:$J23="")&gt;0)*1)</f>
        <v>51</v>
      </c>
      <c r="C24" s="171">
        <f t="array" aca="1" ref="C24" ca="1">IF(Planung!$V$15,"",$C$12+QUOTIENT(($B24-$B$12),Planung!$V$11)*(Planung!$S$7+Planung!$S$9)/1440+SUM($X$12:$X23)/1440)</f>
        <v>0.66666666666666674</v>
      </c>
      <c r="D24" s="173">
        <f ca="1">IF(Planung!$V$15,"",MOD($B24-$B$12,Planung!$V$11)+1)</f>
        <v>3</v>
      </c>
      <c r="E24" s="403" t="s">
        <v>279</v>
      </c>
      <c r="F24" s="404" t="s">
        <v>4</v>
      </c>
      <c r="G24" s="405" t="s">
        <v>281</v>
      </c>
      <c r="H24" s="493" t="str">
        <f t="shared" ca="1" si="0"/>
        <v/>
      </c>
      <c r="I24" s="494"/>
      <c r="J24" s="495" t="str">
        <f t="shared" ca="1" si="1"/>
        <v/>
      </c>
      <c r="K24" s="410"/>
      <c r="L24" s="411" t="str">
        <f>Sprache!$E$109</f>
        <v xml:space="preserve"> : </v>
      </c>
      <c r="M24" s="654"/>
      <c r="N24" s="815"/>
      <c r="O24" s="669" t="str">
        <f>Sprache!$E$109</f>
        <v xml:space="preserve"> : </v>
      </c>
      <c r="P24" s="654"/>
      <c r="Q24" s="410"/>
      <c r="R24" s="643" t="str">
        <f>Sprache!$E$109</f>
        <v xml:space="preserve"> : </v>
      </c>
      <c r="S24" s="490"/>
      <c r="T24" s="1053" t="str">
        <f t="shared" ca="1" si="6"/>
        <v/>
      </c>
      <c r="U24" s="818" t="str">
        <f>Sprache!$E$109</f>
        <v xml:space="preserve"> : </v>
      </c>
      <c r="V24" s="1056" t="str">
        <f t="shared" ca="1" si="7"/>
        <v/>
      </c>
      <c r="W24" s="328"/>
      <c r="X24" s="708"/>
      <c r="Y24" s="47"/>
      <c r="Z24" s="996" t="str">
        <f>Sprache!$E$62</f>
        <v>Gruppenvierte</v>
      </c>
      <c r="AA24" s="996"/>
      <c r="AB24" s="996"/>
      <c r="AC24" s="996"/>
      <c r="AD24" s="996"/>
      <c r="AE24" s="996"/>
      <c r="AF24" s="804"/>
      <c r="AG24" s="804"/>
      <c r="AH24" s="804"/>
      <c r="AI24" s="804"/>
      <c r="AJ24" s="189"/>
      <c r="AK24" s="189"/>
      <c r="AL24" s="189"/>
      <c r="AM24" s="189"/>
      <c r="AN24" s="189"/>
      <c r="AO24" s="47"/>
      <c r="AP24" s="878" t="str">
        <f>Sprache!$E$62</f>
        <v>Gruppenvierte</v>
      </c>
      <c r="AQ24" s="878"/>
      <c r="AR24" s="640"/>
      <c r="AS24" s="447"/>
      <c r="AT24" s="483"/>
      <c r="AU24" s="483"/>
      <c r="AV24" s="738" t="b">
        <f t="shared" ca="1" si="2"/>
        <v>1</v>
      </c>
      <c r="AW24" s="738" t="b">
        <f t="shared" si="8"/>
        <v>1</v>
      </c>
      <c r="AX24" s="738" t="b">
        <f t="shared" si="9"/>
        <v>1</v>
      </c>
      <c r="AY24" s="738" t="b">
        <f t="shared" si="10"/>
        <v>1</v>
      </c>
      <c r="AZ24" s="738" t="b">
        <f t="shared" si="3"/>
        <v>0</v>
      </c>
      <c r="BA24" s="738" t="b">
        <f t="shared" si="4"/>
        <v>0</v>
      </c>
      <c r="BB24" s="738" t="b">
        <f t="shared" si="5"/>
        <v>0</v>
      </c>
    </row>
    <row r="25" spans="1:54" ht="24" customHeight="1" thickTop="1" thickBot="1" x14ac:dyDescent="0.25">
      <c r="A25" s="47"/>
      <c r="B25" s="505">
        <f t="array" aca="1" ref="B25" ca="1">ROW(74:74)-SUM(((Planung!$L$6:$L$65="")+(Planung!$N$6:$N$65="")&gt;0)*1)-SUM((($H$12:$H24="")+($J$12:$J24="")&gt;0)*1)</f>
        <v>51</v>
      </c>
      <c r="C25" s="171">
        <f t="array" aca="1" ref="C25" ca="1">IF(Planung!$V$15,"",$C$12+QUOTIENT(($B25-$B$12),Planung!$V$11)*(Planung!$S$7+Planung!$S$9)/1440+SUM($X$12:$X24)/1440)</f>
        <v>0.66666666666666674</v>
      </c>
      <c r="D25" s="173">
        <f ca="1">IF(Planung!$V$15,"",MOD($B25-$B$12,Planung!$V$11)+1)</f>
        <v>3</v>
      </c>
      <c r="E25" s="403" t="s">
        <v>276</v>
      </c>
      <c r="F25" s="404" t="s">
        <v>4</v>
      </c>
      <c r="G25" s="405" t="s">
        <v>278</v>
      </c>
      <c r="H25" s="493" t="str">
        <f t="shared" ca="1" si="0"/>
        <v>Maibach 1822 eV</v>
      </c>
      <c r="I25" s="494"/>
      <c r="J25" s="495" t="str">
        <f t="shared" ca="1" si="1"/>
        <v>1. FC Nürnberg</v>
      </c>
      <c r="K25" s="410">
        <v>14</v>
      </c>
      <c r="L25" s="411" t="str">
        <f>Sprache!$E$109</f>
        <v xml:space="preserve"> : </v>
      </c>
      <c r="M25" s="654">
        <v>25</v>
      </c>
      <c r="N25" s="815">
        <v>25</v>
      </c>
      <c r="O25" s="669" t="str">
        <f>Sprache!$E$109</f>
        <v xml:space="preserve"> : </v>
      </c>
      <c r="P25" s="654">
        <v>20</v>
      </c>
      <c r="Q25" s="410"/>
      <c r="R25" s="643" t="str">
        <f>Sprache!$E$109</f>
        <v xml:space="preserve"> : </v>
      </c>
      <c r="S25" s="490"/>
      <c r="T25" s="1053">
        <f t="shared" ca="1" si="6"/>
        <v>1</v>
      </c>
      <c r="U25" s="818" t="str">
        <f>Sprache!$E$109</f>
        <v xml:space="preserve"> : </v>
      </c>
      <c r="V25" s="1056">
        <f t="shared" ca="1" si="7"/>
        <v>1</v>
      </c>
      <c r="W25" s="328"/>
      <c r="X25" s="708"/>
      <c r="Y25" s="47"/>
      <c r="Z25" s="992"/>
      <c r="AA25" s="993"/>
      <c r="AB25" s="794" t="str">
        <f>Sprache!$E$21</f>
        <v>SP</v>
      </c>
      <c r="AC25" s="192" t="str">
        <f>Sprache!$E$22</f>
        <v>G</v>
      </c>
      <c r="AD25" s="192" t="str">
        <f>Sprache!$E$23</f>
        <v>U</v>
      </c>
      <c r="AE25" s="792" t="str">
        <f>Sprache!$E$24</f>
        <v>V</v>
      </c>
      <c r="AF25" s="884" t="str">
        <f>Sprache!$E$25</f>
        <v>Sätze</v>
      </c>
      <c r="AG25" s="885"/>
      <c r="AH25" s="886"/>
      <c r="AI25" s="793" t="str">
        <f>Sprache!$E$26</f>
        <v>Diff.</v>
      </c>
      <c r="AJ25" s="884" t="str">
        <f>Sprache!$E$74</f>
        <v>Bälle</v>
      </c>
      <c r="AK25" s="885"/>
      <c r="AL25" s="886"/>
      <c r="AM25" s="192" t="str">
        <f>IF(Einstellungen!$G$24,Sprache!$E$26,Sprache!$E$80)</f>
        <v>Diff.</v>
      </c>
      <c r="AN25" s="194" t="str">
        <f>Sprache!$E$27</f>
        <v>Pkt</v>
      </c>
      <c r="AO25" s="47"/>
      <c r="AP25" s="420"/>
      <c r="AQ25" s="449" t="str">
        <f>Sprache!$E$10</f>
        <v>Teilnehmer bzw. Mannschaft</v>
      </c>
      <c r="AR25" s="659"/>
      <c r="AS25" s="660"/>
      <c r="AT25" s="394"/>
      <c r="AU25" s="394"/>
      <c r="AV25" s="738" t="b">
        <f t="shared" ca="1" si="2"/>
        <v>0</v>
      </c>
      <c r="AW25" s="738" t="b">
        <f t="shared" si="8"/>
        <v>0</v>
      </c>
      <c r="AX25" s="738" t="b">
        <f t="shared" si="9"/>
        <v>0</v>
      </c>
      <c r="AY25" s="738" t="b">
        <f t="shared" si="10"/>
        <v>1</v>
      </c>
      <c r="AZ25" s="738" t="b">
        <f t="shared" si="3"/>
        <v>0</v>
      </c>
      <c r="BA25" s="738" t="b">
        <f t="shared" si="4"/>
        <v>0</v>
      </c>
      <c r="BB25" s="738" t="b">
        <f t="shared" si="5"/>
        <v>0</v>
      </c>
    </row>
    <row r="26" spans="1:54" ht="24" customHeight="1" x14ac:dyDescent="0.2">
      <c r="A26" s="47"/>
      <c r="B26" s="505">
        <f t="array" aca="1" ref="B26" ca="1">ROW(75:75)-SUM(((Planung!$L$6:$L$65="")+(Planung!$N$6:$N$65="")&gt;0)*1)-SUM((($H$12:$H25="")+($J$12:$J25="")&gt;0)*1)</f>
        <v>52</v>
      </c>
      <c r="C26" s="171">
        <f t="array" aca="1" ref="C26" ca="1">IF(Planung!$V$15,"",$C$12+QUOTIENT(($B26-$B$12),Planung!$V$11)*(Planung!$S$7+Planung!$S$9)/1440+SUM($X$12:$X25)/1440)</f>
        <v>0.66666666666666674</v>
      </c>
      <c r="D26" s="173">
        <f ca="1">IF(Planung!$V$15,"",MOD($B26-$B$12,Planung!$V$11)+1)</f>
        <v>4</v>
      </c>
      <c r="E26" s="403" t="s">
        <v>273</v>
      </c>
      <c r="F26" s="404" t="s">
        <v>4</v>
      </c>
      <c r="G26" s="405" t="s">
        <v>275</v>
      </c>
      <c r="H26" s="493" t="str">
        <f t="shared" ca="1" si="0"/>
        <v>VFB Essenheim</v>
      </c>
      <c r="I26" s="494"/>
      <c r="J26" s="495" t="str">
        <f t="shared" ca="1" si="1"/>
        <v>FSV Rauen</v>
      </c>
      <c r="K26" s="410">
        <v>21</v>
      </c>
      <c r="L26" s="411" t="str">
        <f>Sprache!$E$109</f>
        <v xml:space="preserve"> : </v>
      </c>
      <c r="M26" s="654">
        <v>25</v>
      </c>
      <c r="N26" s="815">
        <v>25</v>
      </c>
      <c r="O26" s="669" t="str">
        <f>Sprache!$E$109</f>
        <v xml:space="preserve"> : </v>
      </c>
      <c r="P26" s="654">
        <v>18</v>
      </c>
      <c r="Q26" s="410"/>
      <c r="R26" s="643" t="str">
        <f>Sprache!$E$109</f>
        <v xml:space="preserve"> : </v>
      </c>
      <c r="S26" s="490"/>
      <c r="T26" s="1053">
        <f t="shared" ca="1" si="6"/>
        <v>1</v>
      </c>
      <c r="U26" s="818" t="str">
        <f>Sprache!$E$109</f>
        <v xml:space="preserve"> : </v>
      </c>
      <c r="V26" s="1056">
        <f t="shared" ca="1" si="7"/>
        <v>1</v>
      </c>
      <c r="W26" s="328"/>
      <c r="X26" s="708"/>
      <c r="Y26" s="47"/>
      <c r="Z26" s="573">
        <f ca="1">IF(CalcE4!$K$13=0,"",1)</f>
        <v>1</v>
      </c>
      <c r="AA26" s="363" t="str">
        <f ca="1">IF(Calc1!$F$14&lt;3,"",IF(AND(CalcE4!$K$13=0,AQ30&lt;&gt;1),CalcE4!$C$62,VLOOKUP(CalcE4!$B$4,CalcE4!$C$4:$N$12,4,0)))</f>
        <v>VFB Essenheim</v>
      </c>
      <c r="AB26" s="571">
        <f ca="1">IF(CalcE4!$K$13=0,"",VLOOKUP(CalcE4!$B$4,CalcE4!$C$4:$N$12,9,0))</f>
        <v>3</v>
      </c>
      <c r="AC26" s="198">
        <f ca="1">IF(CalcE4!$K$13=0,"",VLOOKUP(CalcE4!$B$4,CalcE4!$C$4:$N$12,10,0))</f>
        <v>1</v>
      </c>
      <c r="AD26" s="198">
        <f ca="1">IF(CalcE4!$K$13=0,"",VLOOKUP(CalcE4!$B$4,CalcE4!$C$4:$N$12,11,0))</f>
        <v>2</v>
      </c>
      <c r="AE26" s="198">
        <f ca="1">IF(CalcE4!$K$13=0,"",VLOOKUP(CalcE4!$B$4,CalcE4!$C$4:$N$12,12,0))</f>
        <v>0</v>
      </c>
      <c r="AF26" s="199">
        <f ca="1">IF(CalcE4!$K$13=0,"",VLOOKUP(CalcE4!$B$4,CalcE4!$C$4:$S$12,15,0))</f>
        <v>4</v>
      </c>
      <c r="AG26" s="201" t="str">
        <f>Sprache!$E$109</f>
        <v xml:space="preserve"> : </v>
      </c>
      <c r="AH26" s="197">
        <f ca="1">IF(CalcE4!$K$13=0,"",VLOOKUP(CalcE4!$B$4,CalcE4!$C$4:$S$12,14,0))</f>
        <v>2</v>
      </c>
      <c r="AI26" s="198">
        <f ca="1">IF(CalcE4!$K$13=0,"",VLOOKUP(CalcE4!$B$4,CalcE4!$C$4:$S$12,16,0))</f>
        <v>2</v>
      </c>
      <c r="AJ26" s="200">
        <f ca="1">IF(CalcE4!$K$13=0,"",VLOOKUP(CalcE4!$B$4,CalcE4!$C$4:$N$12,5,0))</f>
        <v>140</v>
      </c>
      <c r="AK26" s="805" t="str">
        <f>Sprache!$E$109</f>
        <v xml:space="preserve"> : </v>
      </c>
      <c r="AL26" s="202">
        <f ca="1">IF(CalcE4!$K$13=0,"",VLOOKUP(CalcE4!$B$4,CalcE4!$C$4:$N$12,6,0))</f>
        <v>134</v>
      </c>
      <c r="AM26" s="198">
        <f ca="1">IF(CalcE4!$K$13=0,"",IF(VLOOKUP(CalcE4!$B$4,CalcE4!$C$4:$S$12,17,0)=Einstellungen!$F$24,"max",VLOOKUP(CalcE4!$B$4,CalcE4!$C$4:$S$12,17,0)))</f>
        <v>6</v>
      </c>
      <c r="AN26" s="203">
        <f ca="1">IF(CalcE4!$K$13=0,"",VLOOKUP(CalcE4!$B$4,CalcE4!$C$4:$S$12,Einstellungen!$I$9,0))</f>
        <v>4</v>
      </c>
      <c r="AO26" s="47"/>
      <c r="AP26" s="791" t="s">
        <v>273</v>
      </c>
      <c r="AQ26" s="450" t="str">
        <f ca="1">IF(Vorrunde!$X$15="","",Vorrunde!$X$15)</f>
        <v>VFB Essenheim</v>
      </c>
      <c r="AR26" s="661"/>
      <c r="AS26" s="824"/>
      <c r="AT26" s="270"/>
      <c r="AU26" s="270"/>
      <c r="AV26" s="738" t="b">
        <f t="shared" ca="1" si="2"/>
        <v>0</v>
      </c>
      <c r="AW26" s="738" t="b">
        <f t="shared" si="8"/>
        <v>0</v>
      </c>
      <c r="AX26" s="738" t="b">
        <f t="shared" si="9"/>
        <v>0</v>
      </c>
      <c r="AY26" s="738" t="b">
        <f t="shared" si="10"/>
        <v>1</v>
      </c>
      <c r="AZ26" s="738" t="b">
        <f t="shared" si="3"/>
        <v>0</v>
      </c>
      <c r="BA26" s="738" t="b">
        <f t="shared" si="4"/>
        <v>0</v>
      </c>
      <c r="BB26" s="738" t="b">
        <f t="shared" si="5"/>
        <v>0</v>
      </c>
    </row>
    <row r="27" spans="1:54" ht="24" customHeight="1" x14ac:dyDescent="0.4">
      <c r="A27" s="47"/>
      <c r="B27" s="505">
        <f t="array" aca="1" ref="B27" ca="1">ROW(76:76)-SUM(((Planung!$L$6:$L$65="")+(Planung!$N$6:$N$65="")&gt;0)*1)-SUM((($H$12:$H26="")+($J$12:$J26="")&gt;0)*1)</f>
        <v>53</v>
      </c>
      <c r="C27" s="171">
        <f t="array" aca="1" ref="C27" ca="1">IF(Planung!$V$15,"",$C$12+QUOTIENT(($B27-$B$12),Planung!$V$11)*(Planung!$S$7+Planung!$S$9)/1440+SUM($X$12:$X26)/1440)</f>
        <v>0.69097222222222221</v>
      </c>
      <c r="D27" s="173">
        <f ca="1">IF(Planung!$V$15,"",MOD($B27-$B$12,Planung!$V$11)+1)</f>
        <v>1</v>
      </c>
      <c r="E27" s="403" t="s">
        <v>270</v>
      </c>
      <c r="F27" s="404" t="s">
        <v>4</v>
      </c>
      <c r="G27" s="405" t="s">
        <v>272</v>
      </c>
      <c r="H27" s="493" t="str">
        <f t="shared" ca="1" si="0"/>
        <v>1. FC Riedwald</v>
      </c>
      <c r="I27" s="494"/>
      <c r="J27" s="495" t="str">
        <f t="shared" ca="1" si="1"/>
        <v>Borussia Dortmund</v>
      </c>
      <c r="K27" s="410">
        <v>25</v>
      </c>
      <c r="L27" s="411" t="str">
        <f>Sprache!$E$109</f>
        <v xml:space="preserve"> : </v>
      </c>
      <c r="M27" s="654">
        <v>23</v>
      </c>
      <c r="N27" s="815">
        <v>25</v>
      </c>
      <c r="O27" s="669" t="str">
        <f>Sprache!$E$109</f>
        <v xml:space="preserve"> : </v>
      </c>
      <c r="P27" s="654">
        <v>22</v>
      </c>
      <c r="Q27" s="410"/>
      <c r="R27" s="643" t="str">
        <f>Sprache!$E$109</f>
        <v xml:space="preserve"> : </v>
      </c>
      <c r="S27" s="490"/>
      <c r="T27" s="1053">
        <f t="shared" ca="1" si="6"/>
        <v>2</v>
      </c>
      <c r="U27" s="818" t="str">
        <f>Sprache!$E$109</f>
        <v xml:space="preserve"> : </v>
      </c>
      <c r="V27" s="1056">
        <f t="shared" ca="1" si="7"/>
        <v>0</v>
      </c>
      <c r="W27" s="328"/>
      <c r="X27" s="708"/>
      <c r="Y27" s="47"/>
      <c r="Z27" s="574">
        <f ca="1">IF(CalcE4!$K$13=0,"",IF(VLOOKUP(CalcE4!$B$5,CalcE4!$C$4:$E$12,3,0)=MAX($Z26:$Z26),VLOOKUP(CalcE4!$B$5,CalcE4!$C$4:$E$12,3,0),CalcE4!$B$5))</f>
        <v>2</v>
      </c>
      <c r="AA27" s="365" t="str">
        <f ca="1">IF(OR(Calc1!$F$14&lt;3,AQ30=1),"",IF(CalcE4!$K$13=0,CalcE4!$C63,VLOOKUP(CalcE4!$B5,CalcE4!$C$4:$N$12,4,0)))</f>
        <v>HSV</v>
      </c>
      <c r="AB27" s="213">
        <f ca="1">IF(CalcE4!$K$13=0,"",VLOOKUP(CalcE4!$B$5,CalcE4!$C$4:$N$12,9,0))</f>
        <v>3</v>
      </c>
      <c r="AC27" s="188">
        <f ca="1">IF(CalcE4!$K$13=0,"",VLOOKUP(CalcE4!$B$5,CalcE4!$C$4:$N$12,10,0))</f>
        <v>0</v>
      </c>
      <c r="AD27" s="188">
        <f ca="1">IF(CalcE4!$K$13=0,"",VLOOKUP(CalcE4!$B$5,CalcE4!$C$4:$N$12,11,0))</f>
        <v>3</v>
      </c>
      <c r="AE27" s="188">
        <f ca="1">IF(CalcE4!$K$13=0,"",VLOOKUP(CalcE4!$B$5,CalcE4!$C$4:$N$12,12,0))</f>
        <v>0</v>
      </c>
      <c r="AF27" s="208">
        <f ca="1">IF(CalcE4!$K$13=0,"",VLOOKUP(CalcE4!$B$5,CalcE4!$C$4:$S$12,15,0))</f>
        <v>3</v>
      </c>
      <c r="AG27" s="210" t="str">
        <f>Sprache!$E$109</f>
        <v xml:space="preserve"> : </v>
      </c>
      <c r="AH27" s="207">
        <f ca="1">IF(CalcE4!$K$13=0,"",VLOOKUP(CalcE4!$B$5,CalcE4!$C$4:$S$12,14,0))</f>
        <v>3</v>
      </c>
      <c r="AI27" s="188">
        <f ca="1">IF(CalcE4!$K$13=0,"",VLOOKUP(CalcE4!$B$5,CalcE4!$C$4:$S$12,16,0))</f>
        <v>0</v>
      </c>
      <c r="AJ27" s="209">
        <f ca="1">IF(CalcE4!$K$13=0,"",VLOOKUP(CalcE4!$B$5,CalcE4!$C$4:$N$12,5,0))</f>
        <v>131</v>
      </c>
      <c r="AK27" s="806" t="str">
        <f>Sprache!$E$109</f>
        <v xml:space="preserve"> : </v>
      </c>
      <c r="AL27" s="211">
        <f ca="1">IF(CalcE4!$K$13=0,"",VLOOKUP(CalcE4!$B$5,CalcE4!$C$4:$N$12,6,0))</f>
        <v>134</v>
      </c>
      <c r="AM27" s="188">
        <f ca="1">IF(CalcE4!$K$13=0,"",IF(VLOOKUP(CalcE4!$B$5,CalcE4!$C$4:$S$12,17,0)=Einstellungen!$F$24,"max",VLOOKUP(CalcE4!$B$5,CalcE4!$C$4:$S$12,17,0)))</f>
        <v>-3</v>
      </c>
      <c r="AN27" s="212">
        <f ca="1">IF(CalcE4!$K$13=0,"",VLOOKUP(CalcE4!$B$5,CalcE4!$C$4:$S$12,Einstellungen!$I$9,0))</f>
        <v>3</v>
      </c>
      <c r="AO27" s="47"/>
      <c r="AP27" s="419" t="s">
        <v>274</v>
      </c>
      <c r="AQ27" s="451" t="str">
        <f ca="1">IF(Vorrunde!$X$25="","",Vorrunde!$X$25)</f>
        <v>SSV Wildbach</v>
      </c>
      <c r="AR27" s="661"/>
      <c r="AS27" s="825"/>
      <c r="AT27" s="448"/>
      <c r="AU27" s="448"/>
      <c r="AV27" s="738" t="b">
        <f t="shared" ca="1" si="2"/>
        <v>0</v>
      </c>
      <c r="AW27" s="738" t="b">
        <f t="shared" si="8"/>
        <v>0</v>
      </c>
      <c r="AX27" s="738" t="b">
        <f t="shared" si="9"/>
        <v>0</v>
      </c>
      <c r="AY27" s="738" t="b">
        <f t="shared" si="10"/>
        <v>1</v>
      </c>
      <c r="AZ27" s="738" t="b">
        <f t="shared" si="3"/>
        <v>0</v>
      </c>
      <c r="BA27" s="738" t="b">
        <f t="shared" si="4"/>
        <v>0</v>
      </c>
      <c r="BB27" s="738" t="b">
        <f t="shared" si="5"/>
        <v>0</v>
      </c>
    </row>
    <row r="28" spans="1:54" ht="24" customHeight="1" x14ac:dyDescent="0.2">
      <c r="A28" s="47"/>
      <c r="B28" s="505">
        <f t="array" aca="1" ref="B28" ca="1">ROW(77:77)-SUM(((Planung!$L$6:$L$65="")+(Planung!$N$6:$N$65="")&gt;0)*1)-SUM((($H$12:$H27="")+($J$12:$J27="")&gt;0)*1)</f>
        <v>54</v>
      </c>
      <c r="C28" s="171">
        <f t="array" aca="1" ref="C28" ca="1">IF(Planung!$V$15,"",$C$12+QUOTIENT(($B28-$B$12),Planung!$V$11)*(Planung!$S$7+Planung!$S$9)/1440+SUM($X$12:$X27)/1440)</f>
        <v>0.69097222222222221</v>
      </c>
      <c r="D28" s="173">
        <f ca="1">IF(Planung!$V$15,"",MOD($B28-$B$12,Planung!$V$11)+1)</f>
        <v>2</v>
      </c>
      <c r="E28" s="403" t="s">
        <v>354</v>
      </c>
      <c r="F28" s="404" t="s">
        <v>4</v>
      </c>
      <c r="G28" s="405" t="s">
        <v>269</v>
      </c>
      <c r="H28" s="493" t="str">
        <f t="shared" ca="1" si="0"/>
        <v>FC Barcelona</v>
      </c>
      <c r="I28" s="494"/>
      <c r="J28" s="495" t="str">
        <f t="shared" ca="1" si="1"/>
        <v>Kickers Rodendorf</v>
      </c>
      <c r="K28" s="410">
        <v>25</v>
      </c>
      <c r="L28" s="411" t="str">
        <f>Sprache!$E$109</f>
        <v xml:space="preserve"> : </v>
      </c>
      <c r="M28" s="654">
        <v>20</v>
      </c>
      <c r="N28" s="815">
        <v>25</v>
      </c>
      <c r="O28" s="669" t="str">
        <f>Sprache!$E$109</f>
        <v xml:space="preserve"> : </v>
      </c>
      <c r="P28" s="654">
        <v>11</v>
      </c>
      <c r="Q28" s="410"/>
      <c r="R28" s="643" t="str">
        <f>Sprache!$E$109</f>
        <v xml:space="preserve"> : </v>
      </c>
      <c r="S28" s="490"/>
      <c r="T28" s="1053">
        <f t="shared" ca="1" si="6"/>
        <v>2</v>
      </c>
      <c r="U28" s="818" t="str">
        <f>Sprache!$E$109</f>
        <v xml:space="preserve"> : </v>
      </c>
      <c r="V28" s="1056">
        <f t="shared" ca="1" si="7"/>
        <v>0</v>
      </c>
      <c r="W28" s="328"/>
      <c r="X28" s="708"/>
      <c r="Y28" s="47"/>
      <c r="Z28" s="574">
        <f ca="1">IF(CalcE4!$K$13=0,"",IF(VLOOKUP(CalcE4!$B$6,CalcE4!$C$4:$E$12,3,0)=MAX($Z26:$Z27),VLOOKUP(CalcE4!$B$6,CalcE4!$C$4:$E$12,3,0),CalcE4!$B$6))</f>
        <v>3</v>
      </c>
      <c r="AA28" s="365" t="str">
        <f ca="1">IF(OR(Calc1!$F$14&lt;3,AQ31=1),"",IF(CalcE4!$K$13=0,CalcE4!$C64,VLOOKUP(CalcE4!$B6,CalcE4!$C$4:$N$12,4,0)))</f>
        <v>FSV Rauen</v>
      </c>
      <c r="AB28" s="213">
        <f ca="1">IF(CalcE4!$K$13=0,"",VLOOKUP(CalcE4!$B$6,CalcE4!$C$4:$N$12,9,0))</f>
        <v>3</v>
      </c>
      <c r="AC28" s="188">
        <f ca="1">IF(CalcE4!$K$13=0,"",VLOOKUP(CalcE4!$B$6,CalcE4!$C$4:$N$12,10,0))</f>
        <v>0</v>
      </c>
      <c r="AD28" s="188">
        <f ca="1">IF(CalcE4!$K$13=0,"",VLOOKUP(CalcE4!$B$6,CalcE4!$C$4:$N$12,11,0))</f>
        <v>3</v>
      </c>
      <c r="AE28" s="188">
        <f ca="1">IF(CalcE4!$K$13=0,"",VLOOKUP(CalcE4!$B$6,CalcE4!$C$4:$N$12,12,0))</f>
        <v>0</v>
      </c>
      <c r="AF28" s="208">
        <f ca="1">IF(CalcE4!$K$13=0,"",VLOOKUP(CalcE4!$B$6,CalcE4!$C$4:$S$12,15,0))</f>
        <v>3</v>
      </c>
      <c r="AG28" s="210" t="str">
        <f>Sprache!$E$109</f>
        <v xml:space="preserve"> : </v>
      </c>
      <c r="AH28" s="207">
        <f ca="1">IF(CalcE4!$K$13=0,"",VLOOKUP(CalcE4!$B$6,CalcE4!$C$4:$S$12,14,0))</f>
        <v>3</v>
      </c>
      <c r="AI28" s="188">
        <f ca="1">IF(CalcE4!$K$13=0,"",VLOOKUP(CalcE4!$B$6,CalcE4!$C$4:$S$12,16,0))</f>
        <v>0</v>
      </c>
      <c r="AJ28" s="209">
        <f ca="1">IF(CalcE4!$K$13=0,"",VLOOKUP(CalcE4!$B$6,CalcE4!$C$4:$N$12,5,0))</f>
        <v>131</v>
      </c>
      <c r="AK28" s="806" t="str">
        <f>Sprache!$E$109</f>
        <v xml:space="preserve"> : </v>
      </c>
      <c r="AL28" s="211">
        <f ca="1">IF(CalcE4!$K$13=0,"",VLOOKUP(CalcE4!$B$6,CalcE4!$C$4:$N$12,6,0))</f>
        <v>134</v>
      </c>
      <c r="AM28" s="188">
        <f ca="1">IF(CalcE4!$K$13=0,"",IF(VLOOKUP(CalcE4!$B$6,CalcE4!$C$4:$S$12,17,0)=Einstellungen!$F$24,"max",VLOOKUP(CalcE4!$B$6,CalcE4!$C$4:$S$12,17,0)))</f>
        <v>-3</v>
      </c>
      <c r="AN28" s="212">
        <f ca="1">IF(CalcE4!$K$13=0,"",VLOOKUP(CalcE4!$B$6,CalcE4!$C$4:$S$12,Einstellungen!$I$9,0))</f>
        <v>3</v>
      </c>
      <c r="AO28" s="47"/>
      <c r="AP28" s="790" t="s">
        <v>275</v>
      </c>
      <c r="AQ28" s="451" t="str">
        <f ca="1">IF(Vorrunde!$X$35="","",Vorrunde!$X$35)</f>
        <v>FSV Rauen</v>
      </c>
      <c r="AR28" s="661"/>
      <c r="AS28" s="825"/>
      <c r="AT28" s="396"/>
      <c r="AU28" s="396"/>
      <c r="AV28" s="738" t="b">
        <f t="shared" ca="1" si="2"/>
        <v>0</v>
      </c>
      <c r="AW28" s="738" t="b">
        <f t="shared" si="8"/>
        <v>0</v>
      </c>
      <c r="AX28" s="738" t="b">
        <f t="shared" si="9"/>
        <v>0</v>
      </c>
      <c r="AY28" s="738" t="b">
        <f t="shared" si="10"/>
        <v>1</v>
      </c>
      <c r="AZ28" s="738" t="b">
        <f t="shared" si="3"/>
        <v>0</v>
      </c>
      <c r="BA28" s="738" t="b">
        <f t="shared" si="4"/>
        <v>0</v>
      </c>
      <c r="BB28" s="738" t="b">
        <f t="shared" si="5"/>
        <v>0</v>
      </c>
    </row>
    <row r="29" spans="1:54" ht="24" customHeight="1" thickBot="1" x14ac:dyDescent="0.25">
      <c r="A29" s="47"/>
      <c r="B29" s="505">
        <f t="array" aca="1" ref="B29" ca="1">ROW(78:78)-SUM(((Planung!$L$6:$L$65="")+(Planung!$N$6:$N$65="")&gt;0)*1)-SUM((($H$12:$H28="")+($J$12:$J28="")&gt;0)*1)</f>
        <v>55</v>
      </c>
      <c r="C29" s="171">
        <f t="array" aca="1" ref="C29" ca="1">IF(Planung!$V$15,"",$C$12+QUOTIENT(($B29-$B$12),Planung!$V$11)*(Planung!$S$7+Planung!$S$9)/1440+SUM($X$12:$X28)/1440)</f>
        <v>0.69097222222222221</v>
      </c>
      <c r="D29" s="173">
        <f ca="1">IF(Planung!$V$15,"",MOD($B29-$B$12,Planung!$V$11)+1)</f>
        <v>3</v>
      </c>
      <c r="E29" s="403" t="s">
        <v>264</v>
      </c>
      <c r="F29" s="404" t="s">
        <v>4</v>
      </c>
      <c r="G29" s="405" t="s">
        <v>266</v>
      </c>
      <c r="H29" s="493" t="str">
        <f t="shared" ca="1" si="0"/>
        <v>Eintracht Frankfurt</v>
      </c>
      <c r="I29" s="494"/>
      <c r="J29" s="495" t="str">
        <f t="shared" ca="1" si="1"/>
        <v>Real Madrid</v>
      </c>
      <c r="K29" s="410">
        <v>25</v>
      </c>
      <c r="L29" s="411" t="str">
        <f>Sprache!$E$109</f>
        <v xml:space="preserve"> : </v>
      </c>
      <c r="M29" s="654">
        <v>12</v>
      </c>
      <c r="N29" s="815">
        <v>25</v>
      </c>
      <c r="O29" s="669" t="str">
        <f>Sprache!$E$109</f>
        <v xml:space="preserve"> : </v>
      </c>
      <c r="P29" s="654">
        <v>17</v>
      </c>
      <c r="Q29" s="410"/>
      <c r="R29" s="643" t="str">
        <f>Sprache!$E$109</f>
        <v xml:space="preserve"> : </v>
      </c>
      <c r="S29" s="490"/>
      <c r="T29" s="1053">
        <f t="shared" ca="1" si="6"/>
        <v>2</v>
      </c>
      <c r="U29" s="818" t="str">
        <f>Sprache!$E$109</f>
        <v xml:space="preserve"> : </v>
      </c>
      <c r="V29" s="1056">
        <f t="shared" ca="1" si="7"/>
        <v>0</v>
      </c>
      <c r="W29" s="328"/>
      <c r="X29" s="708"/>
      <c r="Y29" s="47"/>
      <c r="Z29" s="575">
        <f ca="1">IF(CalcE4!$K$13=0,"",IF(VLOOKUP(CalcE4!$B$7,CalcE4!$C$4:$E$12,3,0)=MAX($Z26:$Z28),VLOOKUP(CalcE4!$B$7,CalcE4!$C$4:$E$12,3,0),CalcE4!$B$7))</f>
        <v>4</v>
      </c>
      <c r="AA29" s="367" t="str">
        <f ca="1">IF(OR(Calc1!$F$14&lt;3,AQ32=1),"",IF(CalcE4!$K$13=0,CalcE4!$C65,VLOOKUP(CalcE4!$B7,CalcE4!$C$4:$N$12,4,0)))</f>
        <v>SSV Wildbach</v>
      </c>
      <c r="AB29" s="224">
        <f ca="1">IF(CalcE4!$K$13=0,"",VLOOKUP(CalcE4!$B$7,CalcE4!$C$4:$N$12,9,0))</f>
        <v>3</v>
      </c>
      <c r="AC29" s="218">
        <f ca="1">IF(CalcE4!$K$13=0,"",VLOOKUP(CalcE4!$B$7,CalcE4!$C$4:$N$12,10,0))</f>
        <v>0</v>
      </c>
      <c r="AD29" s="218">
        <f ca="1">IF(CalcE4!$K$13=0,"",VLOOKUP(CalcE4!$B$7,CalcE4!$C$4:$N$12,11,0))</f>
        <v>2</v>
      </c>
      <c r="AE29" s="218">
        <f ca="1">IF(CalcE4!$K$13=0,"",VLOOKUP(CalcE4!$B$7,CalcE4!$C$4:$N$12,12,0))</f>
        <v>1</v>
      </c>
      <c r="AF29" s="219">
        <f ca="1">IF(CalcE4!$K$13=0,"",VLOOKUP(CalcE4!$B$7,CalcE4!$C$4:$S$12,15,0))</f>
        <v>2</v>
      </c>
      <c r="AG29" s="221" t="str">
        <f>Sprache!$E$109</f>
        <v xml:space="preserve"> : </v>
      </c>
      <c r="AH29" s="217">
        <f ca="1">IF(CalcE4!$K$13=0,"",VLOOKUP(CalcE4!$B$7,CalcE4!$C$4:$S$12,14,0))</f>
        <v>4</v>
      </c>
      <c r="AI29" s="218">
        <f ca="1">IF(CalcE4!$K$13=0,"",VLOOKUP(CalcE4!$B$7,CalcE4!$C$4:$S$12,16,0))</f>
        <v>-2</v>
      </c>
      <c r="AJ29" s="220">
        <f ca="1">IF(CalcE4!$K$13=0,"",VLOOKUP(CalcE4!$B$7,CalcE4!$C$4:$N$12,5,0))</f>
        <v>131</v>
      </c>
      <c r="AK29" s="807" t="str">
        <f>Sprache!$E$109</f>
        <v xml:space="preserve"> : </v>
      </c>
      <c r="AL29" s="222">
        <f ca="1">IF(CalcE4!$K$13=0,"",VLOOKUP(CalcE4!$B$7,CalcE4!$C$4:$N$12,6,0))</f>
        <v>131</v>
      </c>
      <c r="AM29" s="218">
        <f ca="1">IF(CalcE4!$K$13=0,"",IF(VLOOKUP(CalcE4!$B$7,CalcE4!$C$4:$S$12,17,0)=Einstellungen!$F$24,"max",VLOOKUP(CalcE4!$B$7,CalcE4!$C$4:$S$12,17,0)))</f>
        <v>0</v>
      </c>
      <c r="AN29" s="223">
        <f ca="1">IF(CalcE4!$K$13=0,"",VLOOKUP(CalcE4!$B$7,CalcE4!$C$4:$S$12,Einstellungen!$I$9,0))</f>
        <v>2</v>
      </c>
      <c r="AO29" s="47"/>
      <c r="AP29" s="393" t="s">
        <v>323</v>
      </c>
      <c r="AQ29" s="452" t="str">
        <f ca="1">IF(Vorrunde!$X$45="","",Vorrunde!$X$45)</f>
        <v>HSV</v>
      </c>
      <c r="AR29" s="661"/>
      <c r="AS29" s="826"/>
      <c r="AT29" s="483"/>
      <c r="AU29" s="483"/>
      <c r="AV29" s="738" t="b">
        <f t="shared" ca="1" si="2"/>
        <v>0</v>
      </c>
      <c r="AW29" s="738" t="b">
        <f t="shared" si="8"/>
        <v>0</v>
      </c>
      <c r="AX29" s="738" t="b">
        <f t="shared" si="9"/>
        <v>0</v>
      </c>
      <c r="AY29" s="738" t="b">
        <f t="shared" si="10"/>
        <v>1</v>
      </c>
      <c r="AZ29" s="738" t="b">
        <f t="shared" si="3"/>
        <v>0</v>
      </c>
      <c r="BA29" s="738" t="b">
        <f t="shared" si="4"/>
        <v>0</v>
      </c>
      <c r="BB29" s="738" t="b">
        <f t="shared" si="5"/>
        <v>0</v>
      </c>
    </row>
    <row r="30" spans="1:54" ht="24" customHeight="1" thickTop="1" x14ac:dyDescent="0.2">
      <c r="A30" s="47"/>
      <c r="B30" s="505">
        <f t="array" aca="1" ref="B30" ca="1">ROW(79:79)-SUM(((Planung!$L$6:$L$65="")+(Planung!$N$6:$N$65="")&gt;0)*1)-SUM((($H$12:$H29="")+($J$12:$J29="")&gt;0)*1)</f>
        <v>56</v>
      </c>
      <c r="C30" s="171">
        <f t="array" aca="1" ref="C30" ca="1">IF(Planung!$V$15,"",$C$12+QUOTIENT(($B30-$B$12),Planung!$V$11)*(Planung!$S$7+Planung!$S$9)/1440+SUM($X$12:$X29)/1440)</f>
        <v>0.69097222222222221</v>
      </c>
      <c r="D30" s="173">
        <f ca="1">IF(Planung!$V$15,"",MOD($B30-$B$12,Planung!$V$11)+1)</f>
        <v>4</v>
      </c>
      <c r="E30" s="403" t="s">
        <v>325</v>
      </c>
      <c r="F30" s="404" t="s">
        <v>4</v>
      </c>
      <c r="G30" s="405" t="s">
        <v>280</v>
      </c>
      <c r="H30" s="493" t="str">
        <f t="shared" ca="1" si="0"/>
        <v/>
      </c>
      <c r="I30" s="494"/>
      <c r="J30" s="495" t="str">
        <f t="shared" ca="1" si="1"/>
        <v/>
      </c>
      <c r="K30" s="410"/>
      <c r="L30" s="411" t="str">
        <f>Sprache!$E$109</f>
        <v xml:space="preserve"> : </v>
      </c>
      <c r="M30" s="654"/>
      <c r="N30" s="815"/>
      <c r="O30" s="669" t="str">
        <f>Sprache!$E$109</f>
        <v xml:space="preserve"> : </v>
      </c>
      <c r="P30" s="654"/>
      <c r="Q30" s="410"/>
      <c r="R30" s="643" t="str">
        <f>Sprache!$E$109</f>
        <v xml:space="preserve"> : </v>
      </c>
      <c r="S30" s="490"/>
      <c r="T30" s="1053" t="str">
        <f t="shared" ca="1" si="6"/>
        <v/>
      </c>
      <c r="U30" s="818" t="str">
        <f>Sprache!$E$109</f>
        <v xml:space="preserve"> : </v>
      </c>
      <c r="V30" s="1056" t="str">
        <f t="shared" ca="1" si="7"/>
        <v/>
      </c>
      <c r="W30" s="328"/>
      <c r="X30" s="708"/>
      <c r="Y30" s="47"/>
      <c r="Z30" s="47"/>
      <c r="AA30" s="47"/>
      <c r="AB30" s="47"/>
      <c r="AC30" s="47"/>
      <c r="AD30" s="47"/>
      <c r="AE30" s="47"/>
      <c r="AF30" s="47"/>
      <c r="AG30" s="47"/>
      <c r="AH30" s="47"/>
      <c r="AI30" s="47"/>
      <c r="AJ30" s="47"/>
      <c r="AK30" s="47"/>
      <c r="AL30" s="47"/>
      <c r="AM30" s="47"/>
      <c r="AN30" s="47"/>
      <c r="AO30" s="47"/>
      <c r="AP30" s="47"/>
      <c r="AQ30" s="584">
        <f t="array" aca="1" ref="AQ30" ca="1">SUM((AQ26:AQ29&lt;&gt;"")*1)</f>
        <v>4</v>
      </c>
      <c r="AR30" s="584"/>
      <c r="AS30" s="446"/>
      <c r="AT30" s="483"/>
      <c r="AU30" s="483"/>
      <c r="AV30" s="738" t="b">
        <f t="shared" ca="1" si="2"/>
        <v>1</v>
      </c>
      <c r="AW30" s="738" t="b">
        <f t="shared" si="8"/>
        <v>1</v>
      </c>
      <c r="AX30" s="738" t="b">
        <f t="shared" si="9"/>
        <v>1</v>
      </c>
      <c r="AY30" s="738" t="b">
        <f t="shared" si="10"/>
        <v>1</v>
      </c>
      <c r="AZ30" s="738" t="b">
        <f t="shared" si="3"/>
        <v>0</v>
      </c>
      <c r="BA30" s="738" t="b">
        <f t="shared" si="4"/>
        <v>0</v>
      </c>
      <c r="BB30" s="738" t="b">
        <f t="shared" si="5"/>
        <v>0</v>
      </c>
    </row>
    <row r="31" spans="1:54" ht="24" customHeight="1" thickBot="1" x14ac:dyDescent="0.45">
      <c r="A31" s="47"/>
      <c r="B31" s="505">
        <f t="array" aca="1" ref="B31" ca="1">ROW(80:80)-SUM(((Planung!$L$6:$L$65="")+(Planung!$N$6:$N$65="")&gt;0)*1)-SUM((($H$12:$H30="")+($J$12:$J30="")&gt;0)*1)</f>
        <v>56</v>
      </c>
      <c r="C31" s="171">
        <f t="array" aca="1" ref="C31" ca="1">IF(Planung!$V$15,"",$C$12+QUOTIENT(($B31-$B$12),Planung!$V$11)*(Planung!$S$7+Planung!$S$9)/1440+SUM($X$12:$X30)/1440)</f>
        <v>0.69097222222222221</v>
      </c>
      <c r="D31" s="173">
        <f ca="1">IF(Planung!$V$15,"",MOD($B31-$B$12,Planung!$V$11)+1)</f>
        <v>4</v>
      </c>
      <c r="E31" s="403" t="s">
        <v>324</v>
      </c>
      <c r="F31" s="404" t="s">
        <v>4</v>
      </c>
      <c r="G31" s="402" t="s">
        <v>277</v>
      </c>
      <c r="H31" s="493" t="str">
        <f t="shared" ca="1" si="0"/>
        <v>SV Oberredenburg</v>
      </c>
      <c r="I31" s="494"/>
      <c r="J31" s="495" t="str">
        <f t="shared" ca="1" si="1"/>
        <v>FC Grönlingen</v>
      </c>
      <c r="K31" s="410">
        <v>25</v>
      </c>
      <c r="L31" s="411" t="str">
        <f>Sprache!$E$109</f>
        <v xml:space="preserve"> : </v>
      </c>
      <c r="M31" s="654">
        <v>23</v>
      </c>
      <c r="N31" s="815">
        <v>25</v>
      </c>
      <c r="O31" s="669" t="str">
        <f>Sprache!$E$109</f>
        <v xml:space="preserve"> : </v>
      </c>
      <c r="P31" s="654">
        <v>19</v>
      </c>
      <c r="Q31" s="410"/>
      <c r="R31" s="643" t="str">
        <f>Sprache!$E$109</f>
        <v xml:space="preserve"> : </v>
      </c>
      <c r="S31" s="490"/>
      <c r="T31" s="1053">
        <f t="shared" ca="1" si="6"/>
        <v>2</v>
      </c>
      <c r="U31" s="818" t="str">
        <f>Sprache!$E$109</f>
        <v xml:space="preserve"> : </v>
      </c>
      <c r="V31" s="1056">
        <f t="shared" ca="1" si="7"/>
        <v>0</v>
      </c>
      <c r="W31" s="328"/>
      <c r="X31" s="708"/>
      <c r="Y31" s="47"/>
      <c r="Z31" s="996" t="str">
        <f>Sprache!$E$61</f>
        <v>Gruppendritte</v>
      </c>
      <c r="AA31" s="996"/>
      <c r="AB31" s="996"/>
      <c r="AC31" s="996"/>
      <c r="AD31" s="996"/>
      <c r="AE31" s="996"/>
      <c r="AF31" s="804"/>
      <c r="AG31" s="804"/>
      <c r="AH31" s="804"/>
      <c r="AI31" s="804"/>
      <c r="AJ31" s="189"/>
      <c r="AK31" s="189"/>
      <c r="AL31" s="189"/>
      <c r="AM31" s="189"/>
      <c r="AN31" s="189"/>
      <c r="AO31" s="47"/>
      <c r="AP31" s="878" t="str">
        <f>Sprache!$E$61</f>
        <v>Gruppendritte</v>
      </c>
      <c r="AQ31" s="878"/>
      <c r="AR31" s="640"/>
      <c r="AS31" s="446"/>
      <c r="AT31" s="483"/>
      <c r="AU31" s="483"/>
      <c r="AV31" s="738" t="b">
        <f t="shared" ca="1" si="2"/>
        <v>0</v>
      </c>
      <c r="AW31" s="738" t="b">
        <f t="shared" si="8"/>
        <v>0</v>
      </c>
      <c r="AX31" s="738" t="b">
        <f t="shared" si="9"/>
        <v>0</v>
      </c>
      <c r="AY31" s="738" t="b">
        <f t="shared" si="10"/>
        <v>1</v>
      </c>
      <c r="AZ31" s="738" t="b">
        <f t="shared" si="3"/>
        <v>0</v>
      </c>
      <c r="BA31" s="738" t="b">
        <f t="shared" si="4"/>
        <v>0</v>
      </c>
      <c r="BB31" s="738" t="b">
        <f t="shared" si="5"/>
        <v>0</v>
      </c>
    </row>
    <row r="32" spans="1:54" ht="24" customHeight="1" thickTop="1" thickBot="1" x14ac:dyDescent="0.25">
      <c r="A32" s="47"/>
      <c r="B32" s="505">
        <f t="array" aca="1" ref="B32" ca="1">ROW(81:81)-SUM(((Planung!$L$6:$L$65="")+(Planung!$N$6:$N$65="")&gt;0)*1)-SUM((($H$12:$H31="")+($J$12:$J31="")&gt;0)*1)</f>
        <v>57</v>
      </c>
      <c r="C32" s="171">
        <f t="array" aca="1" ref="C32" ca="1">IF(Planung!$V$15,"",$C$12+QUOTIENT(($B32-$B$12),Planung!$V$11)*(Planung!$S$7+Planung!$S$9)/1440+SUM($X$12:$X31)/1440)</f>
        <v>0.71527777777777779</v>
      </c>
      <c r="D32" s="173">
        <f ca="1">IF(Planung!$V$15,"",MOD($B32-$B$12,Planung!$V$11)+1)</f>
        <v>1</v>
      </c>
      <c r="E32" s="403" t="s">
        <v>323</v>
      </c>
      <c r="F32" s="404" t="s">
        <v>4</v>
      </c>
      <c r="G32" s="402" t="s">
        <v>274</v>
      </c>
      <c r="H32" s="493" t="str">
        <f t="shared" ca="1" si="0"/>
        <v>HSV</v>
      </c>
      <c r="I32" s="494"/>
      <c r="J32" s="495" t="str">
        <f t="shared" ca="1" si="1"/>
        <v>SSV Wildbach</v>
      </c>
      <c r="K32" s="410">
        <v>13</v>
      </c>
      <c r="L32" s="411" t="str">
        <f>Sprache!$E$109</f>
        <v xml:space="preserve"> : </v>
      </c>
      <c r="M32" s="654">
        <v>25</v>
      </c>
      <c r="N32" s="815">
        <v>25</v>
      </c>
      <c r="O32" s="669" t="str">
        <f>Sprache!$E$109</f>
        <v xml:space="preserve"> : </v>
      </c>
      <c r="P32" s="654">
        <v>20</v>
      </c>
      <c r="Q32" s="410"/>
      <c r="R32" s="643" t="str">
        <f>Sprache!$E$109</f>
        <v xml:space="preserve"> : </v>
      </c>
      <c r="S32" s="490"/>
      <c r="T32" s="1053">
        <f t="shared" ca="1" si="6"/>
        <v>1</v>
      </c>
      <c r="U32" s="818" t="str">
        <f>Sprache!$E$109</f>
        <v xml:space="preserve"> : </v>
      </c>
      <c r="V32" s="1056">
        <f t="shared" ca="1" si="7"/>
        <v>1</v>
      </c>
      <c r="W32" s="328"/>
      <c r="X32" s="708"/>
      <c r="Y32" s="47"/>
      <c r="Z32" s="992"/>
      <c r="AA32" s="993"/>
      <c r="AB32" s="794" t="str">
        <f>Sprache!$E$21</f>
        <v>SP</v>
      </c>
      <c r="AC32" s="192" t="str">
        <f>Sprache!$E$22</f>
        <v>G</v>
      </c>
      <c r="AD32" s="192" t="str">
        <f>Sprache!$E$23</f>
        <v>U</v>
      </c>
      <c r="AE32" s="792" t="str">
        <f>Sprache!$E$24</f>
        <v>V</v>
      </c>
      <c r="AF32" s="884" t="str">
        <f>Sprache!$E$25</f>
        <v>Sätze</v>
      </c>
      <c r="AG32" s="885"/>
      <c r="AH32" s="886"/>
      <c r="AI32" s="793" t="str">
        <f>Sprache!$E$26</f>
        <v>Diff.</v>
      </c>
      <c r="AJ32" s="884" t="str">
        <f>Sprache!$E$74</f>
        <v>Bälle</v>
      </c>
      <c r="AK32" s="885"/>
      <c r="AL32" s="886"/>
      <c r="AM32" s="192" t="str">
        <f>IF(Einstellungen!$G$24,Sprache!$E$26,Sprache!$E$80)</f>
        <v>Diff.</v>
      </c>
      <c r="AN32" s="194" t="str">
        <f>Sprache!$E$27</f>
        <v>Pkt</v>
      </c>
      <c r="AO32" s="47"/>
      <c r="AP32" s="420"/>
      <c r="AQ32" s="449" t="str">
        <f>Sprache!$E$10</f>
        <v>Teilnehmer bzw. Mannschaft</v>
      </c>
      <c r="AR32" s="659"/>
      <c r="AS32" s="660"/>
      <c r="AT32" s="483"/>
      <c r="AU32" s="483"/>
      <c r="AV32" s="738" t="b">
        <f t="shared" ca="1" si="2"/>
        <v>0</v>
      </c>
      <c r="AW32" s="738" t="b">
        <f t="shared" si="8"/>
        <v>0</v>
      </c>
      <c r="AX32" s="738" t="b">
        <f t="shared" si="9"/>
        <v>0</v>
      </c>
      <c r="AY32" s="738" t="b">
        <f t="shared" si="10"/>
        <v>1</v>
      </c>
      <c r="AZ32" s="738" t="b">
        <f t="shared" si="3"/>
        <v>0</v>
      </c>
      <c r="BA32" s="738" t="b">
        <f t="shared" si="4"/>
        <v>0</v>
      </c>
      <c r="BB32" s="738" t="b">
        <f t="shared" si="5"/>
        <v>0</v>
      </c>
    </row>
    <row r="33" spans="1:54" ht="24" customHeight="1" x14ac:dyDescent="0.2">
      <c r="A33" s="47"/>
      <c r="B33" s="505">
        <f t="array" aca="1" ref="B33" ca="1">ROW(82:82)-SUM(((Planung!$L$6:$L$65="")+(Planung!$N$6:$N$65="")&gt;0)*1)-SUM((($H$12:$H32="")+($J$12:$J32="")&gt;0)*1)</f>
        <v>58</v>
      </c>
      <c r="C33" s="171">
        <f t="array" aca="1" ref="C33" ca="1">IF(Planung!$V$15,"",$C$12+QUOTIENT(($B33-$B$12),Planung!$V$11)*(Planung!$S$7+Planung!$S$9)/1440+SUM($X$12:$X32)/1440)</f>
        <v>0.71527777777777779</v>
      </c>
      <c r="D33" s="173">
        <f ca="1">IF(Planung!$V$15,"",MOD($B33-$B$12,Planung!$V$11)+1)</f>
        <v>2</v>
      </c>
      <c r="E33" s="403" t="s">
        <v>322</v>
      </c>
      <c r="F33" s="404" t="s">
        <v>4</v>
      </c>
      <c r="G33" s="402" t="s">
        <v>271</v>
      </c>
      <c r="H33" s="493" t="str">
        <f t="shared" ca="1" si="0"/>
        <v>RB Leipzig</v>
      </c>
      <c r="I33" s="494"/>
      <c r="J33" s="495" t="str">
        <f t="shared" ca="1" si="1"/>
        <v>Mainz 05</v>
      </c>
      <c r="K33" s="410">
        <v>19</v>
      </c>
      <c r="L33" s="411" t="str">
        <f>Sprache!$E$109</f>
        <v xml:space="preserve"> : </v>
      </c>
      <c r="M33" s="654">
        <v>25</v>
      </c>
      <c r="N33" s="815">
        <v>25</v>
      </c>
      <c r="O33" s="669" t="str">
        <f>Sprache!$E$109</f>
        <v xml:space="preserve"> : </v>
      </c>
      <c r="P33" s="654">
        <v>21</v>
      </c>
      <c r="Q33" s="410"/>
      <c r="R33" s="643" t="str">
        <f>Sprache!$E$109</f>
        <v xml:space="preserve"> : </v>
      </c>
      <c r="S33" s="490"/>
      <c r="T33" s="1053">
        <f t="shared" ca="1" si="6"/>
        <v>1</v>
      </c>
      <c r="U33" s="818" t="str">
        <f>Sprache!$E$109</f>
        <v xml:space="preserve"> : </v>
      </c>
      <c r="V33" s="1056">
        <f t="shared" ca="1" si="7"/>
        <v>1</v>
      </c>
      <c r="W33" s="328"/>
      <c r="X33" s="708"/>
      <c r="Y33" s="47"/>
      <c r="Z33" s="573">
        <f ca="1">IF(CalcE3!$K$13=0,"",1)</f>
        <v>1</v>
      </c>
      <c r="AA33" s="363" t="str">
        <f ca="1">IF(Calc1!$F$14&lt;3,"",IF(AND(CalcE3!$K$13=0,AQ37&lt;&gt;1),CalcE3!$C$62,VLOOKUP(CalcE3!$B$4,CalcE3!$C$4:$N$12,4,0)))</f>
        <v>1. FC Riedwald</v>
      </c>
      <c r="AB33" s="571">
        <f ca="1">IF(CalcE3!$K$13=0,"",VLOOKUP(CalcE3!$B$4,CalcE3!$C$4:$N$12,9,0))</f>
        <v>3</v>
      </c>
      <c r="AC33" s="198">
        <f ca="1">IF(CalcE3!$K$13=0,"",VLOOKUP(CalcE3!$B$4,CalcE3!$C$4:$N$12,10,0))</f>
        <v>2</v>
      </c>
      <c r="AD33" s="198">
        <f ca="1">IF(CalcE3!$K$13=0,"",VLOOKUP(CalcE3!$B$4,CalcE3!$C$4:$N$12,11,0))</f>
        <v>1</v>
      </c>
      <c r="AE33" s="198">
        <f ca="1">IF(CalcE3!$K$13=0,"",VLOOKUP(CalcE3!$B$4,CalcE3!$C$4:$N$12,12,0))</f>
        <v>0</v>
      </c>
      <c r="AF33" s="200">
        <f ca="1">IF(CalcE3!$K$13=0,"",VLOOKUP(CalcE3!$B$4,CalcE3!$C$4:$S$12,15,0))</f>
        <v>5</v>
      </c>
      <c r="AG33" s="805" t="str">
        <f>Sprache!$E$109</f>
        <v xml:space="preserve"> : </v>
      </c>
      <c r="AH33" s="202">
        <f ca="1">IF(CalcE3!$K$13=0,"",VLOOKUP(CalcE3!$B$4,CalcE3!$C$4:$S$12,14,0))</f>
        <v>1</v>
      </c>
      <c r="AI33" s="198">
        <f ca="1">IF(CalcE3!$K$13=0,"",VLOOKUP(CalcE3!$B$4,CalcE3!$C$4:$S$12,16,0))</f>
        <v>4</v>
      </c>
      <c r="AJ33" s="200">
        <f ca="1">IF(CalcE3!$K$13=0,"",VLOOKUP(CalcE3!$B$4,CalcE3!$C$4:$N$12,5,0))</f>
        <v>145</v>
      </c>
      <c r="AK33" s="805" t="str">
        <f>Sprache!$E$109</f>
        <v xml:space="preserve"> : </v>
      </c>
      <c r="AL33" s="202">
        <f ca="1">IF(CalcE3!$K$13=0,"",VLOOKUP(CalcE3!$B$4,CalcE3!$C$4:$N$12,6,0))</f>
        <v>128</v>
      </c>
      <c r="AM33" s="198">
        <f ca="1">IF(CalcE3!$K$13=0,"",IF(VLOOKUP(CalcE3!$B$4,CalcE3!$C$4:$S$12,17,0)=Einstellungen!$F$24,"max",VLOOKUP(CalcE3!$B$4,CalcE3!$C$4:$S$12,17,0)))</f>
        <v>17</v>
      </c>
      <c r="AN33" s="203">
        <f ca="1">IF(CalcE3!$K$13=0,"",VLOOKUP(CalcE3!$B$4,CalcE3!$C$4:$S$12,Einstellungen!$I$9,0))</f>
        <v>5</v>
      </c>
      <c r="AO33" s="47"/>
      <c r="AP33" s="791" t="s">
        <v>270</v>
      </c>
      <c r="AQ33" s="450" t="str">
        <f ca="1">IF(Vorrunde!$X$14="","",Vorrunde!$X$14)</f>
        <v>1. FC Riedwald</v>
      </c>
      <c r="AR33" s="661"/>
      <c r="AS33" s="824"/>
      <c r="AT33" s="272"/>
      <c r="AU33" s="272"/>
      <c r="AV33" s="738" t="b">
        <f t="shared" ca="1" si="2"/>
        <v>0</v>
      </c>
      <c r="AW33" s="738" t="b">
        <f t="shared" si="8"/>
        <v>0</v>
      </c>
      <c r="AX33" s="738" t="b">
        <f t="shared" si="9"/>
        <v>0</v>
      </c>
      <c r="AY33" s="738" t="b">
        <f t="shared" si="10"/>
        <v>1</v>
      </c>
      <c r="AZ33" s="738" t="b">
        <f t="shared" si="3"/>
        <v>0</v>
      </c>
      <c r="BA33" s="738" t="b">
        <f t="shared" si="4"/>
        <v>0</v>
      </c>
      <c r="BB33" s="738" t="b">
        <f t="shared" si="5"/>
        <v>0</v>
      </c>
    </row>
    <row r="34" spans="1:54" ht="24" customHeight="1" x14ac:dyDescent="0.2">
      <c r="A34" s="47"/>
      <c r="B34" s="505">
        <f t="array" aca="1" ref="B34" ca="1">ROW(83:83)-SUM(((Planung!$L$6:$L$65="")+(Planung!$N$6:$N$65="")&gt;0)*1)-SUM((($H$12:$H33="")+($J$12:$J33="")&gt;0)*1)</f>
        <v>59</v>
      </c>
      <c r="C34" s="171">
        <f t="array" aca="1" ref="C34" ca="1">IF(Planung!$V$15,"",$C$12+QUOTIENT(($B34-$B$12),Planung!$V$11)*(Planung!$S$7+Planung!$S$9)/1440+SUM($X$12:$X33)/1440)</f>
        <v>0.71527777777777779</v>
      </c>
      <c r="D34" s="173">
        <f ca="1">IF(Planung!$V$15,"",MOD($B34-$B$12,Planung!$V$11)+1)</f>
        <v>3</v>
      </c>
      <c r="E34" s="403" t="s">
        <v>321</v>
      </c>
      <c r="F34" s="404" t="s">
        <v>4</v>
      </c>
      <c r="G34" s="405" t="s">
        <v>268</v>
      </c>
      <c r="H34" s="493" t="str">
        <f t="shared" ca="1" si="0"/>
        <v>Paris St. Germain</v>
      </c>
      <c r="I34" s="494"/>
      <c r="J34" s="495" t="str">
        <f t="shared" ca="1" si="1"/>
        <v>Manchester City</v>
      </c>
      <c r="K34" s="410">
        <v>17</v>
      </c>
      <c r="L34" s="411" t="str">
        <f>Sprache!$E$109</f>
        <v xml:space="preserve"> : </v>
      </c>
      <c r="M34" s="654">
        <v>25</v>
      </c>
      <c r="N34" s="815">
        <v>25</v>
      </c>
      <c r="O34" s="669" t="str">
        <f>Sprache!$E$109</f>
        <v xml:space="preserve"> : </v>
      </c>
      <c r="P34" s="654">
        <v>22</v>
      </c>
      <c r="Q34" s="410"/>
      <c r="R34" s="643" t="str">
        <f>Sprache!$E$109</f>
        <v xml:space="preserve"> : </v>
      </c>
      <c r="S34" s="490"/>
      <c r="T34" s="1053">
        <f t="shared" ca="1" si="6"/>
        <v>1</v>
      </c>
      <c r="U34" s="818" t="str">
        <f>Sprache!$E$109</f>
        <v xml:space="preserve"> : </v>
      </c>
      <c r="V34" s="1056">
        <f t="shared" ca="1" si="7"/>
        <v>1</v>
      </c>
      <c r="W34" s="328"/>
      <c r="X34" s="708"/>
      <c r="Y34" s="47"/>
      <c r="Z34" s="574">
        <f ca="1">IF(CalcE3!$K$13=0,"",IF(VLOOKUP(CalcE3!$B$5,CalcE3!$C$4:$E$12,3,0)=MAX($Z33:$Z33),VLOOKUP(CalcE3!$B$5,CalcE3!$C$4:$E$12,3,0),CalcE3!$B$5))</f>
        <v>2</v>
      </c>
      <c r="AA34" s="365" t="str">
        <f ca="1">IF(OR(Calc1!$F$14&lt;3,AQ37=1),"",IF(CalcE3!$K$13=0,CalcE3!$C63,VLOOKUP(CalcE3!$B5,CalcE3!$C$4:$N$12,4,0)))</f>
        <v>RB Leipzig</v>
      </c>
      <c r="AB34" s="213">
        <f ca="1">IF(CalcE3!$K$13=0,"",VLOOKUP(CalcE3!$B$5,CalcE3!$C$4:$N$12,9,0))</f>
        <v>3</v>
      </c>
      <c r="AC34" s="188">
        <f ca="1">IF(CalcE3!$K$13=0,"",VLOOKUP(CalcE3!$B$5,CalcE3!$C$4:$N$12,10,0))</f>
        <v>0</v>
      </c>
      <c r="AD34" s="188">
        <f ca="1">IF(CalcE3!$K$13=0,"",VLOOKUP(CalcE3!$B$5,CalcE3!$C$4:$N$12,11,0))</f>
        <v>3</v>
      </c>
      <c r="AE34" s="188">
        <f ca="1">IF(CalcE3!$K$13=0,"",VLOOKUP(CalcE3!$B$5,CalcE3!$C$4:$N$12,12,0))</f>
        <v>0</v>
      </c>
      <c r="AF34" s="209">
        <f ca="1">IF(CalcE3!$K$13=0,"",VLOOKUP(CalcE3!$B$5,CalcE3!$C$4:$S$12,15,0))</f>
        <v>3</v>
      </c>
      <c r="AG34" s="806" t="str">
        <f>Sprache!$E$109</f>
        <v xml:space="preserve"> : </v>
      </c>
      <c r="AH34" s="211">
        <f ca="1">IF(CalcE3!$K$13=0,"",VLOOKUP(CalcE3!$B$5,CalcE3!$C$4:$S$12,14,0))</f>
        <v>3</v>
      </c>
      <c r="AI34" s="188">
        <f ca="1">IF(CalcE3!$K$13=0,"",VLOOKUP(CalcE3!$B$5,CalcE3!$C$4:$S$12,16,0))</f>
        <v>0</v>
      </c>
      <c r="AJ34" s="209">
        <f ca="1">IF(CalcE3!$K$13=0,"",VLOOKUP(CalcE3!$B$5,CalcE3!$C$4:$N$12,5,0))</f>
        <v>136</v>
      </c>
      <c r="AK34" s="806" t="str">
        <f>Sprache!$E$109</f>
        <v xml:space="preserve"> : </v>
      </c>
      <c r="AL34" s="211">
        <f ca="1">IF(CalcE3!$K$13=0,"",VLOOKUP(CalcE3!$B$5,CalcE3!$C$4:$N$12,6,0))</f>
        <v>130</v>
      </c>
      <c r="AM34" s="188">
        <f ca="1">IF(CalcE3!$K$13=0,"",IF(VLOOKUP(CalcE3!$B$5,CalcE3!$C$4:$S$12,17,0)=Einstellungen!$F$24,"max",VLOOKUP(CalcE3!$B$5,CalcE3!$C$4:$S$12,17,0)))</f>
        <v>6</v>
      </c>
      <c r="AN34" s="212">
        <f ca="1">IF(CalcE3!$K$13=0,"",VLOOKUP(CalcE3!$B$5,CalcE3!$C$4:$S$12,Einstellungen!$I$9,0))</f>
        <v>3</v>
      </c>
      <c r="AO34" s="47"/>
      <c r="AP34" s="419" t="s">
        <v>271</v>
      </c>
      <c r="AQ34" s="451" t="str">
        <f ca="1">IF(Vorrunde!$X$24="","",Vorrunde!$X$24)</f>
        <v>Mainz 05</v>
      </c>
      <c r="AR34" s="661"/>
      <c r="AS34" s="825"/>
      <c r="AT34" s="272"/>
      <c r="AU34" s="272"/>
      <c r="AV34" s="738" t="b">
        <f t="shared" ca="1" si="2"/>
        <v>0</v>
      </c>
      <c r="AW34" s="738" t="b">
        <f t="shared" si="8"/>
        <v>0</v>
      </c>
      <c r="AX34" s="738" t="b">
        <f t="shared" si="9"/>
        <v>0</v>
      </c>
      <c r="AY34" s="738" t="b">
        <f t="shared" si="10"/>
        <v>1</v>
      </c>
      <c r="AZ34" s="738" t="b">
        <f t="shared" si="3"/>
        <v>0</v>
      </c>
      <c r="BA34" s="738" t="b">
        <f t="shared" si="4"/>
        <v>0</v>
      </c>
      <c r="BB34" s="738" t="b">
        <f t="shared" si="5"/>
        <v>0</v>
      </c>
    </row>
    <row r="35" spans="1:54" ht="24" customHeight="1" x14ac:dyDescent="0.2">
      <c r="A35" s="47"/>
      <c r="B35" s="505">
        <f t="array" aca="1" ref="B35" ca="1">ROW(84:84)-SUM(((Planung!$L$6:$L$65="")+(Planung!$N$6:$N$65="")&gt;0)*1)-SUM((($H$12:$H34="")+($J$12:$J34="")&gt;0)*1)</f>
        <v>60</v>
      </c>
      <c r="C35" s="171">
        <f t="array" aca="1" ref="C35" ca="1">IF(Planung!$V$15,"",$C$12+QUOTIENT(($B35-$B$12),Planung!$V$11)*(Planung!$S$7+Planung!$S$9)/1440+SUM($X$12:$X34)/1440)</f>
        <v>0.71527777777777779</v>
      </c>
      <c r="D35" s="173">
        <f ca="1">IF(Planung!$V$15,"",MOD($B35-$B$12,Planung!$V$11)+1)</f>
        <v>4</v>
      </c>
      <c r="E35" s="403" t="s">
        <v>320</v>
      </c>
      <c r="F35" s="404" t="s">
        <v>4</v>
      </c>
      <c r="G35" s="405" t="s">
        <v>265</v>
      </c>
      <c r="H35" s="493" t="str">
        <f t="shared" ca="1" si="0"/>
        <v>TSG Saalberg eV</v>
      </c>
      <c r="I35" s="494"/>
      <c r="J35" s="495" t="str">
        <f t="shared" ca="1" si="1"/>
        <v>Inter Mailand</v>
      </c>
      <c r="K35" s="410">
        <v>14</v>
      </c>
      <c r="L35" s="411" t="str">
        <f>Sprache!$E$109</f>
        <v xml:space="preserve"> : </v>
      </c>
      <c r="M35" s="654">
        <v>25</v>
      </c>
      <c r="N35" s="815">
        <v>25</v>
      </c>
      <c r="O35" s="669" t="str">
        <f>Sprache!$E$109</f>
        <v xml:space="preserve"> : </v>
      </c>
      <c r="P35" s="654">
        <v>23</v>
      </c>
      <c r="Q35" s="410"/>
      <c r="R35" s="643" t="str">
        <f>Sprache!$E$109</f>
        <v xml:space="preserve"> : </v>
      </c>
      <c r="S35" s="490"/>
      <c r="T35" s="1053">
        <f t="shared" ca="1" si="6"/>
        <v>1</v>
      </c>
      <c r="U35" s="818" t="str">
        <f>Sprache!$E$109</f>
        <v xml:space="preserve"> : </v>
      </c>
      <c r="V35" s="1056">
        <f t="shared" ca="1" si="7"/>
        <v>1</v>
      </c>
      <c r="W35" s="328"/>
      <c r="X35" s="708"/>
      <c r="Y35" s="47"/>
      <c r="Z35" s="574">
        <f ca="1">IF(CalcE3!$K$13=0,"",IF(VLOOKUP(CalcE3!$B$6,CalcE3!$C$4:$E$12,3,0)=MAX($Z33:$Z34),VLOOKUP(CalcE3!$B$6,CalcE3!$C$4:$E$12,3,0),CalcE3!$B$6))</f>
        <v>3</v>
      </c>
      <c r="AA35" s="365" t="str">
        <f ca="1">IF(OR(Calc1!$F$14&lt;3,AQ38=1),"",IF(CalcE3!$K$13=0,CalcE3!$C64,VLOOKUP(CalcE3!$B6,CalcE3!$C$4:$N$12,4,0)))</f>
        <v>Borussia Dortmund</v>
      </c>
      <c r="AB35" s="213">
        <f ca="1">IF(CalcE3!$K$13=0,"",VLOOKUP(CalcE3!$B$6,CalcE3!$C$4:$N$12,9,0))</f>
        <v>3</v>
      </c>
      <c r="AC35" s="188">
        <f ca="1">IF(CalcE3!$K$13=0,"",VLOOKUP(CalcE3!$B$6,CalcE3!$C$4:$N$12,10,0))</f>
        <v>0</v>
      </c>
      <c r="AD35" s="188">
        <f ca="1">IF(CalcE3!$K$13=0,"",VLOOKUP(CalcE3!$B$6,CalcE3!$C$4:$N$12,11,0))</f>
        <v>2</v>
      </c>
      <c r="AE35" s="188">
        <f ca="1">IF(CalcE3!$K$13=0,"",VLOOKUP(CalcE3!$B$6,CalcE3!$C$4:$N$12,12,0))</f>
        <v>1</v>
      </c>
      <c r="AF35" s="209">
        <f ca="1">IF(CalcE3!$K$13=0,"",VLOOKUP(CalcE3!$B$6,CalcE3!$C$4:$S$12,15,0))</f>
        <v>2</v>
      </c>
      <c r="AG35" s="806" t="str">
        <f>Sprache!$E$109</f>
        <v xml:space="preserve"> : </v>
      </c>
      <c r="AH35" s="211">
        <f ca="1">IF(CalcE3!$K$13=0,"",VLOOKUP(CalcE3!$B$6,CalcE3!$C$4:$S$12,14,0))</f>
        <v>4</v>
      </c>
      <c r="AI35" s="188">
        <f ca="1">IF(CalcE3!$K$13=0,"",VLOOKUP(CalcE3!$B$6,CalcE3!$C$4:$S$12,16,0))</f>
        <v>-2</v>
      </c>
      <c r="AJ35" s="209">
        <f ca="1">IF(CalcE3!$K$13=0,"",VLOOKUP(CalcE3!$B$6,CalcE3!$C$4:$N$12,5,0))</f>
        <v>128</v>
      </c>
      <c r="AK35" s="806" t="str">
        <f>Sprache!$E$109</f>
        <v xml:space="preserve"> : </v>
      </c>
      <c r="AL35" s="211">
        <f ca="1">IF(CalcE3!$K$13=0,"",VLOOKUP(CalcE3!$B$6,CalcE3!$C$4:$N$12,6,0))</f>
        <v>137</v>
      </c>
      <c r="AM35" s="188">
        <f ca="1">IF(CalcE3!$K$13=0,"",IF(VLOOKUP(CalcE3!$B$6,CalcE3!$C$4:$S$12,17,0)=Einstellungen!$F$24,"max",VLOOKUP(CalcE3!$B$6,CalcE3!$C$4:$S$12,17,0)))</f>
        <v>-9</v>
      </c>
      <c r="AN35" s="212">
        <f ca="1">IF(CalcE3!$K$13=0,"",VLOOKUP(CalcE3!$B$6,CalcE3!$C$4:$S$12,Einstellungen!$I$9,0))</f>
        <v>2</v>
      </c>
      <c r="AO35" s="47"/>
      <c r="AP35" s="790" t="s">
        <v>272</v>
      </c>
      <c r="AQ35" s="451" t="str">
        <f ca="1">IF(Vorrunde!$X$34="","",Vorrunde!$X$34)</f>
        <v>Borussia Dortmund</v>
      </c>
      <c r="AR35" s="661"/>
      <c r="AS35" s="825"/>
      <c r="AT35" s="272"/>
      <c r="AU35" s="272"/>
      <c r="AV35" s="738" t="b">
        <f t="shared" ca="1" si="2"/>
        <v>0</v>
      </c>
      <c r="AW35" s="738" t="b">
        <f t="shared" si="8"/>
        <v>0</v>
      </c>
      <c r="AX35" s="738" t="b">
        <f t="shared" si="9"/>
        <v>0</v>
      </c>
      <c r="AY35" s="738" t="b">
        <f t="shared" si="10"/>
        <v>1</v>
      </c>
      <c r="AZ35" s="738" t="b">
        <f t="shared" si="3"/>
        <v>0</v>
      </c>
      <c r="BA35" s="738" t="b">
        <f t="shared" si="4"/>
        <v>0</v>
      </c>
      <c r="BB35" s="738" t="b">
        <f t="shared" si="5"/>
        <v>0</v>
      </c>
    </row>
    <row r="36" spans="1:54" ht="24" customHeight="1" thickBot="1" x14ac:dyDescent="0.25">
      <c r="A36" s="47"/>
      <c r="B36" s="505">
        <f t="array" aca="1" ref="B36" ca="1">ROW(85:85)-SUM(((Planung!$L$6:$L$65="")+(Planung!$N$6:$N$65="")&gt;0)*1)-SUM((($H$12:$H35="")+($J$12:$J35="")&gt;0)*1)</f>
        <v>61</v>
      </c>
      <c r="C36" s="171">
        <f t="array" aca="1" ref="C36" ca="1">IF(Planung!$V$15,"",$C$12+QUOTIENT(($B36-$B$12),Planung!$V$11)*(Planung!$S$7+Planung!$S$9)/1440+SUM($X$12:$X35)/1440)</f>
        <v>0.73958333333333337</v>
      </c>
      <c r="D36" s="173">
        <f ca="1">IF(Planung!$V$15,"",MOD($B36-$B$12,Planung!$V$11)+1)</f>
        <v>1</v>
      </c>
      <c r="E36" s="403" t="s">
        <v>325</v>
      </c>
      <c r="F36" s="404" t="s">
        <v>4</v>
      </c>
      <c r="G36" s="405" t="s">
        <v>279</v>
      </c>
      <c r="H36" s="493" t="str">
        <f t="shared" ca="1" si="0"/>
        <v/>
      </c>
      <c r="I36" s="494"/>
      <c r="J36" s="495" t="str">
        <f t="shared" ca="1" si="1"/>
        <v/>
      </c>
      <c r="K36" s="410"/>
      <c r="L36" s="411" t="str">
        <f>Sprache!$E$109</f>
        <v xml:space="preserve"> : </v>
      </c>
      <c r="M36" s="654"/>
      <c r="N36" s="815"/>
      <c r="O36" s="669" t="str">
        <f>Sprache!$E$109</f>
        <v xml:space="preserve"> : </v>
      </c>
      <c r="P36" s="654"/>
      <c r="Q36" s="410"/>
      <c r="R36" s="643" t="str">
        <f>Sprache!$E$109</f>
        <v xml:space="preserve"> : </v>
      </c>
      <c r="S36" s="490"/>
      <c r="T36" s="1053" t="str">
        <f t="shared" ca="1" si="6"/>
        <v/>
      </c>
      <c r="U36" s="818" t="str">
        <f>Sprache!$E$109</f>
        <v xml:space="preserve"> : </v>
      </c>
      <c r="V36" s="1056" t="str">
        <f t="shared" ca="1" si="7"/>
        <v/>
      </c>
      <c r="W36" s="328"/>
      <c r="X36" s="708"/>
      <c r="Y36" s="47"/>
      <c r="Z36" s="575">
        <f ca="1">IF(CalcE3!$K$13=0,"",IF(VLOOKUP(CalcE3!$B$7,CalcE3!$C$4:$E$12,3,0)=MAX($Z33:$Z35),VLOOKUP(CalcE3!$B$7,CalcE3!$C$4:$E$12,3,0),CalcE3!$B$7))</f>
        <v>4</v>
      </c>
      <c r="AA36" s="367" t="str">
        <f ca="1">IF(OR(Calc1!$F$14&lt;3,AQ39=1),"",IF(CalcE3!$K$13=0,CalcE3!$C65,VLOOKUP(CalcE3!$B7,CalcE3!$C$4:$N$12,4,0)))</f>
        <v>Mainz 05</v>
      </c>
      <c r="AB36" s="224">
        <f ca="1">IF(CalcE3!$K$13=0,"",VLOOKUP(CalcE3!$B$7,CalcE3!$C$4:$N$12,9,0))</f>
        <v>3</v>
      </c>
      <c r="AC36" s="218">
        <f ca="1">IF(CalcE3!$K$13=0,"",VLOOKUP(CalcE3!$B$7,CalcE3!$C$4:$N$12,10,0))</f>
        <v>0</v>
      </c>
      <c r="AD36" s="218">
        <f ca="1">IF(CalcE3!$K$13=0,"",VLOOKUP(CalcE3!$B$7,CalcE3!$C$4:$N$12,11,0))</f>
        <v>2</v>
      </c>
      <c r="AE36" s="218">
        <f ca="1">IF(CalcE3!$K$13=0,"",VLOOKUP(CalcE3!$B$7,CalcE3!$C$4:$N$12,12,0))</f>
        <v>1</v>
      </c>
      <c r="AF36" s="220">
        <f ca="1">IF(CalcE3!$K$13=0,"",VLOOKUP(CalcE3!$B$7,CalcE3!$C$4:$S$12,15,0))</f>
        <v>2</v>
      </c>
      <c r="AG36" s="807" t="str">
        <f>Sprache!$E$109</f>
        <v xml:space="preserve"> : </v>
      </c>
      <c r="AH36" s="222">
        <f ca="1">IF(CalcE3!$K$13=0,"",VLOOKUP(CalcE3!$B$7,CalcE3!$C$4:$S$12,14,0))</f>
        <v>4</v>
      </c>
      <c r="AI36" s="218">
        <f ca="1">IF(CalcE3!$K$13=0,"",VLOOKUP(CalcE3!$B$7,CalcE3!$C$4:$S$12,16,0))</f>
        <v>-2</v>
      </c>
      <c r="AJ36" s="220">
        <f ca="1">IF(CalcE3!$K$13=0,"",VLOOKUP(CalcE3!$B$7,CalcE3!$C$4:$N$12,5,0))</f>
        <v>124</v>
      </c>
      <c r="AK36" s="807" t="str">
        <f>Sprache!$E$109</f>
        <v xml:space="preserve"> : </v>
      </c>
      <c r="AL36" s="222">
        <f ca="1">IF(CalcE3!$K$13=0,"",VLOOKUP(CalcE3!$B$7,CalcE3!$C$4:$N$12,6,0))</f>
        <v>138</v>
      </c>
      <c r="AM36" s="218">
        <f ca="1">IF(CalcE3!$K$13=0,"",IF(VLOOKUP(CalcE3!$B$7,CalcE3!$C$4:$S$12,17,0)=Einstellungen!$F$24,"max",VLOOKUP(CalcE3!$B$7,CalcE3!$C$4:$S$12,17,0)))</f>
        <v>-14</v>
      </c>
      <c r="AN36" s="223">
        <f ca="1">IF(CalcE3!$K$13=0,"",VLOOKUP(CalcE3!$B$7,CalcE3!$C$4:$S$12,Einstellungen!$I$9,0))</f>
        <v>2</v>
      </c>
      <c r="AO36" s="47"/>
      <c r="AP36" s="393" t="s">
        <v>322</v>
      </c>
      <c r="AQ36" s="452" t="str">
        <f ca="1">IF(Vorrunde!$X$44="","",Vorrunde!$X$44)</f>
        <v>RB Leipzig</v>
      </c>
      <c r="AR36" s="661"/>
      <c r="AS36" s="826"/>
      <c r="AT36" s="272"/>
      <c r="AU36" s="272"/>
      <c r="AV36" s="738" t="b">
        <f t="shared" ca="1" si="2"/>
        <v>1</v>
      </c>
      <c r="AW36" s="738" t="b">
        <f t="shared" si="8"/>
        <v>1</v>
      </c>
      <c r="AX36" s="738" t="b">
        <f t="shared" si="9"/>
        <v>1</v>
      </c>
      <c r="AY36" s="738" t="b">
        <f t="shared" si="10"/>
        <v>1</v>
      </c>
      <c r="AZ36" s="738" t="b">
        <f t="shared" si="3"/>
        <v>0</v>
      </c>
      <c r="BA36" s="738" t="b">
        <f t="shared" si="4"/>
        <v>0</v>
      </c>
      <c r="BB36" s="738" t="b">
        <f t="shared" si="5"/>
        <v>0</v>
      </c>
    </row>
    <row r="37" spans="1:54" ht="24" customHeight="1" thickTop="1" x14ac:dyDescent="0.2">
      <c r="A37" s="47"/>
      <c r="B37" s="505">
        <f t="array" aca="1" ref="B37" ca="1">ROW(86:86)-SUM(((Planung!$L$6:$L$65="")+(Planung!$N$6:$N$65="")&gt;0)*1)-SUM((($H$12:$H36="")+($J$12:$J36="")&gt;0)*1)</f>
        <v>61</v>
      </c>
      <c r="C37" s="171">
        <f t="array" aca="1" ref="C37" ca="1">IF(Planung!$V$15,"",$C$12+QUOTIENT(($B37-$B$12),Planung!$V$11)*(Planung!$S$7+Planung!$S$9)/1440+SUM($X$12:$X36)/1440)</f>
        <v>0.73958333333333337</v>
      </c>
      <c r="D37" s="173">
        <f ca="1">IF(Planung!$V$15,"",MOD($B37-$B$12,Planung!$V$11)+1)</f>
        <v>1</v>
      </c>
      <c r="E37" s="403" t="s">
        <v>324</v>
      </c>
      <c r="F37" s="404" t="s">
        <v>4</v>
      </c>
      <c r="G37" s="405" t="s">
        <v>276</v>
      </c>
      <c r="H37" s="493" t="str">
        <f t="shared" ca="1" si="0"/>
        <v>SV Oberredenburg</v>
      </c>
      <c r="I37" s="494"/>
      <c r="J37" s="495" t="str">
        <f t="shared" ca="1" si="1"/>
        <v>Maibach 1822 eV</v>
      </c>
      <c r="K37" s="410">
        <v>19</v>
      </c>
      <c r="L37" s="411" t="str">
        <f>Sprache!$E$109</f>
        <v xml:space="preserve"> : </v>
      </c>
      <c r="M37" s="654">
        <v>25</v>
      </c>
      <c r="N37" s="815">
        <v>25</v>
      </c>
      <c r="O37" s="669" t="str">
        <f>Sprache!$E$109</f>
        <v xml:space="preserve"> : </v>
      </c>
      <c r="P37" s="654">
        <v>18</v>
      </c>
      <c r="Q37" s="410"/>
      <c r="R37" s="643" t="str">
        <f>Sprache!$E$109</f>
        <v xml:space="preserve"> : </v>
      </c>
      <c r="S37" s="490"/>
      <c r="T37" s="1053">
        <f t="shared" ca="1" si="6"/>
        <v>1</v>
      </c>
      <c r="U37" s="818" t="str">
        <f>Sprache!$E$109</f>
        <v xml:space="preserve"> : </v>
      </c>
      <c r="V37" s="1056">
        <f t="shared" ca="1" si="7"/>
        <v>1</v>
      </c>
      <c r="W37" s="328"/>
      <c r="X37" s="708"/>
      <c r="Y37" s="47"/>
      <c r="Z37" s="47"/>
      <c r="AA37" s="47"/>
      <c r="AB37" s="47"/>
      <c r="AC37" s="47"/>
      <c r="AD37" s="47"/>
      <c r="AE37" s="47"/>
      <c r="AF37" s="47"/>
      <c r="AG37" s="47"/>
      <c r="AH37" s="47"/>
      <c r="AI37" s="47"/>
      <c r="AJ37" s="47"/>
      <c r="AK37" s="47"/>
      <c r="AL37" s="47"/>
      <c r="AM37" s="47"/>
      <c r="AN37" s="47"/>
      <c r="AO37" s="47"/>
      <c r="AP37" s="47"/>
      <c r="AQ37" s="584">
        <f t="array" aca="1" ref="AQ37" ca="1">SUM((AQ33:AQ36&lt;&gt;"")*1)</f>
        <v>4</v>
      </c>
      <c r="AR37" s="584"/>
      <c r="AS37" s="272"/>
      <c r="AT37" s="47"/>
      <c r="AU37" s="47"/>
      <c r="AV37" s="738" t="b">
        <f t="shared" ca="1" si="2"/>
        <v>0</v>
      </c>
      <c r="AW37" s="738" t="b">
        <f t="shared" si="8"/>
        <v>0</v>
      </c>
      <c r="AX37" s="738" t="b">
        <f t="shared" si="9"/>
        <v>0</v>
      </c>
      <c r="AY37" s="738" t="b">
        <f t="shared" si="10"/>
        <v>1</v>
      </c>
      <c r="AZ37" s="738" t="b">
        <f t="shared" si="3"/>
        <v>0</v>
      </c>
      <c r="BA37" s="738" t="b">
        <f t="shared" si="4"/>
        <v>0</v>
      </c>
      <c r="BB37" s="738" t="b">
        <f t="shared" si="5"/>
        <v>0</v>
      </c>
    </row>
    <row r="38" spans="1:54" ht="24" customHeight="1" thickBot="1" x14ac:dyDescent="0.45">
      <c r="A38" s="47"/>
      <c r="B38" s="505">
        <f t="array" aca="1" ref="B38" ca="1">ROW(87:87)-SUM(((Planung!$L$6:$L$65="")+(Planung!$N$6:$N$65="")&gt;0)*1)-SUM((($H$12:$H37="")+($J$12:$J37="")&gt;0)*1)</f>
        <v>62</v>
      </c>
      <c r="C38" s="171">
        <f t="array" aca="1" ref="C38" ca="1">IF(Planung!$V$15,"",$C$12+QUOTIENT(($B38-$B$12),Planung!$V$11)*(Planung!$S$7+Planung!$S$9)/1440+SUM($X$12:$X37)/1440)</f>
        <v>0.73958333333333337</v>
      </c>
      <c r="D38" s="173">
        <f ca="1">IF(Planung!$V$15,"",MOD($B38-$B$12,Planung!$V$11)+1)</f>
        <v>2</v>
      </c>
      <c r="E38" s="403" t="s">
        <v>323</v>
      </c>
      <c r="F38" s="404" t="s">
        <v>4</v>
      </c>
      <c r="G38" s="405" t="s">
        <v>273</v>
      </c>
      <c r="H38" s="493" t="str">
        <f t="shared" ca="1" si="0"/>
        <v>HSV</v>
      </c>
      <c r="I38" s="494"/>
      <c r="J38" s="495" t="str">
        <f t="shared" ca="1" si="1"/>
        <v>VFB Essenheim</v>
      </c>
      <c r="K38" s="410">
        <v>22</v>
      </c>
      <c r="L38" s="411" t="str">
        <f>Sprache!$E$109</f>
        <v xml:space="preserve"> : </v>
      </c>
      <c r="M38" s="654">
        <v>25</v>
      </c>
      <c r="N38" s="815">
        <v>25</v>
      </c>
      <c r="O38" s="669" t="str">
        <f>Sprache!$E$109</f>
        <v xml:space="preserve"> : </v>
      </c>
      <c r="P38" s="654">
        <v>19</v>
      </c>
      <c r="Q38" s="410"/>
      <c r="R38" s="643" t="str">
        <f>Sprache!$E$109</f>
        <v xml:space="preserve"> : </v>
      </c>
      <c r="S38" s="490"/>
      <c r="T38" s="1053">
        <f t="shared" ca="1" si="6"/>
        <v>1</v>
      </c>
      <c r="U38" s="818" t="str">
        <f>Sprache!$E$109</f>
        <v xml:space="preserve"> : </v>
      </c>
      <c r="V38" s="1056">
        <f t="shared" ca="1" si="7"/>
        <v>1</v>
      </c>
      <c r="W38" s="328"/>
      <c r="X38" s="708"/>
      <c r="Y38" s="47"/>
      <c r="Z38" s="996" t="str">
        <f>Sprache!$E$60</f>
        <v>Gruppenzweite</v>
      </c>
      <c r="AA38" s="996"/>
      <c r="AB38" s="996"/>
      <c r="AC38" s="996"/>
      <c r="AD38" s="996"/>
      <c r="AE38" s="996"/>
      <c r="AF38" s="804"/>
      <c r="AG38" s="804"/>
      <c r="AH38" s="804"/>
      <c r="AI38" s="804"/>
      <c r="AJ38" s="189"/>
      <c r="AK38" s="189"/>
      <c r="AL38" s="189"/>
      <c r="AM38" s="189"/>
      <c r="AN38" s="189"/>
      <c r="AO38" s="47"/>
      <c r="AP38" s="878" t="str">
        <f>Sprache!$E$60</f>
        <v>Gruppenzweite</v>
      </c>
      <c r="AQ38" s="878"/>
      <c r="AR38" s="640"/>
      <c r="AS38" s="272"/>
      <c r="AT38" s="47"/>
      <c r="AU38" s="47"/>
      <c r="AV38" s="738" t="b">
        <f t="shared" ca="1" si="2"/>
        <v>0</v>
      </c>
      <c r="AW38" s="738" t="b">
        <f t="shared" si="8"/>
        <v>0</v>
      </c>
      <c r="AX38" s="738" t="b">
        <f t="shared" si="9"/>
        <v>0</v>
      </c>
      <c r="AY38" s="738" t="b">
        <f t="shared" si="10"/>
        <v>1</v>
      </c>
      <c r="AZ38" s="738" t="b">
        <f t="shared" si="3"/>
        <v>0</v>
      </c>
      <c r="BA38" s="738" t="b">
        <f t="shared" si="4"/>
        <v>0</v>
      </c>
      <c r="BB38" s="738" t="b">
        <f t="shared" si="5"/>
        <v>0</v>
      </c>
    </row>
    <row r="39" spans="1:54" ht="24" customHeight="1" thickTop="1" thickBot="1" x14ac:dyDescent="0.25">
      <c r="A39" s="47"/>
      <c r="B39" s="505">
        <f t="array" aca="1" ref="B39" ca="1">ROW(88:88)-SUM(((Planung!$L$6:$L$65="")+(Planung!$N$6:$N$65="")&gt;0)*1)-SUM((($H$12:$H38="")+($J$12:$J38="")&gt;0)*1)</f>
        <v>63</v>
      </c>
      <c r="C39" s="171">
        <f t="array" aca="1" ref="C39" ca="1">IF(Planung!$V$15,"",$C$12+QUOTIENT(($B39-$B$12),Planung!$V$11)*(Planung!$S$7+Planung!$S$9)/1440+SUM($X$12:$X38)/1440)</f>
        <v>0.73958333333333337</v>
      </c>
      <c r="D39" s="173">
        <f ca="1">IF(Planung!$V$15,"",MOD($B39-$B$12,Planung!$V$11)+1)</f>
        <v>3</v>
      </c>
      <c r="E39" s="403" t="s">
        <v>322</v>
      </c>
      <c r="F39" s="404" t="s">
        <v>4</v>
      </c>
      <c r="G39" s="405" t="s">
        <v>270</v>
      </c>
      <c r="H39" s="493" t="str">
        <f t="shared" ca="1" si="0"/>
        <v>RB Leipzig</v>
      </c>
      <c r="I39" s="494"/>
      <c r="J39" s="495" t="str">
        <f t="shared" ca="1" si="1"/>
        <v>1. FC Riedwald</v>
      </c>
      <c r="K39" s="410">
        <v>19</v>
      </c>
      <c r="L39" s="411" t="str">
        <f>Sprache!$E$109</f>
        <v xml:space="preserve"> : </v>
      </c>
      <c r="M39" s="654">
        <v>25</v>
      </c>
      <c r="N39" s="815">
        <v>25</v>
      </c>
      <c r="O39" s="669" t="str">
        <f>Sprache!$E$109</f>
        <v xml:space="preserve"> : </v>
      </c>
      <c r="P39" s="654">
        <v>20</v>
      </c>
      <c r="Q39" s="410"/>
      <c r="R39" s="643" t="str">
        <f>Sprache!$E$109</f>
        <v xml:space="preserve"> : </v>
      </c>
      <c r="S39" s="490"/>
      <c r="T39" s="1053">
        <f t="shared" ca="1" si="6"/>
        <v>1</v>
      </c>
      <c r="U39" s="818" t="str">
        <f>Sprache!$E$109</f>
        <v xml:space="preserve"> : </v>
      </c>
      <c r="V39" s="1056">
        <f t="shared" ca="1" si="7"/>
        <v>1</v>
      </c>
      <c r="W39" s="328"/>
      <c r="X39" s="708"/>
      <c r="Y39" s="47"/>
      <c r="Z39" s="992"/>
      <c r="AA39" s="993"/>
      <c r="AB39" s="794" t="str">
        <f>Sprache!$E$21</f>
        <v>SP</v>
      </c>
      <c r="AC39" s="192" t="str">
        <f>Sprache!$E$22</f>
        <v>G</v>
      </c>
      <c r="AD39" s="192" t="str">
        <f>Sprache!$E$23</f>
        <v>U</v>
      </c>
      <c r="AE39" s="792" t="str">
        <f>Sprache!$E$24</f>
        <v>V</v>
      </c>
      <c r="AF39" s="884" t="str">
        <f>Sprache!$E$25</f>
        <v>Sätze</v>
      </c>
      <c r="AG39" s="885"/>
      <c r="AH39" s="886"/>
      <c r="AI39" s="793" t="str">
        <f>Sprache!$E$26</f>
        <v>Diff.</v>
      </c>
      <c r="AJ39" s="884" t="str">
        <f>Sprache!$E$74</f>
        <v>Bälle</v>
      </c>
      <c r="AK39" s="885"/>
      <c r="AL39" s="886"/>
      <c r="AM39" s="192" t="str">
        <f>IF(Einstellungen!$G$24,Sprache!$E$26,Sprache!$E$80)</f>
        <v>Diff.</v>
      </c>
      <c r="AN39" s="194" t="str">
        <f>Sprache!$E$27</f>
        <v>Pkt</v>
      </c>
      <c r="AO39" s="47"/>
      <c r="AP39" s="420"/>
      <c r="AQ39" s="449" t="str">
        <f>Sprache!$E$10</f>
        <v>Teilnehmer bzw. Mannschaft</v>
      </c>
      <c r="AR39" s="659"/>
      <c r="AS39" s="660"/>
      <c r="AT39" s="47"/>
      <c r="AU39" s="47"/>
      <c r="AV39" s="738" t="b">
        <f t="shared" ca="1" si="2"/>
        <v>0</v>
      </c>
      <c r="AW39" s="738" t="b">
        <f t="shared" si="8"/>
        <v>0</v>
      </c>
      <c r="AX39" s="738" t="b">
        <f t="shared" si="9"/>
        <v>0</v>
      </c>
      <c r="AY39" s="738" t="b">
        <f t="shared" si="10"/>
        <v>1</v>
      </c>
      <c r="AZ39" s="738" t="b">
        <f t="shared" si="3"/>
        <v>0</v>
      </c>
      <c r="BA39" s="738" t="b">
        <f t="shared" si="4"/>
        <v>0</v>
      </c>
      <c r="BB39" s="738" t="b">
        <f t="shared" si="5"/>
        <v>0</v>
      </c>
    </row>
    <row r="40" spans="1:54" ht="24" customHeight="1" x14ac:dyDescent="0.2">
      <c r="A40" s="47"/>
      <c r="B40" s="505">
        <f t="array" aca="1" ref="B40" ca="1">ROW(89:89)-SUM(((Planung!$L$6:$L$65="")+(Planung!$N$6:$N$65="")&gt;0)*1)-SUM((($H$12:$H39="")+($J$12:$J39="")&gt;0)*1)</f>
        <v>64</v>
      </c>
      <c r="C40" s="171">
        <f t="array" aca="1" ref="C40" ca="1">IF(Planung!$V$15,"",$C$12+QUOTIENT(($B40-$B$12),Planung!$V$11)*(Planung!$S$7+Planung!$S$9)/1440+SUM($X$12:$X39)/1440)</f>
        <v>0.73958333333333337</v>
      </c>
      <c r="D40" s="173">
        <f ca="1">IF(Planung!$V$15,"",MOD($B40-$B$12,Planung!$V$11)+1)</f>
        <v>4</v>
      </c>
      <c r="E40" s="403" t="s">
        <v>321</v>
      </c>
      <c r="F40" s="404" t="s">
        <v>4</v>
      </c>
      <c r="G40" s="405" t="s">
        <v>267</v>
      </c>
      <c r="H40" s="493" t="str">
        <f t="shared" ca="1" si="0"/>
        <v>Paris St. Germain</v>
      </c>
      <c r="I40" s="494"/>
      <c r="J40" s="495" t="str">
        <f t="shared" ca="1" si="1"/>
        <v>FC Barcelona</v>
      </c>
      <c r="K40" s="410">
        <v>17</v>
      </c>
      <c r="L40" s="411" t="str">
        <f>Sprache!$E$109</f>
        <v xml:space="preserve"> : </v>
      </c>
      <c r="M40" s="654">
        <v>25</v>
      </c>
      <c r="N40" s="815">
        <v>17</v>
      </c>
      <c r="O40" s="669" t="str">
        <f>Sprache!$E$109</f>
        <v xml:space="preserve"> : </v>
      </c>
      <c r="P40" s="654">
        <v>21</v>
      </c>
      <c r="Q40" s="410"/>
      <c r="R40" s="643" t="str">
        <f>Sprache!$E$109</f>
        <v xml:space="preserve"> : </v>
      </c>
      <c r="S40" s="490"/>
      <c r="T40" s="1053">
        <f t="shared" ca="1" si="6"/>
        <v>0</v>
      </c>
      <c r="U40" s="818" t="str">
        <f>Sprache!$E$109</f>
        <v xml:space="preserve"> : </v>
      </c>
      <c r="V40" s="1056">
        <f t="shared" ca="1" si="7"/>
        <v>2</v>
      </c>
      <c r="W40" s="328"/>
      <c r="X40" s="708"/>
      <c r="Y40" s="47"/>
      <c r="Z40" s="573">
        <f ca="1">IF(CalcE2!$K$13=0,"",1)</f>
        <v>1</v>
      </c>
      <c r="AA40" s="363" t="str">
        <f ca="1">IF(Calc1!$F$14&lt;3,"",IF(AND(CalcE2!$K$13=0,AQ44&lt;&gt;1),CalcE2!$C$62,VLOOKUP(CalcE2!$B$4,CalcE2!$C$4:$N$12,4,0)))</f>
        <v>FC Barcelona</v>
      </c>
      <c r="AB40" s="571">
        <f ca="1">IF(CalcE2!$K$13=0,"",VLOOKUP(CalcE2!$B$4,CalcE2!$C$4:$N$12,9,0))</f>
        <v>3</v>
      </c>
      <c r="AC40" s="198">
        <f ca="1">IF(CalcE2!$K$13=0,"",VLOOKUP(CalcE2!$B$4,CalcE2!$C$4:$N$12,10,0))</f>
        <v>3</v>
      </c>
      <c r="AD40" s="198">
        <f ca="1">IF(CalcE2!$K$13=0,"",VLOOKUP(CalcE2!$B$4,CalcE2!$C$4:$N$12,11,0))</f>
        <v>0</v>
      </c>
      <c r="AE40" s="198">
        <f ca="1">IF(CalcE2!$K$13=0,"",VLOOKUP(CalcE2!$B$4,CalcE2!$C$4:$N$12,12,0))</f>
        <v>0</v>
      </c>
      <c r="AF40" s="200">
        <f ca="1">IF(CalcE2!$K$13=0,"",VLOOKUP(CalcE2!$B$4,CalcE2!$C$4:$S$12,15,0))</f>
        <v>6</v>
      </c>
      <c r="AG40" s="805" t="str">
        <f>Sprache!$E$109</f>
        <v xml:space="preserve"> : </v>
      </c>
      <c r="AH40" s="202">
        <f ca="1">IF(CalcE2!$K$13=0,"",VLOOKUP(CalcE2!$B$4,CalcE2!$C$4:$S$12,14,0))</f>
        <v>0</v>
      </c>
      <c r="AI40" s="198">
        <f ca="1">IF(CalcE2!$K$13=0,"",VLOOKUP(CalcE2!$B$4,CalcE2!$C$4:$S$12,16,0))</f>
        <v>6</v>
      </c>
      <c r="AJ40" s="200">
        <f ca="1">IF(CalcE2!$K$13=0,"",VLOOKUP(CalcE2!$B$4,CalcE2!$C$4:$N$12,5,0))</f>
        <v>146</v>
      </c>
      <c r="AK40" s="805" t="str">
        <f>Sprache!$E$109</f>
        <v xml:space="preserve"> : </v>
      </c>
      <c r="AL40" s="202">
        <f ca="1">IF(CalcE2!$K$13=0,"",VLOOKUP(CalcE2!$B$4,CalcE2!$C$4:$N$12,6,0))</f>
        <v>106</v>
      </c>
      <c r="AM40" s="198">
        <f ca="1">IF(CalcE2!$K$13=0,"",IF(VLOOKUP(CalcE2!$B$4,CalcE2!$C$4:$S$12,17,0)=Einstellungen!$F$24,"max",VLOOKUP(CalcE2!$B$4,CalcE2!$C$4:$S$12,17,0)))</f>
        <v>40</v>
      </c>
      <c r="AN40" s="203">
        <f ca="1">IF(CalcE2!$K$13=0,"",VLOOKUP(CalcE2!$B$4,CalcE2!$C$4:$S$12,Einstellungen!$I$9,0))</f>
        <v>6</v>
      </c>
      <c r="AO40" s="47"/>
      <c r="AP40" s="791" t="s">
        <v>267</v>
      </c>
      <c r="AQ40" s="450" t="str">
        <f ca="1">IF(Vorrunde!$X$13="","",Vorrunde!$X$13)</f>
        <v>FC Barcelona</v>
      </c>
      <c r="AR40" s="661"/>
      <c r="AS40" s="824"/>
      <c r="AT40" s="47"/>
      <c r="AU40" s="47"/>
      <c r="AV40" s="738" t="b">
        <f t="shared" ca="1" si="2"/>
        <v>0</v>
      </c>
      <c r="AW40" s="738" t="b">
        <f t="shared" si="8"/>
        <v>0</v>
      </c>
      <c r="AX40" s="738" t="b">
        <f t="shared" si="9"/>
        <v>0</v>
      </c>
      <c r="AY40" s="738" t="b">
        <f t="shared" si="10"/>
        <v>1</v>
      </c>
      <c r="AZ40" s="738" t="b">
        <f t="shared" si="3"/>
        <v>0</v>
      </c>
      <c r="BA40" s="738" t="b">
        <f t="shared" si="4"/>
        <v>0</v>
      </c>
      <c r="BB40" s="738" t="b">
        <f t="shared" si="5"/>
        <v>0</v>
      </c>
    </row>
    <row r="41" spans="1:54" ht="24" customHeight="1" x14ac:dyDescent="0.2">
      <c r="A41" s="47"/>
      <c r="B41" s="505">
        <f t="array" aca="1" ref="B41" ca="1">ROW(90:90)-SUM(((Planung!$L$6:$L$65="")+(Planung!$N$6:$N$65="")&gt;0)*1)-SUM((($H$12:$H40="")+($J$12:$J40="")&gt;0)*1)</f>
        <v>65</v>
      </c>
      <c r="C41" s="171">
        <f t="array" aca="1" ref="C41" ca="1">IF(Planung!$V$15,"",$C$12+QUOTIENT(($B41-$B$12),Planung!$V$11)*(Planung!$S$7+Planung!$S$9)/1440+SUM($X$12:$X40)/1440)</f>
        <v>0.76388888888888895</v>
      </c>
      <c r="D41" s="173">
        <f ca="1">IF(Planung!$V$15,"",MOD($B41-$B$12,Planung!$V$11)+1)</f>
        <v>1</v>
      </c>
      <c r="E41" s="403" t="s">
        <v>320</v>
      </c>
      <c r="F41" s="404" t="s">
        <v>4</v>
      </c>
      <c r="G41" s="405" t="s">
        <v>264</v>
      </c>
      <c r="H41" s="493" t="str">
        <f t="shared" ca="1" si="0"/>
        <v>TSG Saalberg eV</v>
      </c>
      <c r="I41" s="494"/>
      <c r="J41" s="495" t="str">
        <f t="shared" ca="1" si="1"/>
        <v>Eintracht Frankfurt</v>
      </c>
      <c r="K41" s="410">
        <v>14</v>
      </c>
      <c r="L41" s="411" t="str">
        <f>Sprache!$E$109</f>
        <v xml:space="preserve"> : </v>
      </c>
      <c r="M41" s="654">
        <v>25</v>
      </c>
      <c r="N41" s="815">
        <v>25</v>
      </c>
      <c r="O41" s="669" t="str">
        <f>Sprache!$E$109</f>
        <v xml:space="preserve"> : </v>
      </c>
      <c r="P41" s="654">
        <v>22</v>
      </c>
      <c r="Q41" s="410"/>
      <c r="R41" s="643" t="str">
        <f>Sprache!$E$109</f>
        <v xml:space="preserve"> : </v>
      </c>
      <c r="S41" s="490"/>
      <c r="T41" s="1053">
        <f t="shared" ca="1" si="6"/>
        <v>1</v>
      </c>
      <c r="U41" s="818" t="str">
        <f>Sprache!$E$109</f>
        <v xml:space="preserve"> : </v>
      </c>
      <c r="V41" s="1056">
        <f t="shared" ca="1" si="7"/>
        <v>1</v>
      </c>
      <c r="W41" s="328"/>
      <c r="X41" s="708"/>
      <c r="Y41" s="47"/>
      <c r="Z41" s="574">
        <f ca="1">IF(CalcE2!$K$13=0,"",IF(VLOOKUP(CalcE2!$B$5,CalcE2!$C$4:$E$12,3,0)=MAX($Z40:$Z40),VLOOKUP(CalcE2!$B$5,CalcE2!$C$4:$E$12,3,0),CalcE2!$B$5))</f>
        <v>2</v>
      </c>
      <c r="AA41" s="365" t="str">
        <f ca="1">IF(OR(Calc1!$F$14&lt;3,AQ44=1),"",IF(CalcE2!$K$13=0,CalcE2!$C63,VLOOKUP(CalcE2!$B5,CalcE2!$C$4:$N$12,4,0)))</f>
        <v>Manchester City</v>
      </c>
      <c r="AB41" s="213">
        <f ca="1">IF(CalcE2!$K$13=0,"",VLOOKUP(CalcE2!$B$5,CalcE2!$C$4:$N$12,9,0))</f>
        <v>3</v>
      </c>
      <c r="AC41" s="188">
        <f ca="1">IF(CalcE2!$K$13=0,"",VLOOKUP(CalcE2!$B$5,CalcE2!$C$4:$N$12,10,0))</f>
        <v>1</v>
      </c>
      <c r="AD41" s="188">
        <f ca="1">IF(CalcE2!$K$13=0,"",VLOOKUP(CalcE2!$B$5,CalcE2!$C$4:$N$12,11,0))</f>
        <v>1</v>
      </c>
      <c r="AE41" s="188">
        <f ca="1">IF(CalcE2!$K$13=0,"",VLOOKUP(CalcE2!$B$5,CalcE2!$C$4:$N$12,12,0))</f>
        <v>1</v>
      </c>
      <c r="AF41" s="209">
        <f ca="1">IF(CalcE2!$K$13=0,"",VLOOKUP(CalcE2!$B$5,CalcE2!$C$4:$S$12,15,0))</f>
        <v>3</v>
      </c>
      <c r="AG41" s="806" t="str">
        <f>Sprache!$E$109</f>
        <v xml:space="preserve"> : </v>
      </c>
      <c r="AH41" s="211">
        <f ca="1">IF(CalcE2!$K$13=0,"",VLOOKUP(CalcE2!$B$5,CalcE2!$C$4:$S$12,14,0))</f>
        <v>3</v>
      </c>
      <c r="AI41" s="188">
        <f ca="1">IF(CalcE2!$K$13=0,"",VLOOKUP(CalcE2!$B$5,CalcE2!$C$4:$S$12,16,0))</f>
        <v>0</v>
      </c>
      <c r="AJ41" s="209">
        <f ca="1">IF(CalcE2!$K$13=0,"",VLOOKUP(CalcE2!$B$5,CalcE2!$C$4:$N$12,5,0))</f>
        <v>138</v>
      </c>
      <c r="AK41" s="806" t="str">
        <f>Sprache!$E$109</f>
        <v xml:space="preserve"> : </v>
      </c>
      <c r="AL41" s="211">
        <f ca="1">IF(CalcE2!$K$13=0,"",VLOOKUP(CalcE2!$B$5,CalcE2!$C$4:$N$12,6,0))</f>
        <v>133</v>
      </c>
      <c r="AM41" s="188">
        <f ca="1">IF(CalcE2!$K$13=0,"",IF(VLOOKUP(CalcE2!$B$5,CalcE2!$C$4:$S$12,17,0)=Einstellungen!$F$24,"max",VLOOKUP(CalcE2!$B$5,CalcE2!$C$4:$S$12,17,0)))</f>
        <v>5</v>
      </c>
      <c r="AN41" s="212">
        <f ca="1">IF(CalcE2!$K$13=0,"",VLOOKUP(CalcE2!$B$5,CalcE2!$C$4:$S$12,Einstellungen!$I$9,0))</f>
        <v>3</v>
      </c>
      <c r="AO41" s="47"/>
      <c r="AP41" s="419" t="s">
        <v>268</v>
      </c>
      <c r="AQ41" s="451" t="str">
        <f ca="1">IF(Vorrunde!$X$23="","",Vorrunde!$X$23)</f>
        <v>Manchester City</v>
      </c>
      <c r="AR41" s="661"/>
      <c r="AS41" s="825"/>
      <c r="AT41" s="47"/>
      <c r="AU41" s="47"/>
      <c r="AV41" s="738" t="b">
        <f t="shared" ca="1" si="2"/>
        <v>0</v>
      </c>
      <c r="AW41" s="738" t="b">
        <f t="shared" si="8"/>
        <v>0</v>
      </c>
      <c r="AX41" s="738" t="b">
        <f t="shared" si="9"/>
        <v>0</v>
      </c>
      <c r="AY41" s="738" t="b">
        <f t="shared" si="10"/>
        <v>1</v>
      </c>
      <c r="AZ41" s="738" t="b">
        <f t="shared" si="3"/>
        <v>0</v>
      </c>
      <c r="BA41" s="738" t="b">
        <f t="shared" si="4"/>
        <v>0</v>
      </c>
      <c r="BB41" s="738" t="b">
        <f t="shared" si="5"/>
        <v>0</v>
      </c>
    </row>
    <row r="42" spans="1:54" ht="24" customHeight="1" x14ac:dyDescent="0.2">
      <c r="A42" s="47"/>
      <c r="B42" s="505">
        <f t="array" aca="1" ref="B42" ca="1">ROW(91:91)-SUM(((Planung!$L$6:$L$65="")+(Planung!$N$6:$N$65="")&gt;0)*1)-SUM((($H$12:$H41="")+($J$12:$J41="")&gt;0)*1)</f>
        <v>66</v>
      </c>
      <c r="C42" s="171">
        <f t="array" aca="1" ref="C42" ca="1">IF(Planung!$V$15,"",$C$12+QUOTIENT(($B42-$B$12),Planung!$V$11)*(Planung!$S$7+Planung!$S$9)/1440+SUM($X$12:$X41)/1440)</f>
        <v>0.76388888888888895</v>
      </c>
      <c r="D42" s="173">
        <f ca="1">IF(Planung!$V$15,"",MOD($B42-$B$12,Planung!$V$11)+1)</f>
        <v>2</v>
      </c>
      <c r="E42" s="403" t="s">
        <v>280</v>
      </c>
      <c r="F42" s="404" t="s">
        <v>4</v>
      </c>
      <c r="G42" s="405" t="s">
        <v>281</v>
      </c>
      <c r="H42" s="493" t="str">
        <f t="shared" ca="1" si="0"/>
        <v/>
      </c>
      <c r="I42" s="494"/>
      <c r="J42" s="495" t="str">
        <f t="shared" ca="1" si="1"/>
        <v/>
      </c>
      <c r="K42" s="410"/>
      <c r="L42" s="411" t="str">
        <f>Sprache!$E$109</f>
        <v xml:space="preserve"> : </v>
      </c>
      <c r="M42" s="654"/>
      <c r="N42" s="815"/>
      <c r="O42" s="669" t="str">
        <f>Sprache!$E$109</f>
        <v xml:space="preserve"> : </v>
      </c>
      <c r="P42" s="654"/>
      <c r="Q42" s="410"/>
      <c r="R42" s="643" t="str">
        <f>Sprache!$E$109</f>
        <v xml:space="preserve"> : </v>
      </c>
      <c r="S42" s="490"/>
      <c r="T42" s="1053" t="str">
        <f t="shared" ca="1" si="6"/>
        <v/>
      </c>
      <c r="U42" s="818" t="str">
        <f>Sprache!$E$109</f>
        <v xml:space="preserve"> : </v>
      </c>
      <c r="V42" s="1056" t="str">
        <f t="shared" ca="1" si="7"/>
        <v/>
      </c>
      <c r="W42" s="328"/>
      <c r="X42" s="708"/>
      <c r="Y42" s="47"/>
      <c r="Z42" s="574">
        <f ca="1">IF(CalcE2!$K$13=0,"",IF(VLOOKUP(CalcE2!$B$6,CalcE2!$C$4:$E$12,3,0)=MAX($Z40:$Z41),VLOOKUP(CalcE2!$B$6,CalcE2!$C$4:$E$12,3,0),CalcE2!$B$6))</f>
        <v>3</v>
      </c>
      <c r="AA42" s="365" t="str">
        <f ca="1">IF(OR(Calc1!$F$14&lt;3,AQ45=1),"",IF(CalcE2!$K$13=0,CalcE2!$C64,VLOOKUP(CalcE2!$B6,CalcE2!$C$4:$N$12,4,0)))</f>
        <v>Paris St. Germain</v>
      </c>
      <c r="AB42" s="213">
        <f ca="1">IF(CalcE2!$K$13=0,"",VLOOKUP(CalcE2!$B$6,CalcE2!$C$4:$N$12,9,0))</f>
        <v>3</v>
      </c>
      <c r="AC42" s="188">
        <f ca="1">IF(CalcE2!$K$13=0,"",VLOOKUP(CalcE2!$B$6,CalcE2!$C$4:$N$12,10,0))</f>
        <v>0</v>
      </c>
      <c r="AD42" s="188">
        <f ca="1">IF(CalcE2!$K$13=0,"",VLOOKUP(CalcE2!$B$6,CalcE2!$C$4:$N$12,11,0))</f>
        <v>2</v>
      </c>
      <c r="AE42" s="188">
        <f ca="1">IF(CalcE2!$K$13=0,"",VLOOKUP(CalcE2!$B$6,CalcE2!$C$4:$N$12,12,0))</f>
        <v>1</v>
      </c>
      <c r="AF42" s="209">
        <f ca="1">IF(CalcE2!$K$13=0,"",VLOOKUP(CalcE2!$B$6,CalcE2!$C$4:$S$12,15,0))</f>
        <v>2</v>
      </c>
      <c r="AG42" s="806" t="str">
        <f>Sprache!$E$109</f>
        <v xml:space="preserve"> : </v>
      </c>
      <c r="AH42" s="211">
        <f ca="1">IF(CalcE2!$K$13=0,"",VLOOKUP(CalcE2!$B$6,CalcE2!$C$4:$S$12,14,0))</f>
        <v>4</v>
      </c>
      <c r="AI42" s="188">
        <f ca="1">IF(CalcE2!$K$13=0,"",VLOOKUP(CalcE2!$B$6,CalcE2!$C$4:$S$12,16,0))</f>
        <v>-2</v>
      </c>
      <c r="AJ42" s="209">
        <f ca="1">IF(CalcE2!$K$13=0,"",VLOOKUP(CalcE2!$B$6,CalcE2!$C$4:$N$12,5,0))</f>
        <v>118</v>
      </c>
      <c r="AK42" s="806" t="str">
        <f>Sprache!$E$109</f>
        <v xml:space="preserve"> : </v>
      </c>
      <c r="AL42" s="211">
        <f ca="1">IF(CalcE2!$K$13=0,"",VLOOKUP(CalcE2!$B$6,CalcE2!$C$4:$N$12,6,0))</f>
        <v>138</v>
      </c>
      <c r="AM42" s="188">
        <f ca="1">IF(CalcE2!$K$13=0,"",IF(VLOOKUP(CalcE2!$B$6,CalcE2!$C$4:$S$12,17,0)=Einstellungen!$F$24,"max",VLOOKUP(CalcE2!$B$6,CalcE2!$C$4:$S$12,17,0)))</f>
        <v>-20</v>
      </c>
      <c r="AN42" s="212">
        <f ca="1">IF(CalcE2!$K$13=0,"",VLOOKUP(CalcE2!$B$6,CalcE2!$C$4:$S$12,Einstellungen!$I$9,0))</f>
        <v>2</v>
      </c>
      <c r="AO42" s="47"/>
      <c r="AP42" s="790" t="s">
        <v>269</v>
      </c>
      <c r="AQ42" s="451" t="str">
        <f ca="1">IF(Vorrunde!$X$33="","",Vorrunde!$X$33)</f>
        <v>Kickers Rodendorf</v>
      </c>
      <c r="AR42" s="661"/>
      <c r="AS42" s="825"/>
      <c r="AT42" s="47"/>
      <c r="AU42" s="47"/>
      <c r="AV42" s="738" t="b">
        <f t="shared" ca="1" si="2"/>
        <v>1</v>
      </c>
      <c r="AW42" s="738" t="b">
        <f t="shared" si="8"/>
        <v>1</v>
      </c>
      <c r="AX42" s="738" t="b">
        <f t="shared" si="9"/>
        <v>1</v>
      </c>
      <c r="AY42" s="738" t="b">
        <f t="shared" si="10"/>
        <v>1</v>
      </c>
      <c r="AZ42" s="738" t="b">
        <f t="shared" si="3"/>
        <v>0</v>
      </c>
      <c r="BA42" s="738" t="b">
        <f t="shared" si="4"/>
        <v>0</v>
      </c>
      <c r="BB42" s="738" t="b">
        <f t="shared" si="5"/>
        <v>0</v>
      </c>
    </row>
    <row r="43" spans="1:54" ht="24" customHeight="1" thickBot="1" x14ac:dyDescent="0.25">
      <c r="A43" s="47"/>
      <c r="B43" s="505">
        <f t="array" aca="1" ref="B43" ca="1">ROW(92:92)-SUM(((Planung!$L$6:$L$65="")+(Planung!$N$6:$N$65="")&gt;0)*1)-SUM((($H$12:$H42="")+($J$12:$J42="")&gt;0)*1)</f>
        <v>66</v>
      </c>
      <c r="C43" s="171">
        <f t="array" aca="1" ref="C43" ca="1">IF(Planung!$V$15,"",$C$12+QUOTIENT(($B43-$B$12),Planung!$V$11)*(Planung!$S$7+Planung!$S$9)/1440+SUM($X$12:$X42)/1440)</f>
        <v>0.76388888888888895</v>
      </c>
      <c r="D43" s="173">
        <f ca="1">IF(Planung!$V$15,"",MOD($B43-$B$12,Planung!$V$11)+1)</f>
        <v>2</v>
      </c>
      <c r="E43" s="403" t="s">
        <v>277</v>
      </c>
      <c r="F43" s="404" t="s">
        <v>4</v>
      </c>
      <c r="G43" s="405" t="s">
        <v>278</v>
      </c>
      <c r="H43" s="493" t="str">
        <f t="shared" ca="1" si="0"/>
        <v>FC Grönlingen</v>
      </c>
      <c r="I43" s="494"/>
      <c r="J43" s="495" t="str">
        <f t="shared" ca="1" si="1"/>
        <v>1. FC Nürnberg</v>
      </c>
      <c r="K43" s="410">
        <v>19</v>
      </c>
      <c r="L43" s="411" t="str">
        <f>Sprache!$E$109</f>
        <v xml:space="preserve"> : </v>
      </c>
      <c r="M43" s="654">
        <v>25</v>
      </c>
      <c r="N43" s="815">
        <v>25</v>
      </c>
      <c r="O43" s="669" t="str">
        <f>Sprache!$E$109</f>
        <v xml:space="preserve"> : </v>
      </c>
      <c r="P43" s="654">
        <v>17</v>
      </c>
      <c r="Q43" s="410"/>
      <c r="R43" s="643" t="str">
        <f>Sprache!$E$109</f>
        <v xml:space="preserve"> : </v>
      </c>
      <c r="S43" s="490"/>
      <c r="T43" s="1053">
        <f t="shared" ca="1" si="6"/>
        <v>1</v>
      </c>
      <c r="U43" s="818" t="str">
        <f>Sprache!$E$109</f>
        <v xml:space="preserve"> : </v>
      </c>
      <c r="V43" s="1056">
        <f t="shared" ca="1" si="7"/>
        <v>1</v>
      </c>
      <c r="W43" s="328"/>
      <c r="X43" s="708"/>
      <c r="Y43" s="47"/>
      <c r="Z43" s="575">
        <f ca="1">IF(CalcE2!$K$13=0,"",IF(VLOOKUP(CalcE2!$B$7,CalcE2!$C$4:$E$12,3,0)=MAX($Z40:$Z42),VLOOKUP(CalcE2!$B$7,CalcE2!$C$4:$E$12,3,0),CalcE2!$B$7))</f>
        <v>4</v>
      </c>
      <c r="AA43" s="367" t="str">
        <f ca="1">IF(OR(Calc1!$F$14&lt;3,AQ46=1),"",IF(CalcE2!$K$13=0,CalcE2!$C65,VLOOKUP(CalcE2!$B7,CalcE2!$C$4:$N$12,4,0)))</f>
        <v>Kickers Rodendorf</v>
      </c>
      <c r="AB43" s="224">
        <f ca="1">IF(CalcE2!$K$13=0,"",VLOOKUP(CalcE2!$B$7,CalcE2!$C$4:$N$12,9,0))</f>
        <v>3</v>
      </c>
      <c r="AC43" s="218">
        <f ca="1">IF(CalcE2!$K$13=0,"",VLOOKUP(CalcE2!$B$7,CalcE2!$C$4:$N$12,10,0))</f>
        <v>0</v>
      </c>
      <c r="AD43" s="218">
        <f ca="1">IF(CalcE2!$K$13=0,"",VLOOKUP(CalcE2!$B$7,CalcE2!$C$4:$N$12,11,0))</f>
        <v>1</v>
      </c>
      <c r="AE43" s="218">
        <f ca="1">IF(CalcE2!$K$13=0,"",VLOOKUP(CalcE2!$B$7,CalcE2!$C$4:$N$12,12,0))</f>
        <v>2</v>
      </c>
      <c r="AF43" s="220">
        <f ca="1">IF(CalcE2!$K$13=0,"",VLOOKUP(CalcE2!$B$7,CalcE2!$C$4:$S$12,15,0))</f>
        <v>1</v>
      </c>
      <c r="AG43" s="807" t="str">
        <f>Sprache!$E$109</f>
        <v xml:space="preserve"> : </v>
      </c>
      <c r="AH43" s="222">
        <f ca="1">IF(CalcE2!$K$13=0,"",VLOOKUP(CalcE2!$B$7,CalcE2!$C$4:$S$12,14,0))</f>
        <v>5</v>
      </c>
      <c r="AI43" s="218">
        <f ca="1">IF(CalcE2!$K$13=0,"",VLOOKUP(CalcE2!$B$7,CalcE2!$C$4:$S$12,16,0))</f>
        <v>-4</v>
      </c>
      <c r="AJ43" s="220">
        <f ca="1">IF(CalcE2!$K$13=0,"",VLOOKUP(CalcE2!$B$7,CalcE2!$C$4:$N$12,5,0))</f>
        <v>117</v>
      </c>
      <c r="AK43" s="807" t="str">
        <f>Sprache!$E$109</f>
        <v xml:space="preserve"> : </v>
      </c>
      <c r="AL43" s="222">
        <f ca="1">IF(CalcE2!$K$13=0,"",VLOOKUP(CalcE2!$B$7,CalcE2!$C$4:$N$12,6,0))</f>
        <v>142</v>
      </c>
      <c r="AM43" s="218">
        <f ca="1">IF(CalcE2!$K$13=0,"",IF(VLOOKUP(CalcE2!$B$7,CalcE2!$C$4:$S$12,17,0)=Einstellungen!$F$24,"max",VLOOKUP(CalcE2!$B$7,CalcE2!$C$4:$S$12,17,0)))</f>
        <v>-25</v>
      </c>
      <c r="AN43" s="223">
        <f ca="1">IF(CalcE2!$K$13=0,"",VLOOKUP(CalcE2!$B$7,CalcE2!$C$4:$S$12,Einstellungen!$I$9,0))</f>
        <v>1</v>
      </c>
      <c r="AO43" s="47"/>
      <c r="AP43" s="393" t="s">
        <v>321</v>
      </c>
      <c r="AQ43" s="452" t="str">
        <f ca="1">IF(Vorrunde!$X$43="","",Vorrunde!$X$43)</f>
        <v>Paris St. Germain</v>
      </c>
      <c r="AR43" s="661"/>
      <c r="AS43" s="826"/>
      <c r="AT43" s="47"/>
      <c r="AU43" s="47"/>
      <c r="AV43" s="738" t="b">
        <f t="shared" ca="1" si="2"/>
        <v>0</v>
      </c>
      <c r="AW43" s="738" t="b">
        <f t="shared" si="8"/>
        <v>0</v>
      </c>
      <c r="AX43" s="738" t="b">
        <f t="shared" si="9"/>
        <v>0</v>
      </c>
      <c r="AY43" s="738" t="b">
        <f t="shared" si="10"/>
        <v>1</v>
      </c>
      <c r="AZ43" s="738" t="b">
        <f t="shared" si="3"/>
        <v>0</v>
      </c>
      <c r="BA43" s="738" t="b">
        <f t="shared" si="4"/>
        <v>0</v>
      </c>
      <c r="BB43" s="738" t="b">
        <f t="shared" si="5"/>
        <v>0</v>
      </c>
    </row>
    <row r="44" spans="1:54" ht="24" customHeight="1" thickTop="1" x14ac:dyDescent="0.2">
      <c r="A44" s="47"/>
      <c r="B44" s="505">
        <f t="array" aca="1" ref="B44" ca="1">ROW(93:93)-SUM(((Planung!$L$6:$L$65="")+(Planung!$N$6:$N$65="")&gt;0)*1)-SUM((($H$12:$H43="")+($J$12:$J43="")&gt;0)*1)</f>
        <v>67</v>
      </c>
      <c r="C44" s="171">
        <f t="array" aca="1" ref="C44" ca="1">IF(Planung!$V$15,"",$C$12+QUOTIENT(($B44-$B$12),Planung!$V$11)*(Planung!$S$7+Planung!$S$9)/1440+SUM($X$12:$X43)/1440)</f>
        <v>0.76388888888888895</v>
      </c>
      <c r="D44" s="173">
        <f ca="1">IF(Planung!$V$15,"",MOD($B44-$B$12,Planung!$V$11)+1)</f>
        <v>3</v>
      </c>
      <c r="E44" s="403" t="s">
        <v>274</v>
      </c>
      <c r="F44" s="404" t="s">
        <v>4</v>
      </c>
      <c r="G44" s="405" t="s">
        <v>275</v>
      </c>
      <c r="H44" s="493" t="str">
        <f t="shared" ca="1" si="0"/>
        <v>SSV Wildbach</v>
      </c>
      <c r="I44" s="494"/>
      <c r="J44" s="495" t="str">
        <f t="shared" ca="1" si="1"/>
        <v>FSV Rauen</v>
      </c>
      <c r="K44" s="410">
        <v>17</v>
      </c>
      <c r="L44" s="411" t="str">
        <f>Sprache!$E$109</f>
        <v xml:space="preserve"> : </v>
      </c>
      <c r="M44" s="654">
        <v>25</v>
      </c>
      <c r="N44" s="815">
        <v>25</v>
      </c>
      <c r="O44" s="669" t="str">
        <f>Sprache!$E$109</f>
        <v xml:space="preserve"> : </v>
      </c>
      <c r="P44" s="654">
        <v>18</v>
      </c>
      <c r="Q44" s="410"/>
      <c r="R44" s="643" t="str">
        <f>Sprache!$E$109</f>
        <v xml:space="preserve"> : </v>
      </c>
      <c r="S44" s="490"/>
      <c r="T44" s="1053">
        <f t="shared" ca="1" si="6"/>
        <v>1</v>
      </c>
      <c r="U44" s="818" t="str">
        <f>Sprache!$E$109</f>
        <v xml:space="preserve"> : </v>
      </c>
      <c r="V44" s="1057">
        <f t="shared" ca="1" si="7"/>
        <v>1</v>
      </c>
      <c r="W44" s="328"/>
      <c r="X44" s="708"/>
      <c r="Y44" s="47"/>
      <c r="Z44" s="47"/>
      <c r="AA44" s="47"/>
      <c r="AB44" s="47"/>
      <c r="AC44" s="47"/>
      <c r="AD44" s="47"/>
      <c r="AE44" s="47"/>
      <c r="AF44" s="47"/>
      <c r="AG44" s="47"/>
      <c r="AH44" s="47"/>
      <c r="AI44" s="47"/>
      <c r="AJ44" s="47"/>
      <c r="AK44" s="47"/>
      <c r="AL44" s="47"/>
      <c r="AM44" s="47"/>
      <c r="AN44" s="47"/>
      <c r="AO44" s="47"/>
      <c r="AP44" s="47"/>
      <c r="AQ44" s="584">
        <f t="array" aca="1" ref="AQ44" ca="1">SUM((AQ40:AQ43&lt;&gt;"")*1)</f>
        <v>4</v>
      </c>
      <c r="AR44" s="584"/>
      <c r="AS44" s="447"/>
      <c r="AT44" s="47"/>
      <c r="AU44" s="47"/>
      <c r="AV44" s="738" t="b">
        <f t="shared" ca="1" si="2"/>
        <v>0</v>
      </c>
      <c r="AW44" s="738" t="b">
        <f t="shared" si="8"/>
        <v>0</v>
      </c>
      <c r="AX44" s="738" t="b">
        <f t="shared" si="9"/>
        <v>0</v>
      </c>
      <c r="AY44" s="738" t="b">
        <f t="shared" si="10"/>
        <v>1</v>
      </c>
      <c r="AZ44" s="738" t="b">
        <f t="shared" si="3"/>
        <v>0</v>
      </c>
      <c r="BA44" s="738" t="b">
        <f t="shared" si="4"/>
        <v>0</v>
      </c>
      <c r="BB44" s="738" t="b">
        <f t="shared" si="5"/>
        <v>0</v>
      </c>
    </row>
    <row r="45" spans="1:54" ht="24" customHeight="1" thickBot="1" x14ac:dyDescent="0.45">
      <c r="A45" s="47"/>
      <c r="B45" s="505">
        <f t="array" aca="1" ref="B45" ca="1">ROW(94:94)-SUM(((Planung!$L$6:$L$65="")+(Planung!$N$6:$N$65="")&gt;0)*1)-SUM((($H$12:$H44="")+($J$12:$J44="")&gt;0)*1)</f>
        <v>68</v>
      </c>
      <c r="C45" s="171">
        <f t="array" aca="1" ref="C45" ca="1">IF(Planung!$V$15,"",$C$12+QUOTIENT(($B45-$B$12),Planung!$V$11)*(Planung!$S$7+Planung!$S$9)/1440+SUM($X$12:$X44)/1440)</f>
        <v>0.76388888888888895</v>
      </c>
      <c r="D45" s="173">
        <f ca="1">IF(Planung!$V$15,"",MOD($B45-$B$12,Planung!$V$11)+1)</f>
        <v>4</v>
      </c>
      <c r="E45" s="403" t="s">
        <v>271</v>
      </c>
      <c r="F45" s="404" t="s">
        <v>4</v>
      </c>
      <c r="G45" s="405" t="s">
        <v>272</v>
      </c>
      <c r="H45" s="493" t="str">
        <f t="shared" ca="1" si="0"/>
        <v>Mainz 05</v>
      </c>
      <c r="I45" s="494"/>
      <c r="J45" s="495" t="str">
        <f t="shared" ca="1" si="1"/>
        <v>Borussia Dortmund</v>
      </c>
      <c r="K45" s="410">
        <v>14</v>
      </c>
      <c r="L45" s="411" t="str">
        <f>Sprache!$E$109</f>
        <v xml:space="preserve"> : </v>
      </c>
      <c r="M45" s="654">
        <v>25</v>
      </c>
      <c r="N45" s="815">
        <v>25</v>
      </c>
      <c r="O45" s="669" t="str">
        <f>Sprache!$E$109</f>
        <v xml:space="preserve"> : </v>
      </c>
      <c r="P45" s="654">
        <v>19</v>
      </c>
      <c r="Q45" s="410"/>
      <c r="R45" s="643" t="str">
        <f>Sprache!$E$109</f>
        <v xml:space="preserve"> : </v>
      </c>
      <c r="S45" s="490"/>
      <c r="T45" s="1053">
        <f t="shared" ca="1" si="6"/>
        <v>1</v>
      </c>
      <c r="U45" s="818" t="str">
        <f>Sprache!$E$109</f>
        <v xml:space="preserve"> : </v>
      </c>
      <c r="V45" s="1057">
        <f t="shared" ca="1" si="7"/>
        <v>1</v>
      </c>
      <c r="W45" s="328"/>
      <c r="X45" s="708"/>
      <c r="Y45" s="47"/>
      <c r="Z45" s="996" t="str">
        <f>Sprache!$E$59</f>
        <v>Gruppenerste</v>
      </c>
      <c r="AA45" s="996"/>
      <c r="AB45" s="996"/>
      <c r="AC45" s="996"/>
      <c r="AD45" s="996"/>
      <c r="AE45" s="996"/>
      <c r="AF45" s="804"/>
      <c r="AG45" s="804"/>
      <c r="AH45" s="804"/>
      <c r="AI45" s="804"/>
      <c r="AJ45" s="189"/>
      <c r="AK45" s="189"/>
      <c r="AL45" s="189"/>
      <c r="AM45" s="189"/>
      <c r="AN45" s="189"/>
      <c r="AO45" s="47"/>
      <c r="AP45" s="878" t="str">
        <f>Sprache!$E$59</f>
        <v>Gruppenerste</v>
      </c>
      <c r="AQ45" s="878"/>
      <c r="AR45" s="640"/>
      <c r="AS45" s="447"/>
      <c r="AT45" s="47"/>
      <c r="AU45" s="47"/>
      <c r="AV45" s="738" t="b">
        <f t="shared" ca="1" si="2"/>
        <v>0</v>
      </c>
      <c r="AW45" s="738" t="b">
        <f t="shared" si="8"/>
        <v>0</v>
      </c>
      <c r="AX45" s="738" t="b">
        <f t="shared" si="9"/>
        <v>0</v>
      </c>
      <c r="AY45" s="738" t="b">
        <f t="shared" si="10"/>
        <v>1</v>
      </c>
      <c r="AZ45" s="738" t="b">
        <f t="shared" si="3"/>
        <v>0</v>
      </c>
      <c r="BA45" s="738" t="b">
        <f t="shared" si="4"/>
        <v>0</v>
      </c>
      <c r="BB45" s="738" t="b">
        <f t="shared" si="5"/>
        <v>0</v>
      </c>
    </row>
    <row r="46" spans="1:54" ht="24" customHeight="1" thickTop="1" thickBot="1" x14ac:dyDescent="0.25">
      <c r="A46" s="47"/>
      <c r="B46" s="505">
        <f t="array" aca="1" ref="B46" ca="1">ROW(95:95)-SUM(((Planung!$L$6:$L$65="")+(Planung!$N$6:$N$65="")&gt;0)*1)-SUM((($H$12:$H45="")+($J$12:$J45="")&gt;0)*1)</f>
        <v>69</v>
      </c>
      <c r="C46" s="171">
        <f t="array" aca="1" ref="C46" ca="1">IF(Planung!$V$15,"",$C$12+QUOTIENT(($B46-$B$12),Planung!$V$11)*(Planung!$S$7+Planung!$S$9)/1440+SUM($X$12:$X45)/1440)</f>
        <v>0.78819444444444442</v>
      </c>
      <c r="D46" s="173">
        <f ca="1">IF(Planung!$V$15,"",MOD($B46-$B$12,Planung!$V$11)+1)</f>
        <v>1</v>
      </c>
      <c r="E46" s="403" t="s">
        <v>268</v>
      </c>
      <c r="F46" s="404" t="s">
        <v>4</v>
      </c>
      <c r="G46" s="405" t="s">
        <v>269</v>
      </c>
      <c r="H46" s="493" t="str">
        <f t="shared" ca="1" si="0"/>
        <v>Manchester City</v>
      </c>
      <c r="I46" s="494"/>
      <c r="J46" s="495" t="str">
        <f t="shared" ca="1" si="1"/>
        <v>Kickers Rodendorf</v>
      </c>
      <c r="K46" s="410">
        <v>25</v>
      </c>
      <c r="L46" s="411" t="str">
        <f>Sprache!$E$109</f>
        <v xml:space="preserve"> : </v>
      </c>
      <c r="M46" s="654">
        <v>21</v>
      </c>
      <c r="N46" s="815">
        <v>25</v>
      </c>
      <c r="O46" s="669" t="str">
        <f>Sprache!$E$109</f>
        <v xml:space="preserve"> : </v>
      </c>
      <c r="P46" s="654">
        <v>20</v>
      </c>
      <c r="Q46" s="410"/>
      <c r="R46" s="643" t="str">
        <f>Sprache!$E$109</f>
        <v xml:space="preserve"> : </v>
      </c>
      <c r="S46" s="490"/>
      <c r="T46" s="1053">
        <f t="shared" ca="1" si="6"/>
        <v>2</v>
      </c>
      <c r="U46" s="818" t="str">
        <f>Sprache!$E$109</f>
        <v xml:space="preserve"> : </v>
      </c>
      <c r="V46" s="1057">
        <f t="shared" ca="1" si="7"/>
        <v>0</v>
      </c>
      <c r="W46" s="328"/>
      <c r="X46" s="727"/>
      <c r="Y46" s="47"/>
      <c r="Z46" s="992"/>
      <c r="AA46" s="993"/>
      <c r="AB46" s="794" t="str">
        <f>Sprache!$E$21</f>
        <v>SP</v>
      </c>
      <c r="AC46" s="192" t="str">
        <f>Sprache!$E$22</f>
        <v>G</v>
      </c>
      <c r="AD46" s="192" t="str">
        <f>Sprache!$E$23</f>
        <v>U</v>
      </c>
      <c r="AE46" s="792" t="str">
        <f>Sprache!$E$24</f>
        <v>V</v>
      </c>
      <c r="AF46" s="884" t="str">
        <f>Sprache!$E$25</f>
        <v>Sätze</v>
      </c>
      <c r="AG46" s="885"/>
      <c r="AH46" s="886"/>
      <c r="AI46" s="793" t="str">
        <f>Sprache!$E$26</f>
        <v>Diff.</v>
      </c>
      <c r="AJ46" s="884" t="str">
        <f>Sprache!$E$74</f>
        <v>Bälle</v>
      </c>
      <c r="AK46" s="885"/>
      <c r="AL46" s="886"/>
      <c r="AM46" s="192" t="str">
        <f>IF(Einstellungen!$G$24,Sprache!$E$26,Sprache!$E$80)</f>
        <v>Diff.</v>
      </c>
      <c r="AN46" s="194" t="str">
        <f>Sprache!$E$27</f>
        <v>Pkt</v>
      </c>
      <c r="AO46" s="47"/>
      <c r="AP46" s="420"/>
      <c r="AQ46" s="449" t="str">
        <f>Sprache!$E$10</f>
        <v>Teilnehmer bzw. Mannschaft</v>
      </c>
      <c r="AR46" s="659"/>
      <c r="AS46" s="660"/>
      <c r="AT46" s="47"/>
      <c r="AU46" s="47"/>
      <c r="AV46" s="738" t="b">
        <f t="shared" ca="1" si="2"/>
        <v>0</v>
      </c>
      <c r="AW46" s="738" t="b">
        <f t="shared" si="8"/>
        <v>0</v>
      </c>
      <c r="AX46" s="738" t="b">
        <f t="shared" si="9"/>
        <v>0</v>
      </c>
      <c r="AY46" s="738" t="b">
        <f t="shared" si="10"/>
        <v>1</v>
      </c>
      <c r="AZ46" s="738" t="b">
        <f t="shared" si="3"/>
        <v>0</v>
      </c>
      <c r="BA46" s="738" t="b">
        <f t="shared" si="4"/>
        <v>0</v>
      </c>
      <c r="BB46" s="738" t="b">
        <f t="shared" si="5"/>
        <v>0</v>
      </c>
    </row>
    <row r="47" spans="1:54" ht="24" customHeight="1" thickBot="1" x14ac:dyDescent="0.3">
      <c r="A47" s="47"/>
      <c r="B47" s="506">
        <f t="array" aca="1" ref="B47" ca="1">ROW(96:96)-SUM(((Planung!$L$6:$L$65="")+(Planung!$N$6:$N$65="")&gt;0)*1)-SUM((($H$12:$H46="")+($J$12:$J46="")&gt;0)*1)</f>
        <v>70</v>
      </c>
      <c r="C47" s="174">
        <f t="array" aca="1" ref="C47" ca="1">IF(Planung!$V$15,"",$C$12+QUOTIENT(($B47-$B$12),Planung!$V$11)*(Planung!$S$7+Planung!$S$9)/1440+SUM($X$12:$X46)/1440)</f>
        <v>0.78819444444444442</v>
      </c>
      <c r="D47" s="175">
        <f ca="1">IF(Planung!$V$15,"",MOD($B47-$B$12,Planung!$V$11)+1)</f>
        <v>2</v>
      </c>
      <c r="E47" s="406" t="s">
        <v>265</v>
      </c>
      <c r="F47" s="808" t="s">
        <v>4</v>
      </c>
      <c r="G47" s="408" t="s">
        <v>266</v>
      </c>
      <c r="H47" s="484" t="str">
        <f t="shared" ca="1" si="0"/>
        <v>Inter Mailand</v>
      </c>
      <c r="I47" s="485"/>
      <c r="J47" s="496" t="str">
        <f t="shared" ca="1" si="1"/>
        <v>Real Madrid</v>
      </c>
      <c r="K47" s="412">
        <v>25</v>
      </c>
      <c r="L47" s="352" t="str">
        <f>Sprache!$E$109</f>
        <v xml:space="preserve"> : </v>
      </c>
      <c r="M47" s="726">
        <v>19</v>
      </c>
      <c r="N47" s="816">
        <v>25</v>
      </c>
      <c r="O47" s="670" t="str">
        <f>Sprache!$E$109</f>
        <v xml:space="preserve"> : </v>
      </c>
      <c r="P47" s="726">
        <v>21</v>
      </c>
      <c r="Q47" s="412"/>
      <c r="R47" s="644" t="str">
        <f>Sprache!$E$109</f>
        <v xml:space="preserve"> : </v>
      </c>
      <c r="S47" s="491"/>
      <c r="T47" s="1054">
        <f t="shared" ca="1" si="6"/>
        <v>2</v>
      </c>
      <c r="U47" s="819" t="str">
        <f>Sprache!$E$109</f>
        <v xml:space="preserve"> : </v>
      </c>
      <c r="V47" s="1058">
        <f t="shared" ca="1" si="7"/>
        <v>0</v>
      </c>
      <c r="W47" s="353"/>
      <c r="X47" s="728"/>
      <c r="Y47" s="47"/>
      <c r="Z47" s="573">
        <f ca="1">IF(CalcE1!$K$13=0,"",1)</f>
        <v>1</v>
      </c>
      <c r="AA47" s="363" t="str">
        <f ca="1">IF(Calc1!$F$14&lt;3,"",IF(CalcE1!$K$13=0,CalcE1!$C$62,VLOOKUP(CalcE1!$B$4,CalcE1!$C$4:$N$12,4,0)))</f>
        <v>Eintracht Frankfurt</v>
      </c>
      <c r="AB47" s="571">
        <f ca="1">IF(CalcE1!$K$13=0,"",VLOOKUP(CalcE1!$B$4,CalcE1!$C$4:$N$12,9,0))</f>
        <v>3</v>
      </c>
      <c r="AC47" s="198">
        <f ca="1">IF(CalcE1!$K$13=0,"",VLOOKUP(CalcE1!$B$4,CalcE1!$C$4:$N$12,10,0))</f>
        <v>2</v>
      </c>
      <c r="AD47" s="198">
        <f ca="1">IF(CalcE1!$K$13=0,"",VLOOKUP(CalcE1!$B$4,CalcE1!$C$4:$N$12,11,0))</f>
        <v>1</v>
      </c>
      <c r="AE47" s="198">
        <f ca="1">IF(CalcE1!$K$13=0,"",VLOOKUP(CalcE1!$B$4,CalcE1!$C$4:$N$12,12,0))</f>
        <v>0</v>
      </c>
      <c r="AF47" s="200">
        <f ca="1">IF(CalcE1!$K$13=0,"",VLOOKUP(CalcE1!$B$4,CalcE1!$C$4:$S$12,15,0))</f>
        <v>5</v>
      </c>
      <c r="AG47" s="805" t="str">
        <f>Sprache!$E$109</f>
        <v xml:space="preserve"> : </v>
      </c>
      <c r="AH47" s="202">
        <f ca="1">IF(CalcE1!$K$13=0,"",VLOOKUP(CalcE1!$B$4,CalcE1!$C$4:$S$12,14,0))</f>
        <v>1</v>
      </c>
      <c r="AI47" s="198">
        <f ca="1">IF(CalcE1!$K$13=0,"",VLOOKUP(CalcE1!$B$4,CalcE1!$C$4:$S$12,16,0))</f>
        <v>4</v>
      </c>
      <c r="AJ47" s="200">
        <f ca="1">IF(CalcE1!$K$13=0,"",VLOOKUP(CalcE1!$B$4,CalcE1!$C$4:$N$12,5,0))</f>
        <v>147</v>
      </c>
      <c r="AK47" s="805" t="str">
        <f>Sprache!$E$109</f>
        <v xml:space="preserve"> : </v>
      </c>
      <c r="AL47" s="202">
        <f ca="1">IF(CalcE1!$K$13=0,"",VLOOKUP(CalcE1!$B$4,CalcE1!$C$4:$N$12,6,0))</f>
        <v>104</v>
      </c>
      <c r="AM47" s="198">
        <f ca="1">IF(CalcE1!$K$13=0,"",IF(VLOOKUP(CalcE1!$B$4,CalcE1!$C$4:$S$12,17,0)=Einstellungen!$F$24,"max",VLOOKUP(CalcE1!$B$4,CalcE1!$C$4:$S$12,17,0)))</f>
        <v>43</v>
      </c>
      <c r="AN47" s="203">
        <f ca="1">IF(CalcE1!$K$13=0,"",VLOOKUP(CalcE1!$B$4,CalcE1!$C$4:$S$12,Einstellungen!$I$9,0))</f>
        <v>5</v>
      </c>
      <c r="AO47" s="47"/>
      <c r="AP47" s="791" t="s">
        <v>264</v>
      </c>
      <c r="AQ47" s="450" t="str">
        <f ca="1">IF(Vorrunde!$X$12="","",Vorrunde!$X$12)</f>
        <v>Eintracht Frankfurt</v>
      </c>
      <c r="AR47" s="661"/>
      <c r="AS47" s="824"/>
      <c r="AT47" s="47"/>
      <c r="AU47" s="47"/>
      <c r="AV47" s="738" t="b">
        <f t="shared" ca="1" si="2"/>
        <v>0</v>
      </c>
      <c r="AW47" s="738" t="b">
        <f t="shared" si="8"/>
        <v>0</v>
      </c>
      <c r="AX47" s="738" t="b">
        <f t="shared" si="9"/>
        <v>0</v>
      </c>
      <c r="AY47" s="738" t="b">
        <f t="shared" si="10"/>
        <v>1</v>
      </c>
      <c r="AZ47" s="738" t="b">
        <f t="shared" si="3"/>
        <v>0</v>
      </c>
      <c r="BA47" s="738" t="b">
        <f t="shared" si="4"/>
        <v>0</v>
      </c>
      <c r="BB47" s="738" t="b">
        <f t="shared" si="5"/>
        <v>0</v>
      </c>
    </row>
    <row r="48" spans="1:54" ht="24" customHeight="1" thickTop="1" x14ac:dyDescent="0.2">
      <c r="A48" s="47"/>
      <c r="B48" s="394"/>
      <c r="C48" s="394"/>
      <c r="D48" s="394"/>
      <c r="E48" s="394"/>
      <c r="F48" s="394"/>
      <c r="G48" s="394"/>
      <c r="H48" s="501"/>
      <c r="I48" s="459"/>
      <c r="J48" s="501"/>
      <c r="K48" s="394"/>
      <c r="L48" s="394"/>
      <c r="M48" s="394"/>
      <c r="N48" s="394"/>
      <c r="O48" s="394"/>
      <c r="P48" s="394"/>
      <c r="Q48" s="394"/>
      <c r="R48" s="394"/>
      <c r="S48" s="394"/>
      <c r="T48" s="394"/>
      <c r="U48" s="394"/>
      <c r="V48" s="394"/>
      <c r="W48" s="394"/>
      <c r="X48" s="394"/>
      <c r="Y48" s="47"/>
      <c r="Z48" s="574">
        <f ca="1">IF(CalcE1!$K$13=0,"",IF(VLOOKUP(CalcE1!$B$5,CalcE1!$C$4:$E$12,3,0)=MAX($Z47:$Z47),VLOOKUP(CalcE1!$B$5,CalcE1!$C$4:$E$12,3,0),CalcE1!$B$5))</f>
        <v>2</v>
      </c>
      <c r="AA48" s="365" t="str">
        <f ca="1">IF(Calc1!$F$14&lt;3,"",IF(CalcE1!$K$13=0,CalcE1!$C63,VLOOKUP(CalcE1!$B5,CalcE1!$C$4:$N$12,4,0)))</f>
        <v>Inter Mailand</v>
      </c>
      <c r="AB48" s="213">
        <f ca="1">IF(CalcE1!$K$13=0,"",VLOOKUP(CalcE1!$B$5,CalcE1!$C$4:$N$12,9,0))</f>
        <v>3</v>
      </c>
      <c r="AC48" s="188">
        <f ca="1">IF(CalcE1!$K$13=0,"",VLOOKUP(CalcE1!$B$5,CalcE1!$C$4:$N$12,10,0))</f>
        <v>1</v>
      </c>
      <c r="AD48" s="188">
        <f ca="1">IF(CalcE1!$K$13=0,"",VLOOKUP(CalcE1!$B$5,CalcE1!$C$4:$N$12,11,0))</f>
        <v>1</v>
      </c>
      <c r="AE48" s="188">
        <f ca="1">IF(CalcE1!$K$13=0,"",VLOOKUP(CalcE1!$B$5,CalcE1!$C$4:$N$12,12,0))</f>
        <v>1</v>
      </c>
      <c r="AF48" s="209">
        <f ca="1">IF(CalcE1!$K$13=0,"",VLOOKUP(CalcE1!$B$5,CalcE1!$C$4:$S$12,15,0))</f>
        <v>3</v>
      </c>
      <c r="AG48" s="806" t="str">
        <f>Sprache!$E$109</f>
        <v xml:space="preserve"> : </v>
      </c>
      <c r="AH48" s="211">
        <f ca="1">IF(CalcE1!$K$13=0,"",VLOOKUP(CalcE1!$B$5,CalcE1!$C$4:$S$12,14,0))</f>
        <v>3</v>
      </c>
      <c r="AI48" s="188">
        <f ca="1">IF(CalcE1!$K$13=0,"",VLOOKUP(CalcE1!$B$5,CalcE1!$C$4:$S$12,16,0))</f>
        <v>0</v>
      </c>
      <c r="AJ48" s="209">
        <f ca="1">IF(CalcE1!$K$13=0,"",VLOOKUP(CalcE1!$B$5,CalcE1!$C$4:$N$12,5,0))</f>
        <v>134</v>
      </c>
      <c r="AK48" s="806" t="str">
        <f>Sprache!$E$109</f>
        <v xml:space="preserve"> : </v>
      </c>
      <c r="AL48" s="211">
        <f ca="1">IF(CalcE1!$K$13=0,"",VLOOKUP(CalcE1!$B$5,CalcE1!$C$4:$N$12,6,0))</f>
        <v>129</v>
      </c>
      <c r="AM48" s="188">
        <f ca="1">IF(CalcE1!$K$13=0,"",IF(VLOOKUP(CalcE1!$B$5,CalcE1!$C$4:$S$12,17,0)=Einstellungen!$F$24,"max",VLOOKUP(CalcE1!$B$5,CalcE1!$C$4:$S$12,17,0)))</f>
        <v>5</v>
      </c>
      <c r="AN48" s="212">
        <f ca="1">IF(CalcE1!$K$13=0,"",VLOOKUP(CalcE1!$B$5,CalcE1!$C$4:$S$12,Einstellungen!$I$9,0))</f>
        <v>3</v>
      </c>
      <c r="AO48" s="47"/>
      <c r="AP48" s="419" t="s">
        <v>265</v>
      </c>
      <c r="AQ48" s="451" t="str">
        <f ca="1">IF(Vorrunde!$X$22="","",Vorrunde!$X$22)</f>
        <v>Inter Mailand</v>
      </c>
      <c r="AR48" s="661"/>
      <c r="AS48" s="825"/>
      <c r="AT48" s="47"/>
      <c r="AU48" s="47"/>
    </row>
    <row r="49" spans="1:47" ht="24" customHeight="1" x14ac:dyDescent="0.25">
      <c r="A49" s="47"/>
      <c r="B49" s="569"/>
      <c r="C49" s="569"/>
      <c r="D49" s="569"/>
      <c r="E49" s="569"/>
      <c r="F49" s="569"/>
      <c r="G49" s="569"/>
      <c r="H49" s="567"/>
      <c r="I49" s="568"/>
      <c r="J49" s="567"/>
      <c r="K49" s="570"/>
      <c r="L49" s="570"/>
      <c r="M49" s="570"/>
      <c r="N49" s="570"/>
      <c r="O49" s="570"/>
      <c r="P49" s="570"/>
      <c r="Q49" s="570"/>
      <c r="R49" s="570"/>
      <c r="S49" s="570"/>
      <c r="T49" s="570"/>
      <c r="U49" s="570"/>
      <c r="V49" s="570"/>
      <c r="W49" s="570"/>
      <c r="X49" s="462"/>
      <c r="Y49" s="47"/>
      <c r="Z49" s="574">
        <f ca="1">IF(CalcE1!$K$13=0,"",IF(VLOOKUP(CalcE1!$B$6,CalcE1!$C$4:$E$12,3,0)=MAX($Z47:$Z48),VLOOKUP(CalcE1!$B$6,CalcE1!$C$4:$E$12,3,0),CalcE1!$B$6))</f>
        <v>3</v>
      </c>
      <c r="AA49" s="365" t="str">
        <f ca="1">IF(Calc1!$F$14&lt;3,"",IF(CalcE1!$K$13=0,CalcE1!$C64,VLOOKUP(CalcE1!$B6,CalcE1!$C$4:$N$12,4,0)))</f>
        <v>TSG Saalberg eV</v>
      </c>
      <c r="AB49" s="213">
        <f ca="1">IF(CalcE1!$K$13=0,"",VLOOKUP(CalcE1!$B$6,CalcE1!$C$4:$N$12,9,0))</f>
        <v>3</v>
      </c>
      <c r="AC49" s="188">
        <f ca="1">IF(CalcE1!$K$13=0,"",VLOOKUP(CalcE1!$B$6,CalcE1!$C$4:$N$12,10,0))</f>
        <v>0</v>
      </c>
      <c r="AD49" s="188">
        <f ca="1">IF(CalcE1!$K$13=0,"",VLOOKUP(CalcE1!$B$6,CalcE1!$C$4:$N$12,11,0))</f>
        <v>3</v>
      </c>
      <c r="AE49" s="188">
        <f ca="1">IF(CalcE1!$K$13=0,"",VLOOKUP(CalcE1!$B$6,CalcE1!$C$4:$N$12,12,0))</f>
        <v>0</v>
      </c>
      <c r="AF49" s="209">
        <f ca="1">IF(CalcE1!$K$13=0,"",VLOOKUP(CalcE1!$B$6,CalcE1!$C$4:$S$12,15,0))</f>
        <v>3</v>
      </c>
      <c r="AG49" s="806" t="str">
        <f>Sprache!$E$109</f>
        <v xml:space="preserve"> : </v>
      </c>
      <c r="AH49" s="211">
        <f ca="1">IF(CalcE1!$K$13=0,"",VLOOKUP(CalcE1!$B$6,CalcE1!$C$4:$S$12,14,0))</f>
        <v>3</v>
      </c>
      <c r="AI49" s="188">
        <f ca="1">IF(CalcE1!$K$13=0,"",VLOOKUP(CalcE1!$B$6,CalcE1!$C$4:$S$12,16,0))</f>
        <v>0</v>
      </c>
      <c r="AJ49" s="209">
        <f ca="1">IF(CalcE1!$K$13=0,"",VLOOKUP(CalcE1!$B$6,CalcE1!$C$4:$N$12,5,0))</f>
        <v>121</v>
      </c>
      <c r="AK49" s="806" t="str">
        <f>Sprache!$E$109</f>
        <v xml:space="preserve"> : </v>
      </c>
      <c r="AL49" s="211">
        <f ca="1">IF(CalcE1!$K$13=0,"",VLOOKUP(CalcE1!$B$6,CalcE1!$C$4:$N$12,6,0))</f>
        <v>139</v>
      </c>
      <c r="AM49" s="188">
        <f ca="1">IF(CalcE1!$K$13=0,"",IF(VLOOKUP(CalcE1!$B$6,CalcE1!$C$4:$S$12,17,0)=Einstellungen!$F$24,"max",VLOOKUP(CalcE1!$B$6,CalcE1!$C$4:$S$12,17,0)))</f>
        <v>-18</v>
      </c>
      <c r="AN49" s="212">
        <f ca="1">IF(CalcE1!$K$13=0,"",VLOOKUP(CalcE1!$B$6,CalcE1!$C$4:$S$12,Einstellungen!$I$9,0))</f>
        <v>3</v>
      </c>
      <c r="AO49" s="47"/>
      <c r="AP49" s="790" t="s">
        <v>266</v>
      </c>
      <c r="AQ49" s="451" t="str">
        <f ca="1">IF(Vorrunde!$X$32="","",Vorrunde!$X$32)</f>
        <v>Real Madrid</v>
      </c>
      <c r="AR49" s="661"/>
      <c r="AS49" s="825"/>
      <c r="AT49" s="47"/>
      <c r="AU49" s="47"/>
    </row>
    <row r="50" spans="1:47" ht="24" customHeight="1" thickBot="1" x14ac:dyDescent="0.25">
      <c r="A50" s="47"/>
      <c r="B50" s="994" t="str">
        <f>Sprache!$E$29</f>
        <v>Turnierende:</v>
      </c>
      <c r="C50" s="994"/>
      <c r="D50" s="994"/>
      <c r="E50" s="994"/>
      <c r="F50" s="994"/>
      <c r="G50" s="994"/>
      <c r="H50" s="994"/>
      <c r="I50" s="995">
        <f ca="1">IF(Planung!$S$13="","",$C$47+Planung!$S$7/1440)</f>
        <v>0.80902777777777779</v>
      </c>
      <c r="J50" s="995"/>
      <c r="K50" s="995"/>
      <c r="L50" s="995"/>
      <c r="M50" s="995"/>
      <c r="N50" s="995"/>
      <c r="O50" s="995"/>
      <c r="P50" s="995"/>
      <c r="Q50" s="995"/>
      <c r="R50" s="995"/>
      <c r="S50" s="995"/>
      <c r="T50" s="995"/>
      <c r="U50" s="995"/>
      <c r="V50" s="995"/>
      <c r="W50" s="995"/>
      <c r="X50" s="995"/>
      <c r="Y50" s="47"/>
      <c r="Z50" s="575">
        <f ca="1">IF(CalcE1!$K$13=0,"",IF(VLOOKUP(CalcE1!$B$7,CalcE1!$C$4:$E$12,3,0)=MAX($Z47:$Z49),VLOOKUP(CalcE1!$B$7,CalcE1!$C$4:$E$12,3,0),CalcE1!$B$7))</f>
        <v>4</v>
      </c>
      <c r="AA50" s="367" t="str">
        <f ca="1">IF(Calc1!$F$14&lt;3,"",IF(CalcE1!$K$13=0,CalcE1!$C65,VLOOKUP(CalcE1!$B7,CalcE1!$C$4:$N$12,4,0)))</f>
        <v>Real Madrid</v>
      </c>
      <c r="AB50" s="224">
        <f ca="1">IF(CalcE1!$K$13=0,"",VLOOKUP(CalcE1!$B$7,CalcE1!$C$4:$N$12,9,0))</f>
        <v>3</v>
      </c>
      <c r="AC50" s="218">
        <f ca="1">IF(CalcE1!$K$13=0,"",VLOOKUP(CalcE1!$B$7,CalcE1!$C$4:$N$12,10,0))</f>
        <v>0</v>
      </c>
      <c r="AD50" s="218">
        <f ca="1">IF(CalcE1!$K$13=0,"",VLOOKUP(CalcE1!$B$7,CalcE1!$C$4:$N$12,11,0))</f>
        <v>1</v>
      </c>
      <c r="AE50" s="218">
        <f ca="1">IF(CalcE1!$K$13=0,"",VLOOKUP(CalcE1!$B$7,CalcE1!$C$4:$N$12,12,0))</f>
        <v>2</v>
      </c>
      <c r="AF50" s="220">
        <f ca="1">IF(CalcE1!$K$13=0,"",VLOOKUP(CalcE1!$B$7,CalcE1!$C$4:$S$12,15,0))</f>
        <v>1</v>
      </c>
      <c r="AG50" s="807" t="str">
        <f>Sprache!$E$109</f>
        <v xml:space="preserve"> : </v>
      </c>
      <c r="AH50" s="222">
        <f ca="1">IF(CalcE1!$K$13=0,"",VLOOKUP(CalcE1!$B$7,CalcE1!$C$4:$S$12,14,0))</f>
        <v>5</v>
      </c>
      <c r="AI50" s="218">
        <f ca="1">IF(CalcE1!$K$13=0,"",VLOOKUP(CalcE1!$B$7,CalcE1!$C$4:$S$12,16,0))</f>
        <v>-4</v>
      </c>
      <c r="AJ50" s="220">
        <f ca="1">IF(CalcE1!$K$13=0,"",VLOOKUP(CalcE1!$B$7,CalcE1!$C$4:$N$12,5,0))</f>
        <v>113</v>
      </c>
      <c r="AK50" s="807" t="str">
        <f>Sprache!$E$109</f>
        <v xml:space="preserve"> : </v>
      </c>
      <c r="AL50" s="222">
        <f ca="1">IF(CalcE1!$K$13=0,"",VLOOKUP(CalcE1!$B$7,CalcE1!$C$4:$N$12,6,0))</f>
        <v>143</v>
      </c>
      <c r="AM50" s="218">
        <f ca="1">IF(CalcE1!$K$13=0,"",IF(VLOOKUP(CalcE1!$B$7,CalcE1!$C$4:$S$12,17,0)=Einstellungen!$F$24,"max",VLOOKUP(CalcE1!$B$7,CalcE1!$C$4:$S$12,17,0)))</f>
        <v>-30</v>
      </c>
      <c r="AN50" s="223">
        <f ca="1">IF(CalcE1!$K$13=0,"",VLOOKUP(CalcE1!$B$7,CalcE1!$C$4:$S$12,Einstellungen!$I$9,0))</f>
        <v>1</v>
      </c>
      <c r="AO50" s="47"/>
      <c r="AP50" s="393" t="s">
        <v>320</v>
      </c>
      <c r="AQ50" s="452" t="str">
        <f ca="1">IF(Vorrunde!$X$42="","",Vorrunde!$X$42)</f>
        <v>TSG Saalberg eV</v>
      </c>
      <c r="AR50" s="661"/>
      <c r="AS50" s="826"/>
      <c r="AT50" s="47"/>
      <c r="AU50" s="47"/>
    </row>
    <row r="51" spans="1:47" ht="24" customHeight="1" thickTop="1" thickBot="1" x14ac:dyDescent="0.25">
      <c r="A51" s="47"/>
      <c r="B51" s="47"/>
      <c r="C51" s="47"/>
      <c r="D51" s="47"/>
      <c r="E51" s="47"/>
      <c r="F51" s="47"/>
      <c r="G51" s="47"/>
      <c r="H51" s="47"/>
      <c r="I51" s="47"/>
      <c r="J51" s="47"/>
      <c r="K51" s="518"/>
      <c r="L51" s="518"/>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394"/>
      <c r="AS51" s="270"/>
      <c r="AT51" s="47"/>
      <c r="AU51" s="47"/>
    </row>
    <row r="52" spans="1:47" ht="24" customHeight="1" thickBot="1" x14ac:dyDescent="0.25">
      <c r="A52" s="47"/>
      <c r="B52" s="47"/>
      <c r="C52" s="47"/>
      <c r="D52" s="47"/>
      <c r="E52" s="579"/>
      <c r="F52" s="580"/>
      <c r="G52" s="798" t="str">
        <f>Sprache!$E$117</f>
        <v>Rang</v>
      </c>
      <c r="H52" s="802" t="str">
        <f>Sprache!$E$10</f>
        <v>Teilnehmer bzw. Mannschaft</v>
      </c>
      <c r="I52" s="802"/>
      <c r="J52" s="803"/>
      <c r="K52" s="530"/>
      <c r="L52" s="530"/>
      <c r="M52" s="167"/>
      <c r="N52" s="167"/>
      <c r="O52" s="167"/>
      <c r="P52" s="167"/>
      <c r="Q52" s="167"/>
      <c r="R52" s="167"/>
      <c r="S52" s="167"/>
      <c r="T52" s="167"/>
      <c r="U52" s="167"/>
      <c r="V52" s="167"/>
      <c r="W52" s="167"/>
      <c r="X52" s="167"/>
      <c r="Y52" s="47"/>
      <c r="Z52" s="47"/>
      <c r="AA52" s="47"/>
      <c r="AB52" s="47"/>
      <c r="AC52" s="47"/>
      <c r="AD52" s="47"/>
      <c r="AE52" s="47"/>
      <c r="AF52" s="47"/>
      <c r="AG52" s="47"/>
      <c r="AH52" s="47"/>
      <c r="AI52" s="47"/>
      <c r="AJ52" s="47"/>
      <c r="AK52" s="47"/>
      <c r="AL52" s="47"/>
      <c r="AM52" s="47"/>
      <c r="AN52" s="47"/>
      <c r="AO52" s="47"/>
      <c r="AP52" s="47"/>
      <c r="AQ52" s="47" t="s">
        <v>154</v>
      </c>
      <c r="AR52" s="394"/>
      <c r="AS52" s="270"/>
      <c r="AT52" s="47"/>
      <c r="AU52" s="47"/>
    </row>
    <row r="53" spans="1:47" ht="24" customHeight="1" thickTop="1" x14ac:dyDescent="0.2">
      <c r="A53" s="47"/>
      <c r="B53" s="47"/>
      <c r="C53" s="47"/>
      <c r="D53" s="47"/>
      <c r="E53" s="581"/>
      <c r="F53" s="581"/>
      <c r="G53" s="799">
        <v>1</v>
      </c>
      <c r="H53" s="957" t="str">
        <f ca="1">IF(CalcE1!$K$13=0,"",$AA$47)</f>
        <v>Eintracht Frankfurt</v>
      </c>
      <c r="I53" s="957"/>
      <c r="J53" s="958"/>
      <c r="K53" s="530"/>
      <c r="L53" s="530"/>
      <c r="M53" s="167"/>
      <c r="N53" s="167"/>
      <c r="O53" s="167"/>
      <c r="P53" s="167"/>
      <c r="Q53" s="167"/>
      <c r="R53" s="167"/>
      <c r="S53" s="167"/>
      <c r="T53" s="167"/>
      <c r="U53" s="167"/>
      <c r="V53" s="167"/>
      <c r="W53" s="167"/>
      <c r="X53" s="167"/>
      <c r="Y53" s="47"/>
      <c r="Z53" s="47"/>
      <c r="AA53" s="47"/>
      <c r="AB53" s="47"/>
      <c r="AC53" s="47"/>
      <c r="AD53" s="47"/>
      <c r="AE53" s="47"/>
      <c r="AF53" s="47"/>
      <c r="AG53" s="47"/>
      <c r="AH53" s="47"/>
      <c r="AI53" s="47"/>
      <c r="AJ53" s="47"/>
      <c r="AK53" s="47"/>
      <c r="AL53" s="47"/>
      <c r="AM53" s="47"/>
      <c r="AN53" s="47"/>
      <c r="AO53" s="47"/>
      <c r="AP53" s="47"/>
      <c r="AQ53" s="47"/>
      <c r="AR53" s="47"/>
      <c r="AS53" s="446"/>
      <c r="AT53" s="47"/>
      <c r="AU53" s="47"/>
    </row>
    <row r="54" spans="1:47" ht="24" customHeight="1" x14ac:dyDescent="0.2">
      <c r="A54" s="47"/>
      <c r="B54" s="47"/>
      <c r="C54" s="47"/>
      <c r="D54" s="47"/>
      <c r="E54" s="581"/>
      <c r="F54" s="581"/>
      <c r="G54" s="800">
        <v>2</v>
      </c>
      <c r="H54" s="959" t="str">
        <f ca="1">IF(CalcE1!$K$13=0,"",$AA$48)</f>
        <v>Inter Mailand</v>
      </c>
      <c r="I54" s="959"/>
      <c r="J54" s="960"/>
      <c r="K54" s="530"/>
      <c r="L54" s="530"/>
      <c r="M54" s="167"/>
      <c r="N54" s="167"/>
      <c r="O54" s="167"/>
      <c r="P54" s="167"/>
      <c r="Q54" s="167"/>
      <c r="R54" s="167"/>
      <c r="S54" s="167"/>
      <c r="T54" s="167"/>
      <c r="U54" s="167"/>
      <c r="V54" s="167"/>
      <c r="W54" s="167"/>
      <c r="X54" s="167"/>
      <c r="Y54" s="47"/>
      <c r="Z54" s="47"/>
      <c r="AA54" s="47"/>
      <c r="AB54" s="47"/>
      <c r="AC54" s="47"/>
      <c r="AD54" s="47"/>
      <c r="AE54" s="47"/>
      <c r="AF54" s="47"/>
      <c r="AG54" s="47"/>
      <c r="AH54" s="47"/>
      <c r="AI54" s="47"/>
      <c r="AJ54" s="47"/>
      <c r="AK54" s="47"/>
      <c r="AL54" s="47"/>
      <c r="AM54" s="47"/>
      <c r="AN54" s="47"/>
      <c r="AO54" s="47"/>
      <c r="AP54" s="47"/>
      <c r="AQ54" s="47"/>
      <c r="AR54" s="47"/>
      <c r="AS54" s="446"/>
      <c r="AT54" s="47"/>
      <c r="AU54" s="47"/>
    </row>
    <row r="55" spans="1:47" ht="24" customHeight="1" x14ac:dyDescent="0.2">
      <c r="A55" s="47"/>
      <c r="B55" s="47"/>
      <c r="C55" s="47"/>
      <c r="D55" s="47"/>
      <c r="E55" s="581"/>
      <c r="F55" s="581"/>
      <c r="G55" s="801">
        <v>3</v>
      </c>
      <c r="H55" s="961" t="str">
        <f ca="1">IF(CalcE1!$K$13=0,"",$AA$49)</f>
        <v>TSG Saalberg eV</v>
      </c>
      <c r="I55" s="961"/>
      <c r="J55" s="962"/>
      <c r="K55" s="530"/>
      <c r="L55" s="530"/>
      <c r="M55" s="167"/>
      <c r="N55" s="167"/>
      <c r="O55" s="167"/>
      <c r="P55" s="167"/>
      <c r="Q55" s="167"/>
      <c r="R55" s="167"/>
      <c r="S55" s="167"/>
      <c r="T55" s="167"/>
      <c r="U55" s="167"/>
      <c r="V55" s="167"/>
      <c r="W55" s="167"/>
      <c r="X55" s="167"/>
      <c r="Y55" s="47"/>
      <c r="Z55" s="47"/>
      <c r="AA55" s="47"/>
      <c r="AB55" s="47"/>
      <c r="AC55" s="47"/>
      <c r="AD55" s="47"/>
      <c r="AE55" s="47"/>
      <c r="AF55" s="47"/>
      <c r="AG55" s="47"/>
      <c r="AH55" s="47"/>
      <c r="AI55" s="47"/>
      <c r="AJ55" s="47"/>
      <c r="AK55" s="47"/>
      <c r="AL55" s="47"/>
      <c r="AM55" s="47"/>
      <c r="AN55" s="47"/>
      <c r="AO55" s="47"/>
      <c r="AP55" s="47"/>
      <c r="AQ55" s="47"/>
      <c r="AR55" s="47"/>
      <c r="AS55" s="446"/>
      <c r="AT55" s="47"/>
      <c r="AU55" s="47"/>
    </row>
    <row r="56" spans="1:47" ht="24" customHeight="1" x14ac:dyDescent="0.2">
      <c r="A56" s="47"/>
      <c r="B56" s="47"/>
      <c r="C56" s="47"/>
      <c r="D56" s="47"/>
      <c r="E56" s="581"/>
      <c r="F56" s="581"/>
      <c r="G56" s="796">
        <v>4</v>
      </c>
      <c r="H56" s="937" t="str">
        <f ca="1">IF(CalcE1!$K$13=0,"",$AA$50)</f>
        <v>Real Madrid</v>
      </c>
      <c r="I56" s="937"/>
      <c r="J56" s="938"/>
      <c r="K56" s="530"/>
      <c r="L56" s="530"/>
      <c r="M56" s="167"/>
      <c r="N56" s="167"/>
      <c r="O56" s="167"/>
      <c r="P56" s="167"/>
      <c r="Q56" s="167"/>
      <c r="R56" s="167"/>
      <c r="S56" s="167"/>
      <c r="T56" s="167"/>
      <c r="U56" s="167"/>
      <c r="V56" s="167"/>
      <c r="W56" s="167"/>
      <c r="X56" s="167"/>
      <c r="Y56" s="47"/>
      <c r="Z56" s="47"/>
      <c r="AA56" s="47"/>
      <c r="AB56" s="47"/>
      <c r="AC56" s="47"/>
      <c r="AD56" s="47"/>
      <c r="AE56" s="47"/>
      <c r="AF56" s="47"/>
      <c r="AG56" s="47"/>
      <c r="AH56" s="47"/>
      <c r="AI56" s="47"/>
      <c r="AJ56" s="47"/>
      <c r="AK56" s="47"/>
      <c r="AL56" s="47"/>
      <c r="AM56" s="47"/>
      <c r="AN56" s="47"/>
      <c r="AO56" s="47"/>
      <c r="AP56" s="47"/>
      <c r="AQ56" s="47"/>
      <c r="AR56" s="47"/>
      <c r="AS56" s="272"/>
      <c r="AT56" s="47"/>
      <c r="AU56" s="47"/>
    </row>
    <row r="57" spans="1:47" ht="24" customHeight="1" x14ac:dyDescent="0.2">
      <c r="A57" s="47"/>
      <c r="B57" s="47"/>
      <c r="C57" s="47"/>
      <c r="D57" s="47"/>
      <c r="E57" s="581"/>
      <c r="F57" s="581"/>
      <c r="G57" s="796">
        <v>5</v>
      </c>
      <c r="H57" s="937" t="str">
        <f ca="1">IF(AND(CalcE2!$K$13=0,CalcE2!$F$13&lt;&gt;1),"",$AA$40)</f>
        <v>FC Barcelona</v>
      </c>
      <c r="I57" s="937"/>
      <c r="J57" s="938"/>
      <c r="K57" s="530"/>
      <c r="L57" s="530"/>
      <c r="M57" s="167"/>
      <c r="N57" s="167"/>
      <c r="O57" s="167"/>
      <c r="P57" s="167"/>
      <c r="Q57" s="167"/>
      <c r="R57" s="167"/>
      <c r="S57" s="167"/>
      <c r="T57" s="167"/>
      <c r="U57" s="167"/>
      <c r="V57" s="167"/>
      <c r="W57" s="167"/>
      <c r="X57" s="167"/>
      <c r="Y57" s="47"/>
      <c r="Z57" s="47"/>
      <c r="AA57" s="47"/>
      <c r="AB57" s="47"/>
      <c r="AC57" s="47"/>
      <c r="AD57" s="47"/>
      <c r="AE57" s="47"/>
      <c r="AF57" s="47"/>
      <c r="AG57" s="47"/>
      <c r="AH57" s="47"/>
      <c r="AI57" s="47"/>
      <c r="AJ57" s="47"/>
      <c r="AK57" s="47"/>
      <c r="AL57" s="47"/>
      <c r="AM57" s="47"/>
      <c r="AN57" s="47"/>
      <c r="AO57" s="47"/>
      <c r="AP57" s="47"/>
      <c r="AQ57" s="47"/>
      <c r="AR57" s="47"/>
      <c r="AS57" s="272"/>
      <c r="AT57" s="47"/>
      <c r="AU57" s="47"/>
    </row>
    <row r="58" spans="1:47" ht="24" customHeight="1" x14ac:dyDescent="0.25">
      <c r="A58" s="47"/>
      <c r="B58" s="472"/>
      <c r="C58" s="47"/>
      <c r="D58" s="47"/>
      <c r="E58" s="581"/>
      <c r="F58" s="581"/>
      <c r="G58" s="796">
        <v>6</v>
      </c>
      <c r="H58" s="937" t="str">
        <f ca="1">IF(CalcE2!$K$13=0,"",$AA$41)</f>
        <v>Manchester City</v>
      </c>
      <c r="I58" s="937"/>
      <c r="J58" s="938"/>
      <c r="K58" s="530"/>
      <c r="L58" s="530"/>
      <c r="M58" s="461"/>
      <c r="N58" s="461"/>
      <c r="O58" s="461"/>
      <c r="P58" s="461"/>
      <c r="Q58" s="461"/>
      <c r="R58" s="461"/>
      <c r="S58" s="461"/>
      <c r="T58" s="461"/>
      <c r="U58" s="461"/>
      <c r="V58" s="461"/>
      <c r="W58" s="461"/>
      <c r="X58" s="462"/>
      <c r="Y58" s="47"/>
      <c r="Z58" s="47"/>
      <c r="AA58" s="47"/>
      <c r="AB58" s="47"/>
      <c r="AC58" s="47"/>
      <c r="AD58" s="47"/>
      <c r="AE58" s="47"/>
      <c r="AF58" s="47"/>
      <c r="AG58" s="47"/>
      <c r="AH58" s="47"/>
      <c r="AI58" s="47"/>
      <c r="AJ58" s="47"/>
      <c r="AK58" s="47"/>
      <c r="AL58" s="47"/>
      <c r="AM58" s="47"/>
      <c r="AN58" s="47"/>
      <c r="AO58" s="47"/>
      <c r="AP58" s="47"/>
      <c r="AQ58" s="47"/>
      <c r="AR58" s="47"/>
      <c r="AS58" s="272"/>
      <c r="AT58" s="47"/>
      <c r="AU58" s="47"/>
    </row>
    <row r="59" spans="1:47" ht="24" customHeight="1" x14ac:dyDescent="0.25">
      <c r="A59" s="47"/>
      <c r="B59" s="472"/>
      <c r="C59" s="47"/>
      <c r="D59" s="47"/>
      <c r="E59" s="581"/>
      <c r="F59" s="581"/>
      <c r="G59" s="796">
        <v>7</v>
      </c>
      <c r="H59" s="937" t="str">
        <f ca="1">IF(CalcE2!$K$13=0,"",$AA$42)</f>
        <v>Paris St. Germain</v>
      </c>
      <c r="I59" s="937"/>
      <c r="J59" s="938"/>
      <c r="K59" s="530"/>
      <c r="L59" s="530"/>
      <c r="M59" s="461"/>
      <c r="N59" s="461"/>
      <c r="O59" s="461"/>
      <c r="P59" s="461"/>
      <c r="Q59" s="461"/>
      <c r="R59" s="461"/>
      <c r="S59" s="461"/>
      <c r="T59" s="461"/>
      <c r="U59" s="461"/>
      <c r="V59" s="461"/>
      <c r="W59" s="461"/>
      <c r="X59" s="462"/>
      <c r="Y59" s="47"/>
      <c r="Z59" s="47"/>
      <c r="AA59" s="47"/>
      <c r="AB59" s="47"/>
      <c r="AC59" s="47"/>
      <c r="AD59" s="47"/>
      <c r="AE59" s="47"/>
      <c r="AF59" s="47"/>
      <c r="AG59" s="47"/>
      <c r="AH59" s="47"/>
      <c r="AI59" s="47"/>
      <c r="AJ59" s="47"/>
      <c r="AK59" s="47"/>
      <c r="AL59" s="47"/>
      <c r="AM59" s="47"/>
      <c r="AN59" s="47"/>
      <c r="AO59" s="47"/>
      <c r="AP59" s="47"/>
      <c r="AQ59" s="47"/>
      <c r="AR59" s="47"/>
      <c r="AS59" s="272"/>
      <c r="AT59" s="47"/>
      <c r="AU59" s="47"/>
    </row>
    <row r="60" spans="1:47" ht="24" customHeight="1" x14ac:dyDescent="0.25">
      <c r="A60" s="47"/>
      <c r="B60" s="472"/>
      <c r="C60" s="47"/>
      <c r="D60" s="47"/>
      <c r="E60" s="581"/>
      <c r="F60" s="581"/>
      <c r="G60" s="796">
        <v>8</v>
      </c>
      <c r="H60" s="937" t="str">
        <f ca="1">IF(CalcE2!$K$13=0,"",$AA$43)</f>
        <v>Kickers Rodendorf</v>
      </c>
      <c r="I60" s="937"/>
      <c r="J60" s="938"/>
      <c r="K60" s="530"/>
      <c r="L60" s="530"/>
      <c r="M60" s="461"/>
      <c r="N60" s="461"/>
      <c r="O60" s="461"/>
      <c r="P60" s="461"/>
      <c r="Q60" s="461"/>
      <c r="R60" s="461"/>
      <c r="S60" s="461"/>
      <c r="T60" s="461"/>
      <c r="U60" s="461"/>
      <c r="V60" s="461"/>
      <c r="W60" s="461"/>
      <c r="X60" s="462"/>
      <c r="Y60" s="47"/>
      <c r="Z60" s="47"/>
      <c r="AA60" s="47"/>
      <c r="AB60" s="47"/>
      <c r="AC60" s="47"/>
      <c r="AD60" s="47"/>
      <c r="AE60" s="47"/>
      <c r="AF60" s="47"/>
      <c r="AG60" s="47"/>
      <c r="AH60" s="47"/>
      <c r="AI60" s="47"/>
      <c r="AJ60" s="47"/>
      <c r="AK60" s="47"/>
      <c r="AL60" s="47"/>
      <c r="AM60" s="47"/>
      <c r="AN60" s="47"/>
      <c r="AO60" s="47"/>
      <c r="AP60" s="47"/>
      <c r="AQ60" s="167"/>
      <c r="AR60" s="167"/>
      <c r="AS60" s="272"/>
      <c r="AT60" s="47"/>
      <c r="AU60" s="47"/>
    </row>
    <row r="61" spans="1:47" ht="24" customHeight="1" x14ac:dyDescent="0.25">
      <c r="A61" s="47"/>
      <c r="B61" s="472"/>
      <c r="C61" s="47"/>
      <c r="D61" s="47"/>
      <c r="E61" s="581"/>
      <c r="F61" s="581"/>
      <c r="G61" s="796">
        <v>9</v>
      </c>
      <c r="H61" s="937" t="str">
        <f ca="1">IF(AND(CalcE3!$K$13=0,CalcE3!$F$13&lt;&gt;1),"",$AA$33)</f>
        <v>1. FC Riedwald</v>
      </c>
      <c r="I61" s="937"/>
      <c r="J61" s="938"/>
      <c r="K61" s="530"/>
      <c r="L61" s="530"/>
      <c r="M61" s="461"/>
      <c r="N61" s="461"/>
      <c r="O61" s="461"/>
      <c r="P61" s="461"/>
      <c r="Q61" s="461"/>
      <c r="R61" s="461"/>
      <c r="S61" s="461"/>
      <c r="T61" s="461"/>
      <c r="U61" s="461"/>
      <c r="V61" s="461"/>
      <c r="W61" s="461"/>
      <c r="X61" s="462"/>
      <c r="Y61" s="47"/>
      <c r="Z61" s="47"/>
      <c r="AA61" s="47"/>
      <c r="AB61" s="47"/>
      <c r="AC61" s="47"/>
      <c r="AD61" s="47"/>
      <c r="AE61" s="47"/>
      <c r="AF61" s="47"/>
      <c r="AG61" s="47"/>
      <c r="AH61" s="47"/>
      <c r="AI61" s="47"/>
      <c r="AJ61" s="47"/>
      <c r="AK61" s="47"/>
      <c r="AL61" s="47"/>
      <c r="AM61" s="47"/>
      <c r="AN61" s="47"/>
      <c r="AO61" s="47"/>
      <c r="AP61" s="47"/>
      <c r="AQ61" s="167"/>
      <c r="AR61" s="167"/>
      <c r="AS61" s="272"/>
      <c r="AT61" s="47"/>
      <c r="AU61" s="47"/>
    </row>
    <row r="62" spans="1:47" ht="24" customHeight="1" x14ac:dyDescent="0.25">
      <c r="A62" s="47"/>
      <c r="B62" s="472"/>
      <c r="C62" s="47"/>
      <c r="D62" s="47"/>
      <c r="E62" s="581"/>
      <c r="F62" s="581"/>
      <c r="G62" s="796">
        <v>10</v>
      </c>
      <c r="H62" s="937" t="str">
        <f ca="1">IF(CalcE3!$K$13=0,"",$AA$34)</f>
        <v>RB Leipzig</v>
      </c>
      <c r="I62" s="937"/>
      <c r="J62" s="938"/>
      <c r="K62" s="530"/>
      <c r="L62" s="530"/>
      <c r="M62" s="461"/>
      <c r="N62" s="461"/>
      <c r="O62" s="461"/>
      <c r="P62" s="461"/>
      <c r="Q62" s="461"/>
      <c r="R62" s="461"/>
      <c r="S62" s="461"/>
      <c r="T62" s="461"/>
      <c r="U62" s="461"/>
      <c r="V62" s="461"/>
      <c r="W62" s="461"/>
      <c r="X62" s="462"/>
      <c r="Y62" s="47"/>
      <c r="Z62" s="47"/>
      <c r="AA62" s="47"/>
      <c r="AB62" s="47"/>
      <c r="AC62" s="47"/>
      <c r="AD62" s="47"/>
      <c r="AE62" s="47"/>
      <c r="AF62" s="47"/>
      <c r="AG62" s="47"/>
      <c r="AH62" s="47"/>
      <c r="AI62" s="47"/>
      <c r="AJ62" s="47"/>
      <c r="AK62" s="47"/>
      <c r="AL62" s="47"/>
      <c r="AM62" s="47"/>
      <c r="AN62" s="47"/>
      <c r="AO62" s="47"/>
      <c r="AP62" s="47"/>
      <c r="AQ62" s="167"/>
      <c r="AR62" s="167"/>
      <c r="AS62" s="447"/>
      <c r="AT62" s="47"/>
      <c r="AU62" s="47"/>
    </row>
    <row r="63" spans="1:47" ht="24" customHeight="1" x14ac:dyDescent="0.25">
      <c r="A63" s="47"/>
      <c r="B63" s="472"/>
      <c r="C63" s="47"/>
      <c r="D63" s="47"/>
      <c r="E63" s="581"/>
      <c r="F63" s="581"/>
      <c r="G63" s="796">
        <v>11</v>
      </c>
      <c r="H63" s="937" t="str">
        <f ca="1">IF(CalcE3!$K$13=0,"",$AA$35)</f>
        <v>Borussia Dortmund</v>
      </c>
      <c r="I63" s="937"/>
      <c r="J63" s="938"/>
      <c r="K63" s="530"/>
      <c r="L63" s="530"/>
      <c r="M63" s="461"/>
      <c r="N63" s="461"/>
      <c r="O63" s="461"/>
      <c r="P63" s="461"/>
      <c r="Q63" s="461"/>
      <c r="R63" s="461"/>
      <c r="S63" s="461"/>
      <c r="T63" s="461"/>
      <c r="U63" s="461"/>
      <c r="V63" s="461"/>
      <c r="W63" s="461"/>
      <c r="X63" s="462"/>
      <c r="Y63" s="47"/>
      <c r="Z63" s="47"/>
      <c r="AA63" s="47"/>
      <c r="AB63" s="47"/>
      <c r="AC63" s="47"/>
      <c r="AD63" s="47"/>
      <c r="AE63" s="47"/>
      <c r="AF63" s="47"/>
      <c r="AG63" s="47"/>
      <c r="AH63" s="47"/>
      <c r="AI63" s="47"/>
      <c r="AJ63" s="47"/>
      <c r="AK63" s="47"/>
      <c r="AL63" s="47"/>
      <c r="AM63" s="47"/>
      <c r="AN63" s="47"/>
      <c r="AO63" s="47"/>
      <c r="AP63" s="395"/>
      <c r="AQ63" s="423"/>
      <c r="AR63" s="423"/>
      <c r="AS63" s="447"/>
      <c r="AT63" s="47"/>
      <c r="AU63" s="47"/>
    </row>
    <row r="64" spans="1:47" ht="24" customHeight="1" x14ac:dyDescent="0.25">
      <c r="A64" s="47"/>
      <c r="B64" s="472"/>
      <c r="C64" s="47"/>
      <c r="D64" s="47"/>
      <c r="E64" s="581"/>
      <c r="F64" s="581"/>
      <c r="G64" s="796">
        <v>12</v>
      </c>
      <c r="H64" s="937" t="str">
        <f ca="1">IF(CalcE3!$K$13=0,"",$AA$36)</f>
        <v>Mainz 05</v>
      </c>
      <c r="I64" s="937"/>
      <c r="J64" s="938"/>
      <c r="K64" s="530"/>
      <c r="L64" s="530"/>
      <c r="M64" s="461"/>
      <c r="N64" s="461"/>
      <c r="O64" s="461"/>
      <c r="P64" s="461"/>
      <c r="Q64" s="461"/>
      <c r="R64" s="461"/>
      <c r="S64" s="461"/>
      <c r="T64" s="461"/>
      <c r="U64" s="461"/>
      <c r="V64" s="461"/>
      <c r="W64" s="461"/>
      <c r="X64" s="462"/>
      <c r="Y64" s="47"/>
      <c r="Z64" s="47"/>
      <c r="AA64" s="47"/>
      <c r="AB64" s="47"/>
      <c r="AC64" s="47"/>
      <c r="AD64" s="47"/>
      <c r="AE64" s="47"/>
      <c r="AF64" s="47"/>
      <c r="AG64" s="47"/>
      <c r="AH64" s="47"/>
      <c r="AI64" s="47"/>
      <c r="AJ64" s="47"/>
      <c r="AK64" s="47"/>
      <c r="AL64" s="47"/>
      <c r="AM64" s="47"/>
      <c r="AN64" s="47"/>
      <c r="AO64" s="47"/>
      <c r="AP64" s="395"/>
      <c r="AQ64" s="423"/>
      <c r="AR64" s="423"/>
      <c r="AS64" s="270"/>
      <c r="AT64" s="47"/>
      <c r="AU64" s="47"/>
    </row>
    <row r="65" spans="1:47" ht="24" customHeight="1" x14ac:dyDescent="0.2">
      <c r="A65" s="47"/>
      <c r="B65" s="47"/>
      <c r="C65" s="47"/>
      <c r="D65" s="47"/>
      <c r="E65" s="581"/>
      <c r="F65" s="581"/>
      <c r="G65" s="796">
        <v>13</v>
      </c>
      <c r="H65" s="937" t="str">
        <f ca="1">IF(AND(CalcE4!$K$13=0,CalcE4!$F$13&lt;&gt;1),"",$AA$26)</f>
        <v>VFB Essenheim</v>
      </c>
      <c r="I65" s="937"/>
      <c r="J65" s="938"/>
      <c r="K65" s="530"/>
      <c r="L65" s="530"/>
      <c r="M65" s="167"/>
      <c r="N65" s="167"/>
      <c r="O65" s="167"/>
      <c r="P65" s="167"/>
      <c r="Q65" s="167"/>
      <c r="R65" s="167"/>
      <c r="S65" s="167"/>
      <c r="T65" s="167"/>
      <c r="U65" s="167"/>
      <c r="V65" s="167"/>
      <c r="W65" s="167"/>
      <c r="X65" s="167"/>
      <c r="Y65" s="47"/>
      <c r="Z65" s="47"/>
      <c r="AA65" s="47"/>
      <c r="AB65" s="47"/>
      <c r="AC65" s="47"/>
      <c r="AD65" s="47"/>
      <c r="AE65" s="47"/>
      <c r="AF65" s="47"/>
      <c r="AG65" s="47"/>
      <c r="AH65" s="47"/>
      <c r="AI65" s="47"/>
      <c r="AJ65" s="47"/>
      <c r="AK65" s="47"/>
      <c r="AL65" s="47"/>
      <c r="AM65" s="47"/>
      <c r="AN65" s="47"/>
      <c r="AO65" s="47"/>
      <c r="AP65" s="47"/>
      <c r="AQ65" s="167"/>
      <c r="AR65" s="167"/>
      <c r="AS65" s="446"/>
      <c r="AT65" s="47"/>
      <c r="AU65" s="47"/>
    </row>
    <row r="66" spans="1:47" ht="24" customHeight="1" x14ac:dyDescent="0.2">
      <c r="A66" s="47"/>
      <c r="B66" s="47"/>
      <c r="C66" s="47"/>
      <c r="D66" s="47"/>
      <c r="E66" s="581"/>
      <c r="F66" s="581"/>
      <c r="G66" s="796">
        <v>14</v>
      </c>
      <c r="H66" s="937" t="str">
        <f ca="1">IF(CalcE4!$K$13=0,"",$AA$27)</f>
        <v>HSV</v>
      </c>
      <c r="I66" s="937"/>
      <c r="J66" s="938"/>
      <c r="K66" s="530"/>
      <c r="L66" s="530"/>
      <c r="M66" s="167"/>
      <c r="N66" s="167"/>
      <c r="O66" s="167"/>
      <c r="P66" s="167"/>
      <c r="Q66" s="167"/>
      <c r="R66" s="167"/>
      <c r="S66" s="167"/>
      <c r="T66" s="167"/>
      <c r="U66" s="167"/>
      <c r="V66" s="167"/>
      <c r="W66" s="167"/>
      <c r="X66" s="167"/>
      <c r="Y66" s="47"/>
      <c r="Z66" s="47"/>
      <c r="AA66" s="47"/>
      <c r="AB66" s="47"/>
      <c r="AC66" s="47"/>
      <c r="AD66" s="47"/>
      <c r="AE66" s="47"/>
      <c r="AF66" s="47"/>
      <c r="AG66" s="47"/>
      <c r="AH66" s="47"/>
      <c r="AI66" s="47"/>
      <c r="AJ66" s="47"/>
      <c r="AK66" s="47"/>
      <c r="AL66" s="47"/>
      <c r="AM66" s="47"/>
      <c r="AN66" s="47"/>
      <c r="AO66" s="47"/>
      <c r="AP66" s="47"/>
      <c r="AQ66" s="167"/>
      <c r="AR66" s="167"/>
      <c r="AS66" s="272"/>
      <c r="AT66" s="47"/>
      <c r="AU66" s="47"/>
    </row>
    <row r="67" spans="1:47" ht="24" customHeight="1" x14ac:dyDescent="0.2">
      <c r="A67" s="47"/>
      <c r="B67" s="47"/>
      <c r="C67" s="47"/>
      <c r="D67" s="47"/>
      <c r="E67" s="581"/>
      <c r="F67" s="581"/>
      <c r="G67" s="796">
        <v>15</v>
      </c>
      <c r="H67" s="937" t="str">
        <f ca="1">IF(CalcE4!$K$13=0,"",$AA$28)</f>
        <v>FSV Rauen</v>
      </c>
      <c r="I67" s="937"/>
      <c r="J67" s="938"/>
      <c r="K67" s="530"/>
      <c r="L67" s="530"/>
      <c r="M67" s="167"/>
      <c r="N67" s="167"/>
      <c r="O67" s="167"/>
      <c r="P67" s="167"/>
      <c r="Q67" s="167"/>
      <c r="R67" s="167"/>
      <c r="S67" s="167"/>
      <c r="T67" s="167"/>
      <c r="U67" s="167"/>
      <c r="V67" s="167"/>
      <c r="W67" s="167"/>
      <c r="X67" s="167"/>
      <c r="Y67" s="47"/>
      <c r="Z67" s="47"/>
      <c r="AA67" s="47"/>
      <c r="AB67" s="47"/>
      <c r="AC67" s="47"/>
      <c r="AD67" s="47"/>
      <c r="AE67" s="47"/>
      <c r="AF67" s="47"/>
      <c r="AG67" s="47"/>
      <c r="AH67" s="47"/>
      <c r="AI67" s="47"/>
      <c r="AJ67" s="47"/>
      <c r="AK67" s="47"/>
      <c r="AL67" s="47"/>
      <c r="AM67" s="47"/>
      <c r="AN67" s="47"/>
      <c r="AO67" s="47"/>
      <c r="AP67" s="47"/>
      <c r="AQ67" s="167"/>
      <c r="AR67" s="167"/>
      <c r="AS67" s="272"/>
      <c r="AT67" s="47"/>
      <c r="AU67" s="47"/>
    </row>
    <row r="68" spans="1:47" ht="24" customHeight="1" x14ac:dyDescent="0.2">
      <c r="A68" s="47"/>
      <c r="B68" s="47"/>
      <c r="C68" s="47"/>
      <c r="D68" s="47"/>
      <c r="E68" s="581"/>
      <c r="F68" s="581"/>
      <c r="G68" s="796">
        <v>16</v>
      </c>
      <c r="H68" s="937" t="str">
        <f ca="1">IF(CalcE4!$K$13=0,"",$AA$29)</f>
        <v>SSV Wildbach</v>
      </c>
      <c r="I68" s="937"/>
      <c r="J68" s="938"/>
      <c r="K68" s="530"/>
      <c r="L68" s="530"/>
      <c r="M68" s="167"/>
      <c r="N68" s="167"/>
      <c r="O68" s="167"/>
      <c r="P68" s="167"/>
      <c r="Q68" s="167"/>
      <c r="R68" s="167"/>
      <c r="S68" s="167"/>
      <c r="T68" s="167"/>
      <c r="U68" s="167"/>
      <c r="V68" s="167"/>
      <c r="W68" s="167"/>
      <c r="X68" s="167"/>
      <c r="Y68" s="47"/>
      <c r="Z68" s="47"/>
      <c r="AA68" s="47"/>
      <c r="AB68" s="47"/>
      <c r="AC68" s="47"/>
      <c r="AD68" s="47"/>
      <c r="AE68" s="47"/>
      <c r="AF68" s="47"/>
      <c r="AG68" s="47"/>
      <c r="AH68" s="47"/>
      <c r="AI68" s="47"/>
      <c r="AJ68" s="47"/>
      <c r="AK68" s="47"/>
      <c r="AL68" s="47"/>
      <c r="AM68" s="47"/>
      <c r="AN68" s="47"/>
      <c r="AO68" s="47"/>
      <c r="AP68" s="47"/>
      <c r="AQ68" s="47"/>
      <c r="AR68" s="47"/>
      <c r="AS68" s="272"/>
      <c r="AT68" s="47"/>
      <c r="AU68" s="47"/>
    </row>
    <row r="69" spans="1:47" ht="24" customHeight="1" x14ac:dyDescent="0.2">
      <c r="A69" s="47"/>
      <c r="B69" s="47"/>
      <c r="C69" s="47"/>
      <c r="D69" s="47"/>
      <c r="E69" s="581"/>
      <c r="F69" s="581"/>
      <c r="G69" s="796">
        <v>17</v>
      </c>
      <c r="H69" s="937" t="str">
        <f ca="1">IF(AND(CalcE5!$K$13=0,CalcE5!$F$13&lt;&gt;1),"",$AA$19)</f>
        <v>1. FC Nürnberg</v>
      </c>
      <c r="I69" s="937"/>
      <c r="J69" s="938"/>
      <c r="K69" s="530"/>
      <c r="L69" s="530"/>
      <c r="M69" s="167"/>
      <c r="N69" s="167"/>
      <c r="O69" s="167"/>
      <c r="P69" s="167"/>
      <c r="Q69" s="167"/>
      <c r="R69" s="167"/>
      <c r="S69" s="167"/>
      <c r="T69" s="167"/>
      <c r="U69" s="167"/>
      <c r="V69" s="167"/>
      <c r="W69" s="167"/>
      <c r="X69" s="167"/>
      <c r="Y69" s="47"/>
      <c r="Z69" s="47"/>
      <c r="AA69" s="47"/>
      <c r="AB69" s="47"/>
      <c r="AC69" s="47"/>
      <c r="AD69" s="47"/>
      <c r="AE69" s="47"/>
      <c r="AF69" s="47"/>
      <c r="AG69" s="47"/>
      <c r="AH69" s="47"/>
      <c r="AI69" s="47"/>
      <c r="AJ69" s="47"/>
      <c r="AK69" s="47"/>
      <c r="AL69" s="47"/>
      <c r="AM69" s="47"/>
      <c r="AN69" s="47"/>
      <c r="AO69" s="47"/>
      <c r="AP69" s="47"/>
      <c r="AQ69" s="47"/>
      <c r="AR69" s="47"/>
      <c r="AS69" s="272"/>
      <c r="AT69" s="47"/>
      <c r="AU69" s="47"/>
    </row>
    <row r="70" spans="1:47" ht="24" customHeight="1" x14ac:dyDescent="0.2">
      <c r="A70" s="47"/>
      <c r="B70" s="47"/>
      <c r="C70" s="47"/>
      <c r="D70" s="47"/>
      <c r="E70" s="581"/>
      <c r="F70" s="581"/>
      <c r="G70" s="796">
        <v>18</v>
      </c>
      <c r="H70" s="937" t="str">
        <f ca="1">IF(CalcE5!$K$13=0,"",$AA$20)</f>
        <v>Maibach 1822 eV</v>
      </c>
      <c r="I70" s="937"/>
      <c r="J70" s="938"/>
      <c r="K70" s="530"/>
      <c r="L70" s="530"/>
      <c r="M70" s="167"/>
      <c r="N70" s="167"/>
      <c r="O70" s="167"/>
      <c r="P70" s="167"/>
      <c r="Q70" s="167"/>
      <c r="R70" s="167"/>
      <c r="S70" s="167"/>
      <c r="T70" s="167"/>
      <c r="U70" s="167"/>
      <c r="V70" s="167"/>
      <c r="W70" s="167"/>
      <c r="X70" s="167"/>
      <c r="Y70" s="47"/>
      <c r="Z70" s="47"/>
      <c r="AA70" s="47"/>
      <c r="AB70" s="47"/>
      <c r="AC70" s="47"/>
      <c r="AD70" s="47"/>
      <c r="AE70" s="47"/>
      <c r="AF70" s="47"/>
      <c r="AG70" s="47"/>
      <c r="AH70" s="47"/>
      <c r="AI70" s="47"/>
      <c r="AJ70" s="47"/>
      <c r="AK70" s="47"/>
      <c r="AL70" s="47"/>
      <c r="AM70" s="47"/>
      <c r="AN70" s="47"/>
      <c r="AO70" s="47"/>
      <c r="AP70" s="47"/>
      <c r="AQ70" s="47"/>
      <c r="AR70" s="47"/>
      <c r="AS70" s="447"/>
      <c r="AT70" s="47"/>
      <c r="AU70" s="47"/>
    </row>
    <row r="71" spans="1:47" ht="24" customHeight="1" x14ac:dyDescent="0.2">
      <c r="A71" s="47"/>
      <c r="B71" s="47"/>
      <c r="C71" s="47"/>
      <c r="D71" s="47"/>
      <c r="E71" s="581"/>
      <c r="F71" s="581"/>
      <c r="G71" s="796">
        <v>19</v>
      </c>
      <c r="H71" s="937" t="str">
        <f ca="1">IF(CalcE5!$K$13=0,"",$AA$21)</f>
        <v>SV Oberredenburg</v>
      </c>
      <c r="I71" s="937"/>
      <c r="J71" s="938"/>
      <c r="K71" s="530"/>
      <c r="L71" s="530"/>
      <c r="M71" s="167"/>
      <c r="N71" s="167"/>
      <c r="O71" s="167"/>
      <c r="P71" s="167"/>
      <c r="Q71" s="167"/>
      <c r="R71" s="167"/>
      <c r="S71" s="167"/>
      <c r="T71" s="167"/>
      <c r="U71" s="167"/>
      <c r="V71" s="167"/>
      <c r="W71" s="167"/>
      <c r="X71" s="167"/>
      <c r="Y71" s="47"/>
      <c r="Z71" s="47"/>
      <c r="AA71" s="47"/>
      <c r="AB71" s="47"/>
      <c r="AC71" s="47"/>
      <c r="AD71" s="47"/>
      <c r="AE71" s="47"/>
      <c r="AF71" s="47"/>
      <c r="AG71" s="47"/>
      <c r="AH71" s="47"/>
      <c r="AI71" s="47"/>
      <c r="AJ71" s="47"/>
      <c r="AK71" s="47"/>
      <c r="AL71" s="47"/>
      <c r="AM71" s="47"/>
      <c r="AN71" s="47"/>
      <c r="AO71" s="47"/>
      <c r="AP71" s="47"/>
      <c r="AQ71" s="47"/>
      <c r="AR71" s="47"/>
      <c r="AS71" s="447"/>
      <c r="AT71" s="47"/>
      <c r="AU71" s="47"/>
    </row>
    <row r="72" spans="1:47" ht="24" customHeight="1" x14ac:dyDescent="0.2">
      <c r="A72" s="47"/>
      <c r="B72" s="47"/>
      <c r="C72" s="47"/>
      <c r="D72" s="47"/>
      <c r="E72" s="581"/>
      <c r="F72" s="581"/>
      <c r="G72" s="796">
        <v>20</v>
      </c>
      <c r="H72" s="937" t="str">
        <f ca="1">IF(CalcE5!$K$13=0,"",$AA$22)</f>
        <v>FC Grönlingen</v>
      </c>
      <c r="I72" s="937"/>
      <c r="J72" s="938"/>
      <c r="K72" s="530"/>
      <c r="L72" s="530"/>
      <c r="M72" s="167"/>
      <c r="N72" s="167"/>
      <c r="O72" s="167"/>
      <c r="P72" s="167"/>
      <c r="Q72" s="167"/>
      <c r="R72" s="167"/>
      <c r="S72" s="167"/>
      <c r="T72" s="167"/>
      <c r="U72" s="167"/>
      <c r="V72" s="167"/>
      <c r="W72" s="167"/>
      <c r="X72" s="167"/>
      <c r="Y72" s="47"/>
      <c r="Z72" s="47"/>
      <c r="AA72" s="47"/>
      <c r="AB72" s="47"/>
      <c r="AC72" s="47"/>
      <c r="AD72" s="47"/>
      <c r="AE72" s="47"/>
      <c r="AF72" s="47"/>
      <c r="AG72" s="47"/>
      <c r="AH72" s="47"/>
      <c r="AI72" s="47"/>
      <c r="AJ72" s="47"/>
      <c r="AK72" s="47"/>
      <c r="AL72" s="47"/>
      <c r="AM72" s="47"/>
      <c r="AN72" s="47"/>
      <c r="AO72" s="47"/>
      <c r="AP72" s="47"/>
      <c r="AQ72" s="47"/>
      <c r="AR72" s="47"/>
      <c r="AS72" s="270"/>
      <c r="AT72" s="270"/>
      <c r="AU72" s="270"/>
    </row>
    <row r="73" spans="1:47" ht="24" customHeight="1" x14ac:dyDescent="0.2">
      <c r="A73" s="47"/>
      <c r="B73" s="47"/>
      <c r="C73" s="47"/>
      <c r="D73" s="47"/>
      <c r="E73" s="581"/>
      <c r="F73" s="581"/>
      <c r="G73" s="796">
        <v>21</v>
      </c>
      <c r="H73" s="937" t="str">
        <f ca="1">IF(AND(CalcE6!$K$13=0,CalcE6!$F$13&lt;&gt;1),"",$AA$12)</f>
        <v/>
      </c>
      <c r="I73" s="937"/>
      <c r="J73" s="938"/>
      <c r="K73" s="530"/>
      <c r="L73" s="530"/>
      <c r="M73" s="167"/>
      <c r="N73" s="167"/>
      <c r="O73" s="167"/>
      <c r="P73" s="167"/>
      <c r="Q73" s="167"/>
      <c r="R73" s="167"/>
      <c r="S73" s="167"/>
      <c r="T73" s="167"/>
      <c r="U73" s="167"/>
      <c r="V73" s="167"/>
      <c r="W73" s="167"/>
      <c r="X73" s="167"/>
      <c r="Y73" s="47"/>
      <c r="Z73" s="47"/>
      <c r="AA73" s="47"/>
      <c r="AB73" s="47"/>
      <c r="AC73" s="47"/>
      <c r="AD73" s="47"/>
      <c r="AE73" s="47"/>
      <c r="AF73" s="47"/>
      <c r="AG73" s="47"/>
      <c r="AH73" s="47"/>
      <c r="AI73" s="47"/>
      <c r="AJ73" s="47"/>
      <c r="AK73" s="47"/>
      <c r="AL73" s="47"/>
      <c r="AM73" s="47"/>
      <c r="AN73" s="47"/>
      <c r="AO73" s="47"/>
      <c r="AP73" s="47"/>
      <c r="AQ73" s="47"/>
      <c r="AR73" s="47"/>
      <c r="AS73" s="47"/>
      <c r="AT73" s="47"/>
      <c r="AU73" s="47"/>
    </row>
    <row r="74" spans="1:47" ht="24" customHeight="1" x14ac:dyDescent="0.2">
      <c r="A74" s="47"/>
      <c r="B74" s="47"/>
      <c r="C74" s="47"/>
      <c r="D74" s="47"/>
      <c r="E74" s="581"/>
      <c r="F74" s="581"/>
      <c r="G74" s="796">
        <v>22</v>
      </c>
      <c r="H74" s="937" t="str">
        <f ca="1">IF(CalcE6!$K$13=0,"",$AA$13)</f>
        <v/>
      </c>
      <c r="I74" s="937"/>
      <c r="J74" s="938"/>
      <c r="K74" s="530"/>
      <c r="L74" s="530"/>
      <c r="M74" s="167"/>
      <c r="N74" s="167"/>
      <c r="O74" s="167"/>
      <c r="P74" s="167"/>
      <c r="Q74" s="167"/>
      <c r="R74" s="167"/>
      <c r="S74" s="167"/>
      <c r="T74" s="167"/>
      <c r="U74" s="167"/>
      <c r="V74" s="167"/>
      <c r="W74" s="167"/>
      <c r="X74" s="167"/>
      <c r="Y74" s="47"/>
      <c r="Z74" s="47"/>
      <c r="AA74" s="47"/>
      <c r="AB74" s="47"/>
      <c r="AC74" s="47"/>
      <c r="AD74" s="47"/>
      <c r="AE74" s="47"/>
      <c r="AF74" s="47"/>
      <c r="AG74" s="47"/>
      <c r="AH74" s="47"/>
      <c r="AI74" s="47"/>
      <c r="AJ74" s="47"/>
      <c r="AK74" s="47"/>
      <c r="AL74" s="47"/>
      <c r="AM74" s="47"/>
      <c r="AN74" s="47"/>
      <c r="AO74" s="47"/>
      <c r="AP74" s="47"/>
      <c r="AQ74" s="47"/>
      <c r="AR74" s="47"/>
      <c r="AS74" s="47"/>
      <c r="AT74" s="47"/>
      <c r="AU74" s="47"/>
    </row>
    <row r="75" spans="1:47" ht="24" customHeight="1" x14ac:dyDescent="0.2">
      <c r="A75" s="47"/>
      <c r="B75" s="47"/>
      <c r="C75" s="47"/>
      <c r="D75" s="47"/>
      <c r="E75" s="582"/>
      <c r="F75" s="582"/>
      <c r="G75" s="796">
        <v>23</v>
      </c>
      <c r="H75" s="937" t="str">
        <f ca="1">IF(CalcE6!$K$13=0,"",$AA$14)</f>
        <v/>
      </c>
      <c r="I75" s="937"/>
      <c r="J75" s="938"/>
      <c r="K75" s="530"/>
      <c r="L75" s="530"/>
      <c r="M75" s="167"/>
      <c r="N75" s="167"/>
      <c r="O75" s="167"/>
      <c r="P75" s="167"/>
      <c r="Q75" s="167"/>
      <c r="R75" s="167"/>
      <c r="S75" s="167"/>
      <c r="T75" s="167"/>
      <c r="U75" s="167"/>
      <c r="V75" s="167"/>
      <c r="W75" s="167"/>
      <c r="X75" s="167"/>
      <c r="Y75" s="47"/>
      <c r="Z75" s="47"/>
      <c r="AA75" s="47"/>
      <c r="AB75" s="47"/>
      <c r="AC75" s="47"/>
      <c r="AD75" s="47"/>
      <c r="AE75" s="47"/>
      <c r="AF75" s="47"/>
      <c r="AG75" s="47"/>
      <c r="AH75" s="47"/>
      <c r="AI75" s="47"/>
      <c r="AJ75" s="47"/>
      <c r="AK75" s="47"/>
      <c r="AL75" s="47"/>
      <c r="AM75" s="47"/>
      <c r="AN75" s="47"/>
      <c r="AO75" s="47"/>
      <c r="AP75" s="47"/>
      <c r="AQ75" s="47"/>
      <c r="AR75" s="47"/>
      <c r="AS75" s="47"/>
      <c r="AT75" s="47"/>
      <c r="AU75" s="47"/>
    </row>
    <row r="76" spans="1:47" ht="24" customHeight="1" thickBot="1" x14ac:dyDescent="0.25">
      <c r="A76" s="47"/>
      <c r="B76" s="47"/>
      <c r="C76" s="47"/>
      <c r="D76" s="47"/>
      <c r="E76" s="582"/>
      <c r="F76" s="582"/>
      <c r="G76" s="797">
        <v>24</v>
      </c>
      <c r="H76" s="939" t="str">
        <f ca="1">IF(CalcE6!$K$13=0,"",$AA$15)</f>
        <v/>
      </c>
      <c r="I76" s="939"/>
      <c r="J76" s="940"/>
      <c r="K76" s="167"/>
      <c r="L76" s="167"/>
      <c r="M76" s="167"/>
      <c r="N76" s="167"/>
      <c r="O76" s="167"/>
      <c r="P76" s="167"/>
      <c r="Q76" s="167"/>
      <c r="R76" s="167"/>
      <c r="S76" s="167"/>
      <c r="T76" s="167"/>
      <c r="U76" s="167"/>
      <c r="V76" s="167"/>
      <c r="W76" s="167"/>
      <c r="X76" s="167"/>
      <c r="Y76" s="47"/>
      <c r="Z76" s="47"/>
      <c r="AA76" s="47"/>
      <c r="AB76" s="47"/>
      <c r="AC76" s="47"/>
      <c r="AD76" s="47"/>
      <c r="AE76" s="47"/>
      <c r="AF76" s="47"/>
      <c r="AG76" s="47"/>
      <c r="AH76" s="47"/>
      <c r="AI76" s="47"/>
      <c r="AJ76" s="47"/>
      <c r="AK76" s="47"/>
      <c r="AL76" s="47"/>
      <c r="AM76" s="47"/>
      <c r="AN76" s="47"/>
      <c r="AO76" s="47"/>
      <c r="AP76" s="47"/>
      <c r="AQ76" s="47"/>
      <c r="AR76" s="47"/>
      <c r="AS76" s="47"/>
      <c r="AT76" s="47"/>
      <c r="AU76" s="47"/>
    </row>
    <row r="77" spans="1:47" ht="13.5" thickTop="1" x14ac:dyDescent="0.2"/>
    <row r="78" spans="1:47" x14ac:dyDescent="0.2"/>
    <row r="79" spans="1:47" x14ac:dyDescent="0.2"/>
  </sheetData>
  <sheetProtection sheet="1" objects="1" scenarios="1" selectLockedCells="1"/>
  <mergeCells count="69">
    <mergeCell ref="J2:AE2"/>
    <mergeCell ref="J3:AE3"/>
    <mergeCell ref="J4:AE4"/>
    <mergeCell ref="J5:AE5"/>
    <mergeCell ref="B10:C10"/>
    <mergeCell ref="X10:X11"/>
    <mergeCell ref="Z10:AE10"/>
    <mergeCell ref="K7:AA8"/>
    <mergeCell ref="T11:V11"/>
    <mergeCell ref="Z24:AE24"/>
    <mergeCell ref="AP24:AQ24"/>
    <mergeCell ref="AP10:AQ10"/>
    <mergeCell ref="E11:G11"/>
    <mergeCell ref="H11:J11"/>
    <mergeCell ref="K11:M11"/>
    <mergeCell ref="N11:P11"/>
    <mergeCell ref="Z11:AA11"/>
    <mergeCell ref="AF11:AH11"/>
    <mergeCell ref="AJ11:AL11"/>
    <mergeCell ref="Z17:AE17"/>
    <mergeCell ref="AP17:AQ17"/>
    <mergeCell ref="Z18:AA18"/>
    <mergeCell ref="AF18:AH18"/>
    <mergeCell ref="AJ18:AL18"/>
    <mergeCell ref="Q11:S11"/>
    <mergeCell ref="Z45:AE45"/>
    <mergeCell ref="AP45:AQ45"/>
    <mergeCell ref="Z25:AA25"/>
    <mergeCell ref="AF25:AH25"/>
    <mergeCell ref="AJ25:AL25"/>
    <mergeCell ref="Z31:AE31"/>
    <mergeCell ref="AP31:AQ31"/>
    <mergeCell ref="Z32:AA32"/>
    <mergeCell ref="AF32:AH32"/>
    <mergeCell ref="AJ32:AL32"/>
    <mergeCell ref="Z38:AE38"/>
    <mergeCell ref="AP38:AQ38"/>
    <mergeCell ref="Z39:AA39"/>
    <mergeCell ref="AF39:AH39"/>
    <mergeCell ref="AJ39:AL39"/>
    <mergeCell ref="H59:J59"/>
    <mergeCell ref="Z46:AA46"/>
    <mergeCell ref="AF46:AH46"/>
    <mergeCell ref="AJ46:AL46"/>
    <mergeCell ref="B50:H50"/>
    <mergeCell ref="I50:X50"/>
    <mergeCell ref="H53:J53"/>
    <mergeCell ref="H54:J54"/>
    <mergeCell ref="H55:J55"/>
    <mergeCell ref="H56:J56"/>
    <mergeCell ref="H57:J57"/>
    <mergeCell ref="H58:J58"/>
    <mergeCell ref="H71:J71"/>
    <mergeCell ref="H60:J60"/>
    <mergeCell ref="H61:J61"/>
    <mergeCell ref="H62:J62"/>
    <mergeCell ref="H63:J63"/>
    <mergeCell ref="H64:J64"/>
    <mergeCell ref="H65:J65"/>
    <mergeCell ref="H66:J66"/>
    <mergeCell ref="H67:J67"/>
    <mergeCell ref="H68:J68"/>
    <mergeCell ref="H69:J69"/>
    <mergeCell ref="H70:J70"/>
    <mergeCell ref="H72:J72"/>
    <mergeCell ref="H73:J73"/>
    <mergeCell ref="H74:J74"/>
    <mergeCell ref="H75:J75"/>
    <mergeCell ref="H76:J76"/>
  </mergeCells>
  <conditionalFormatting sqref="B12:V47">
    <cfRule type="expression" dxfId="13" priority="7">
      <formula>OR($H12="",$J12="")</formula>
    </cfRule>
  </conditionalFormatting>
  <conditionalFormatting sqref="Z19:AN22 Z26:AN29 Z12:AN15 Z33:AN36 Z40:AN43 Z47:AN50">
    <cfRule type="expression" dxfId="12" priority="5">
      <formula>$AA12=""</formula>
    </cfRule>
    <cfRule type="expression" dxfId="11" priority="6">
      <formula>OR(AND($Z12=$Z11,$AA11&lt;&gt;""),AND($Z12=$Z13,$AA13&lt;&gt;""))</formula>
    </cfRule>
  </conditionalFormatting>
  <conditionalFormatting sqref="K12:K47 M12:M47">
    <cfRule type="expression" dxfId="10" priority="3">
      <formula>$AZ12</formula>
    </cfRule>
  </conditionalFormatting>
  <conditionalFormatting sqref="N12:N47 P12:P47">
    <cfRule type="expression" dxfId="9" priority="2">
      <formula>$BA12</formula>
    </cfRule>
  </conditionalFormatting>
  <conditionalFormatting sqref="Q12:Q47 S12:S47">
    <cfRule type="expression" dxfId="8" priority="1">
      <formula>$BB12</formula>
    </cfRule>
  </conditionalFormatting>
  <dataValidations count="1">
    <dataValidation allowBlank="1" showInputMessage="1" showErrorMessage="1" errorTitle="Unzulässige Teilnehmernummer" error="Es müssen Zahlen von 1 bis 9 eingetragen werden!" sqref="E12:E47 G12:G47" xr:uid="{A25C38E0-87A4-43C3-8012-A3B6828C3369}"/>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 id="{0B6B871C-4CBC-452B-9790-16A1519A01BE}">
            <xm:f>$G53&gt;4*Calc1!$F$14</xm:f>
            <x14:dxf>
              <numFmt numFmtId="165" formatCode=";;;"/>
            </x14:dxf>
          </x14:cfRule>
          <xm:sqref>G53:G76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27</vt:i4>
      </vt:variant>
    </vt:vector>
  </HeadingPairs>
  <TitlesOfParts>
    <vt:vector size="27" baseType="lpstr">
      <vt:lpstr>Planung</vt:lpstr>
      <vt:lpstr>proof</vt:lpstr>
      <vt:lpstr>Pairings</vt:lpstr>
      <vt:lpstr>Vorrunde</vt:lpstr>
      <vt:lpstr>Playoffs</vt:lpstr>
      <vt:lpstr>Endrunde 1</vt:lpstr>
      <vt:lpstr>Endrunde 2</vt:lpstr>
      <vt:lpstr>Endrunde 3</vt:lpstr>
      <vt:lpstr>Endrunde 4</vt:lpstr>
      <vt:lpstr>DirVergleich_A</vt:lpstr>
      <vt:lpstr>DirVergleich_B</vt:lpstr>
      <vt:lpstr>DirVergleich_C</vt:lpstr>
      <vt:lpstr>DirVergleich_D</vt:lpstr>
      <vt:lpstr>Sprache</vt:lpstr>
      <vt:lpstr>Einstellungen</vt:lpstr>
      <vt:lpstr>Info</vt:lpstr>
      <vt:lpstr>Calc1</vt:lpstr>
      <vt:lpstr>Calc2</vt:lpstr>
      <vt:lpstr>Calc3</vt:lpstr>
      <vt:lpstr>Calc4</vt:lpstr>
      <vt:lpstr>CalcE</vt:lpstr>
      <vt:lpstr>CalcE1</vt:lpstr>
      <vt:lpstr>CalcE2</vt:lpstr>
      <vt:lpstr>CalcE3</vt:lpstr>
      <vt:lpstr>CalcE4</vt:lpstr>
      <vt:lpstr>CalcE5</vt:lpstr>
      <vt:lpstr>CalcE6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2026-01-27T12:02:18Z</dcterms:modified>
</cp:coreProperties>
</file>